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1840" windowHeight="553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面积表" sheetId="87"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办公" sheetId="34"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收益法-地下" sheetId="81"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存贷款利率" sheetId="73" state="hidden" r:id="rId41"/>
    <sheet name="比较法-办公（大宗）" sheetId="85" r:id="rId42"/>
    <sheet name="典型户型修正" sheetId="31" state="hidden" r:id="rId43"/>
    <sheet name="土地比较法-住宅、综合" sheetId="39" state="hidden" r:id="rId44"/>
    <sheet name="土地案例" sheetId="84" state="hidden" r:id="rId45"/>
    <sheet name="大宗" sheetId="92" r:id="rId46"/>
    <sheet name="收益法（汇总）" sheetId="70" r:id="rId47"/>
    <sheet name="收益法" sheetId="15" r:id="rId48"/>
    <sheet name="收益法办" sheetId="90" r:id="rId49"/>
    <sheet name="收益法车" sheetId="91" r:id="rId50"/>
    <sheet name="基准地价修正" sheetId="43" r:id="rId51"/>
    <sheet name="基准地价修正办" sheetId="89" r:id="rId52"/>
    <sheet name="基准地价（汇总）" sheetId="76" r:id="rId53"/>
    <sheet name="成本法" sheetId="68" r:id="rId54"/>
  </sheets>
  <externalReferences>
    <externalReference r:id="rId55"/>
    <externalReference r:id="rId56"/>
    <externalReference r:id="rId57"/>
    <externalReference r:id="rId58"/>
  </externalReferences>
  <definedNames>
    <definedName name="_xlnm._FilterDatabase" localSheetId="24" hidden="1">'比较法-办公'!$A$1:$L$50</definedName>
    <definedName name="_xlnm._FilterDatabase" localSheetId="41" hidden="1">'比较法-办公（大宗）'!$A$1:$L$50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4" hidden="1">'数据-基础表'!$A$12:$AT$587</definedName>
    <definedName name="_xlnm._FilterDatabase" localSheetId="30"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1">'比较法-办公（大宗）'!$A$1:$K$55,'比较法-办公（大宗）'!$A$58:$M$132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53">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52">'基准地价（汇总）'!$A$1:$E$13</definedName>
    <definedName name="_xlnm.Print_Area" localSheetId="50">基准地价修正!$A$1:$J$44,基准地价修正!$A$47:$H$101,基准地价修正!$R$1:$V$16</definedName>
    <definedName name="_xlnm.Print_Area" localSheetId="51">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46">'收益法（汇总）'!$A$1:$F$13</definedName>
    <definedName name="_xlnm.Print_Area" localSheetId="48">收益法办!$A$1:$F$43,收益法办!$H$3:$M$29,收益法办!$A$46:$F$71,收益法办!$I$46:$N$65</definedName>
    <definedName name="_xlnm.Print_Area" localSheetId="49">收益法车!$A$1:$F$43,收益法车!$H$3:$M$29,收益法车!$A$46:$F$71,收益法车!$I$46:$N$65</definedName>
    <definedName name="_xlnm.Print_Area" localSheetId="31">'收益法-地下'!$A$1:$F$43,'收益法-地下'!$H$3:$M$29,'收益法-地下'!$A$46:$F$71,'收益法-地下'!$I$46:$N$65</definedName>
    <definedName name="_xlnm.Print_Area" localSheetId="15">'数据-汇总表'!$A$1:$P$32</definedName>
    <definedName name="_xlnm.Print_Area" localSheetId="30">'土地比较法-工业'!$A$1:$K$61,'土地比较法-工业'!$A$64:$M$121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1">'比较法-办公（大宗）'!$B$119:$M$119</definedName>
    <definedName name="办公层高" localSheetId="45">'[1]比较法-办公'!$B$119:$M$119</definedName>
    <definedName name="办公层高">'比较法-办公'!$B$119:$M$119</definedName>
    <definedName name="办公朝向" localSheetId="41">'比较法-办公（大宗）'!$B$91:$M$91</definedName>
    <definedName name="办公朝向" localSheetId="45">'[1]比较法-办公'!$B$91:$M$91</definedName>
    <definedName name="办公朝向">'比较法-办公'!$B$91:$M$91</definedName>
    <definedName name="办公道路级别" localSheetId="41">'比较法-办公（大宗）'!$B$87:$M$87</definedName>
    <definedName name="办公道路级别" localSheetId="45">'[1]比较法-办公'!$B$87:$M$87</definedName>
    <definedName name="办公道路级别">'比较法-办公'!$B$87:$M$87</definedName>
    <definedName name="办公公共部分装修" localSheetId="41">'比较法-办公（大宗）'!$B$108:$M$108</definedName>
    <definedName name="办公公共部分装修" localSheetId="45">'[1]比较法-办公'!$B$108:$M$108</definedName>
    <definedName name="办公公共部分装修">'比较法-办公'!$B$108:$M$108</definedName>
    <definedName name="办公基础设施水平" localSheetId="41">'比较法-办公（大宗）'!$B$117:$M$117</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1">'比较法-办公（大宗）'!$B$106:$M$106</definedName>
    <definedName name="办公建筑结构" localSheetId="45">'[1]比较法-办公'!$B$106:$M$106</definedName>
    <definedName name="办公建筑结构">'比较法-办公'!$B$106:$M$106</definedName>
    <definedName name="办公建筑类型" localSheetId="41">'比较法-办公（大宗）'!$B$101:$M$101</definedName>
    <definedName name="办公建筑类型" localSheetId="45">'[1]比较法-办公'!$B$101:$M$101</definedName>
    <definedName name="办公建筑类型">'比较法-办公'!$B$101:$M$101</definedName>
    <definedName name="办公交易情况" localSheetId="41">'比较法-办公（大宗）'!$A$62:$M$62</definedName>
    <definedName name="办公交易情况" localSheetId="45">'[1]比较法-办公'!$A$62:$M$62</definedName>
    <definedName name="办公交易情况">'比较法-办公'!$A$62:$M$62</definedName>
    <definedName name="办公楼层" localSheetId="41">'比较法-办公（大宗）'!$B$89:$M$89</definedName>
    <definedName name="办公楼层" localSheetId="45">'[1]比较法-办公'!$B$89:$M$89</definedName>
    <definedName name="办公楼层">'比较法-办公'!$B$89:$M$89</definedName>
    <definedName name="办公内部装修" localSheetId="41">'比较法-办公（大宗）'!$B$123:$M$123</definedName>
    <definedName name="办公内部装修" localSheetId="45">'[1]比较法-办公'!$B$123:$M$123</definedName>
    <definedName name="办公内部装修">'比较法-办公'!$B$123:$M$123</definedName>
    <definedName name="办公物业管理" localSheetId="41">'比较法-办公（大宗）'!$B$115:$M$115</definedName>
    <definedName name="办公物业管理" localSheetId="45">'[1]比较法-办公'!$B$115:$M$115</definedName>
    <definedName name="办公物业管理">'比较法-办公'!$B$115:$M$115</definedName>
    <definedName name="办公用途" localSheetId="41">'比较法-办公（大宗）'!$B$64:$M$64</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51">基准地价修正办!$Q$19:$AD$19</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区片价!$Q$1:$Q$51</definedName>
    <definedName name="居住社区成熟度" localSheetId="45">[1]定义!$K$1:$K$6</definedName>
    <definedName name="居住社区成熟度">定义!$K$1:$K$6</definedName>
    <definedName name="可用科目">[2]隐藏数据!$B$1:$B$300</definedName>
    <definedName name="类别" localSheetId="45">[1]定义!$J$1:$J$3</definedName>
    <definedName name="类别">定义!$J$1:$J$3</definedName>
    <definedName name="临街状况" localSheetId="45">[1]定义!$T$1:$T$5</definedName>
    <definedName name="临街状况">定义!$T$1:$T$5</definedName>
    <definedName name="六级">区片价!$N$1:$N$64</definedName>
    <definedName name="内部装修维护情况" localSheetId="45">[1]定义!$U$1:$U$6</definedName>
    <definedName name="内部装修维护情况">定义!$U$1:$U$6</definedName>
    <definedName name="判定">[3]定义!$D$1:$D$4</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区片价!$K$1:$K$26</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区片价!$M$1:$M$41</definedName>
    <definedName name="项目类型" localSheetId="45">'[1]数据-汇总表'!$C$17:$C$26</definedName>
    <definedName name="项目类型" localSheetId="23">'[4]数据-汇总表'!$C$17:$C$26</definedName>
    <definedName name="项目类型">'数据-汇总表'!$C$17:$C$26</definedName>
    <definedName name="写字楼等级" localSheetId="41">'比较法-办公（大宗）'!$B$113:$M$113</definedName>
    <definedName name="写字楼等级" localSheetId="45">'[1]比较法-办公'!$B$113:$M$113</definedName>
    <definedName name="写字楼等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48" i="85" l="1"/>
  <c r="G34" i="85"/>
  <c r="E67" i="85"/>
  <c r="D67" i="85"/>
  <c r="K38" i="6" l="1"/>
  <c r="E28" i="88"/>
  <c r="E23" i="88"/>
  <c r="H30" i="88" l="1"/>
  <c r="F24" i="88"/>
  <c r="F25" i="88"/>
  <c r="F26" i="88"/>
  <c r="F27" i="88"/>
  <c r="F23" i="88"/>
  <c r="D26" i="88"/>
  <c r="D27" i="88"/>
  <c r="D25" i="88"/>
  <c r="D24" i="88"/>
  <c r="D23" i="88"/>
  <c r="G28" i="88"/>
  <c r="F28" i="88"/>
  <c r="F30" i="88" l="1"/>
  <c r="G30" i="88" s="1"/>
  <c r="W8" i="1"/>
  <c r="W7" i="1"/>
  <c r="H27" i="88" l="1"/>
  <c r="I48" i="85"/>
  <c r="E48" i="85"/>
  <c r="F138" i="85"/>
  <c r="E138" i="85"/>
  <c r="D138" i="85"/>
  <c r="F134" i="85"/>
  <c r="E135" i="85"/>
  <c r="F135" i="85"/>
  <c r="E136" i="85"/>
  <c r="F136" i="85"/>
  <c r="D136" i="85"/>
  <c r="I34" i="85"/>
  <c r="E34" i="85"/>
  <c r="X3" i="92"/>
  <c r="E139" i="85" l="1"/>
  <c r="F139" i="85"/>
  <c r="F40" i="6"/>
  <c r="F39" i="6"/>
  <c r="AK7" i="1"/>
  <c r="AK8" i="1"/>
  <c r="H16" i="88" l="1"/>
  <c r="F38" i="6" l="1"/>
  <c r="Q72" i="91" l="1"/>
  <c r="Q59" i="91"/>
  <c r="K59" i="91"/>
  <c r="P74" i="91" s="1"/>
  <c r="F59" i="91"/>
  <c r="Q58" i="91"/>
  <c r="J52" i="91"/>
  <c r="Q51" i="91"/>
  <c r="J50" i="91"/>
  <c r="M47" i="91"/>
  <c r="D46" i="91"/>
  <c r="F34" i="91"/>
  <c r="F62" i="91" s="1"/>
  <c r="F33" i="91"/>
  <c r="F61" i="91" s="1"/>
  <c r="F32" i="91"/>
  <c r="F60" i="91" s="1"/>
  <c r="F31" i="91"/>
  <c r="F28" i="91"/>
  <c r="F23" i="91"/>
  <c r="D23" i="91" s="1"/>
  <c r="F21" i="91"/>
  <c r="M20" i="91"/>
  <c r="F20" i="91"/>
  <c r="M19" i="91"/>
  <c r="M18" i="91"/>
  <c r="F18" i="91"/>
  <c r="M17" i="91"/>
  <c r="F17" i="91"/>
  <c r="F15" i="91"/>
  <c r="G1" i="91"/>
  <c r="Q72" i="90"/>
  <c r="Q59" i="90"/>
  <c r="K59" i="90"/>
  <c r="P74" i="90" s="1"/>
  <c r="F59" i="90"/>
  <c r="Q58" i="90"/>
  <c r="J52" i="90"/>
  <c r="Q51" i="90"/>
  <c r="J50" i="90"/>
  <c r="M47" i="90"/>
  <c r="D46" i="90"/>
  <c r="F34" i="90"/>
  <c r="F62" i="90" s="1"/>
  <c r="F33" i="90"/>
  <c r="F61" i="90" s="1"/>
  <c r="F32" i="90"/>
  <c r="F60" i="90" s="1"/>
  <c r="F31" i="90"/>
  <c r="F28" i="90"/>
  <c r="F23" i="90"/>
  <c r="D23" i="90" s="1"/>
  <c r="F21" i="90"/>
  <c r="M20" i="90"/>
  <c r="F20" i="90"/>
  <c r="M19" i="90"/>
  <c r="M18" i="90"/>
  <c r="F18" i="90"/>
  <c r="M17" i="90"/>
  <c r="F17" i="90"/>
  <c r="F15" i="90"/>
  <c r="G1" i="90"/>
  <c r="AH19" i="1"/>
  <c r="E24" i="88"/>
  <c r="D28" i="88"/>
  <c r="D30" i="88"/>
  <c r="C76" i="91"/>
  <c r="C76" i="90"/>
  <c r="E30" i="88" l="1"/>
  <c r="Q71" i="91"/>
  <c r="D24" i="91"/>
  <c r="P61" i="91"/>
  <c r="D22" i="91"/>
  <c r="Q71" i="90"/>
  <c r="D24" i="90"/>
  <c r="P61" i="90"/>
  <c r="D22" i="90"/>
  <c r="F8" i="90"/>
  <c r="M6" i="90"/>
  <c r="F43" i="91"/>
  <c r="M29" i="90"/>
  <c r="L47" i="90"/>
  <c r="F43" i="90"/>
  <c r="F40" i="90"/>
  <c r="F16" i="90"/>
  <c r="F7" i="90"/>
  <c r="M27" i="91"/>
  <c r="F40" i="91"/>
  <c r="M22" i="91"/>
  <c r="F36" i="91"/>
  <c r="F9" i="90"/>
  <c r="M8" i="90"/>
  <c r="M8" i="91"/>
  <c r="F6" i="90"/>
  <c r="F38" i="91"/>
  <c r="M26" i="90"/>
  <c r="L47" i="91"/>
  <c r="J15" i="90"/>
  <c r="F42" i="90"/>
  <c r="F7" i="91"/>
  <c r="M28" i="91"/>
  <c r="M6" i="91"/>
  <c r="M24" i="90"/>
  <c r="F9" i="91"/>
  <c r="M24" i="91"/>
  <c r="F36" i="90"/>
  <c r="M9" i="91"/>
  <c r="F8" i="91"/>
  <c r="F38" i="90"/>
  <c r="M27" i="90"/>
  <c r="M23" i="91"/>
  <c r="M29" i="91"/>
  <c r="M9" i="90"/>
  <c r="M22" i="90"/>
  <c r="F16" i="91"/>
  <c r="F26" i="91"/>
  <c r="F37" i="90"/>
  <c r="J15" i="91"/>
  <c r="M26" i="91"/>
  <c r="F6" i="91"/>
  <c r="M28" i="90"/>
  <c r="F26" i="90"/>
  <c r="F42" i="91"/>
  <c r="M23" i="90"/>
  <c r="F37" i="91"/>
  <c r="F68" i="91" l="1"/>
  <c r="F51" i="91"/>
  <c r="C6" i="91"/>
  <c r="M7" i="91"/>
  <c r="J6" i="91" s="1"/>
  <c r="F50" i="91"/>
  <c r="F66" i="91"/>
  <c r="F64" i="91"/>
  <c r="C27" i="91"/>
  <c r="F71" i="91"/>
  <c r="F65" i="91"/>
  <c r="F68" i="90"/>
  <c r="F51" i="90"/>
  <c r="M7" i="90"/>
  <c r="J6" i="90" s="1"/>
  <c r="F50" i="90"/>
  <c r="F66" i="90"/>
  <c r="C27" i="90"/>
  <c r="F64" i="90"/>
  <c r="F71" i="90"/>
  <c r="F65" i="90"/>
  <c r="C6" i="90"/>
  <c r="C17" i="91"/>
  <c r="C17" i="90"/>
  <c r="C49" i="91" l="1"/>
  <c r="C49" i="90"/>
  <c r="D33" i="89" l="1"/>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D42" i="89"/>
  <c r="H42" i="89" s="1"/>
  <c r="H41" i="89"/>
  <c r="H40" i="89"/>
  <c r="H39" i="89"/>
  <c r="H38" i="89"/>
  <c r="D37" i="89"/>
  <c r="H37" i="89" s="1"/>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U6" i="89"/>
  <c r="U5" i="89"/>
  <c r="U4" i="89"/>
  <c r="U3" i="89"/>
  <c r="G3" i="89"/>
  <c r="F26" i="89" s="1"/>
  <c r="U2" i="89"/>
  <c r="I2" i="89"/>
  <c r="N10" i="89" s="1"/>
  <c r="G2" i="89"/>
  <c r="F37" i="89" s="1"/>
  <c r="N1" i="89"/>
  <c r="D1" i="89"/>
  <c r="U6" i="43"/>
  <c r="U5" i="43"/>
  <c r="U4" i="43"/>
  <c r="U3" i="43"/>
  <c r="U2" i="43"/>
  <c r="D37" i="43"/>
  <c r="I7" i="6"/>
  <c r="L8" i="1"/>
  <c r="L7" i="1"/>
  <c r="M12" i="89" l="1"/>
  <c r="N9" i="89"/>
  <c r="M1" i="89"/>
  <c r="M2" i="89"/>
  <c r="C6" i="89" s="1"/>
  <c r="D5" i="89" s="1"/>
  <c r="M7" i="89"/>
  <c r="C21" i="89"/>
  <c r="M3" i="89"/>
  <c r="S5" i="89"/>
  <c r="D21" i="89"/>
  <c r="J21" i="89"/>
  <c r="S4" i="89"/>
  <c r="S6" i="89"/>
  <c r="X7" i="89"/>
  <c r="C5" i="89"/>
  <c r="H26" i="89"/>
  <c r="E44" i="89"/>
  <c r="E10" i="89"/>
  <c r="M11" i="89"/>
  <c r="N12" i="89"/>
  <c r="I18" i="89"/>
  <c r="E17" i="89" s="1"/>
  <c r="E21" i="89"/>
  <c r="L21" i="89"/>
  <c r="E11" i="89"/>
  <c r="N2" i="89"/>
  <c r="F61" i="89" s="1"/>
  <c r="N3" i="89"/>
  <c r="M6" i="89"/>
  <c r="N7" i="89"/>
  <c r="N8" i="89"/>
  <c r="H116" i="89"/>
  <c r="F42" i="89"/>
  <c r="O21" i="89"/>
  <c r="K21" i="89"/>
  <c r="S2" i="89"/>
  <c r="S3" i="89"/>
  <c r="M4" i="89"/>
  <c r="M5" i="89"/>
  <c r="N6" i="89"/>
  <c r="Z7" i="89"/>
  <c r="E9" i="89"/>
  <c r="M10" i="89"/>
  <c r="N11" i="89"/>
  <c r="H21" i="89"/>
  <c r="M21" i="89"/>
  <c r="C27" i="89"/>
  <c r="C25" i="89" s="1"/>
  <c r="F38" i="89"/>
  <c r="F39" i="89"/>
  <c r="F50" i="89"/>
  <c r="B116" i="89"/>
  <c r="J26" i="89"/>
  <c r="E26" i="89"/>
  <c r="N4" i="89"/>
  <c r="N5" i="89"/>
  <c r="M9" i="89"/>
  <c r="I21" i="89"/>
  <c r="N21" i="89"/>
  <c r="G26"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I122" i="89"/>
  <c r="J122" i="89" s="1"/>
  <c r="K122" i="89" s="1"/>
  <c r="L122" i="89" s="1"/>
  <c r="M122" i="89" s="1"/>
  <c r="I121" i="89"/>
  <c r="J121" i="89" s="1"/>
  <c r="K121" i="89" s="1"/>
  <c r="L121" i="89" s="1"/>
  <c r="M121" i="89" s="1"/>
  <c r="I120" i="89"/>
  <c r="J120" i="89" s="1"/>
  <c r="K120" i="89" s="1"/>
  <c r="L120" i="89" s="1"/>
  <c r="M120" i="89" s="1"/>
  <c r="I119" i="89"/>
  <c r="J119" i="89" s="1"/>
  <c r="K119" i="89" s="1"/>
  <c r="L119" i="89" s="1"/>
  <c r="M119" i="89" s="1"/>
  <c r="I118" i="89"/>
  <c r="J118" i="89" s="1"/>
  <c r="K118" i="89" s="1"/>
  <c r="L118" i="89" s="1"/>
  <c r="M118" i="89" s="1"/>
  <c r="D122" i="89"/>
  <c r="E122" i="89" s="1"/>
  <c r="F122" i="89" s="1"/>
  <c r="G122" i="89" s="1"/>
  <c r="H122" i="89" s="1"/>
  <c r="D121" i="89"/>
  <c r="E121" i="89" s="1"/>
  <c r="F121" i="89" s="1"/>
  <c r="D120" i="89"/>
  <c r="E120" i="89" s="1"/>
  <c r="F120" i="89" s="1"/>
  <c r="G120" i="89" s="1"/>
  <c r="H120" i="89" s="1"/>
  <c r="D119" i="89"/>
  <c r="E119" i="89" s="1"/>
  <c r="F119" i="89" s="1"/>
  <c r="G119" i="89" s="1"/>
  <c r="H119" i="89" s="1"/>
  <c r="D118" i="89"/>
  <c r="E118" i="89" s="1"/>
  <c r="F118" i="89" s="1"/>
  <c r="G118" i="89" s="1"/>
  <c r="H118" i="89" s="1"/>
  <c r="G121" i="89"/>
  <c r="H121" i="89" s="1"/>
  <c r="B122" i="89"/>
  <c r="C122" i="89" s="1"/>
  <c r="B121" i="89"/>
  <c r="C121" i="89" s="1"/>
  <c r="B120" i="89"/>
  <c r="C120" i="89" s="1"/>
  <c r="B119" i="89"/>
  <c r="C119" i="89" s="1"/>
  <c r="B118" i="89"/>
  <c r="C118" i="89" s="1"/>
  <c r="H56" i="89"/>
  <c r="H53" i="89"/>
  <c r="H50" i="89"/>
  <c r="H58" i="89"/>
  <c r="H52" i="89"/>
  <c r="H57" i="89"/>
  <c r="H55" i="89"/>
  <c r="H54" i="89"/>
  <c r="H51" i="89"/>
  <c r="D26" i="89"/>
  <c r="G21" i="89"/>
  <c r="D116" i="89" l="1"/>
  <c r="C6" i="88"/>
  <c r="C5" i="88"/>
  <c r="H18" i="88"/>
  <c r="N7" i="1" s="1"/>
  <c r="Y7" i="1" l="1"/>
  <c r="N8" i="1"/>
  <c r="Y8" i="1" s="1"/>
  <c r="F13" i="90"/>
  <c r="F13" i="91"/>
  <c r="D9" i="88" l="1"/>
  <c r="E9" i="88" s="1"/>
  <c r="E6" i="88"/>
  <c r="C4" i="88"/>
  <c r="C8" i="88" s="1"/>
  <c r="E8" i="88" s="1"/>
  <c r="E5" i="88" l="1"/>
  <c r="E4" i="88" s="1"/>
  <c r="D4" i="88"/>
  <c r="C10" i="88"/>
  <c r="C7" i="88"/>
  <c r="E7" i="88" s="1"/>
  <c r="E10" i="88" l="1"/>
  <c r="D10" i="88" s="1"/>
  <c r="G10" i="88" l="1"/>
  <c r="G21" i="6" l="1"/>
  <c r="F20" i="6"/>
  <c r="G19" i="6"/>
  <c r="M41" i="3"/>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C9" i="87"/>
  <c r="C38" i="87" s="1"/>
  <c r="D3" i="4"/>
  <c r="G117" i="39" l="1"/>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94" i="31"/>
  <c r="S376" i="31"/>
  <c r="S310" i="31"/>
  <c r="S298" i="31"/>
  <c r="S292" i="31"/>
  <c r="S268" i="31"/>
  <c r="S254" i="31"/>
  <c r="S253" i="31"/>
  <c r="S237" i="31"/>
  <c r="S234" i="31"/>
  <c r="S225" i="31"/>
  <c r="S190" i="31"/>
  <c r="S174" i="31"/>
  <c r="S126" i="31"/>
  <c r="S482" i="31"/>
  <c r="S480" i="31"/>
  <c r="S436" i="31"/>
  <c r="S116" i="31"/>
  <c r="S457" i="31"/>
  <c r="S104" i="31"/>
  <c r="S105" i="31"/>
  <c r="S512"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AO13" i="1"/>
  <c r="B11" i="76"/>
  <c r="F20" i="31"/>
  <c r="B12" i="76"/>
  <c r="B9" i="76"/>
  <c r="M23" i="15"/>
  <c r="B10" i="76"/>
  <c r="M9" i="15"/>
  <c r="F6" i="73"/>
  <c r="M28" i="15"/>
  <c r="E10" i="76"/>
  <c r="F37" i="15"/>
  <c r="M22" i="15"/>
  <c r="E11" i="76"/>
  <c r="B8" i="76"/>
  <c r="F36" i="15"/>
  <c r="F26" i="15"/>
  <c r="F6" i="15"/>
  <c r="F7" i="73"/>
  <c r="F42" i="15"/>
  <c r="C14" i="91"/>
  <c r="B13" i="76"/>
  <c r="F3" i="73"/>
  <c r="E9" i="76"/>
  <c r="L47" i="15"/>
  <c r="F9" i="15"/>
  <c r="M24" i="15"/>
  <c r="F5" i="73"/>
  <c r="M8" i="15"/>
  <c r="M26" i="15"/>
  <c r="F4" i="73"/>
  <c r="F16" i="15"/>
  <c r="E8" i="76"/>
  <c r="L48" i="90"/>
  <c r="J15" i="15"/>
  <c r="F40" i="15"/>
  <c r="F38" i="15"/>
  <c r="E13" i="76"/>
  <c r="C76" i="15"/>
  <c r="C16" i="91"/>
  <c r="E2" i="68"/>
  <c r="F8" i="15"/>
  <c r="E2" i="69"/>
  <c r="E12" i="76"/>
  <c r="F13" i="15"/>
  <c r="M6" i="15"/>
  <c r="L58" i="90" l="1"/>
  <c r="C28" i="90"/>
  <c r="C28" i="91"/>
  <c r="C32" i="91"/>
  <c r="C61" i="91"/>
  <c r="J18" i="90"/>
  <c r="J19" i="91"/>
  <c r="J19" i="90"/>
  <c r="C32" i="90"/>
  <c r="J18" i="91"/>
  <c r="C33" i="90"/>
  <c r="C33" i="91"/>
  <c r="C61" i="90"/>
  <c r="F8" i="1"/>
  <c r="J51" i="90"/>
  <c r="L57" i="90" s="1"/>
  <c r="J51" i="91"/>
  <c r="G23" i="89"/>
  <c r="I24" i="89"/>
  <c r="C24" i="89" s="1"/>
  <c r="G44" i="89"/>
  <c r="C44" i="89" s="1"/>
  <c r="M59" i="91"/>
  <c r="C18" i="91"/>
  <c r="C15" i="91"/>
  <c r="D53" i="43"/>
  <c r="D56" i="43"/>
  <c r="D51" i="43"/>
  <c r="G1" i="69"/>
  <c r="F3" i="35"/>
  <c r="G1" i="67"/>
  <c r="G1" i="68"/>
  <c r="K1" i="12"/>
  <c r="BL39" i="3"/>
  <c r="BA23" i="3"/>
  <c r="BL25" i="3"/>
  <c r="BL30" i="3"/>
  <c r="BA32" i="3"/>
  <c r="BA26" i="3"/>
  <c r="BL33" i="3"/>
  <c r="BL32" i="3"/>
  <c r="BA25" i="3"/>
  <c r="BA34" i="3"/>
  <c r="BA24" i="3"/>
  <c r="BA113" i="3"/>
  <c r="AZ113" i="3" s="1"/>
  <c r="BA22" i="3"/>
  <c r="AZ26" i="3"/>
  <c r="BA31" i="3"/>
  <c r="AZ31" i="3" s="1"/>
  <c r="AZ33" i="3"/>
  <c r="BA66" i="3"/>
  <c r="BA83" i="3"/>
  <c r="BA91" i="3"/>
  <c r="BA92" i="3"/>
  <c r="BA98" i="3"/>
  <c r="BA100" i="3"/>
  <c r="BA101" i="3"/>
  <c r="BA104" i="3"/>
  <c r="BA105" i="3"/>
  <c r="BA27" i="3"/>
  <c r="BA29" i="3"/>
  <c r="BA30" i="3"/>
  <c r="AZ30" i="3" s="1"/>
  <c r="AZ32" i="3"/>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AZ27" i="3" s="1"/>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22" i="3"/>
  <c r="AZ25" i="3"/>
  <c r="AZ35" i="3"/>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D1" i="43"/>
  <c r="E20" i="6"/>
  <c r="K7" i="1" s="1"/>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AZ24" i="3" s="1"/>
  <c r="BL28" i="3"/>
  <c r="AZ28" i="3" s="1"/>
  <c r="BL34" i="3"/>
  <c r="BA36" i="3"/>
  <c r="AZ36" i="3" s="1"/>
  <c r="BA37" i="3"/>
  <c r="AZ37" i="3" s="1"/>
  <c r="BA38" i="3"/>
  <c r="AZ38" i="3" s="1"/>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F40" i="81"/>
  <c r="F13" i="67"/>
  <c r="F6" i="67"/>
  <c r="F43" i="67"/>
  <c r="F37" i="67"/>
  <c r="M9" i="81"/>
  <c r="M6" i="67"/>
  <c r="F13" i="81"/>
  <c r="M27" i="81"/>
  <c r="D5" i="73"/>
  <c r="M29" i="67"/>
  <c r="D7" i="73"/>
  <c r="F38" i="67"/>
  <c r="M28" i="67"/>
  <c r="F38" i="81"/>
  <c r="M24" i="81"/>
  <c r="M29" i="81"/>
  <c r="F26" i="67"/>
  <c r="M22" i="67"/>
  <c r="L48" i="91"/>
  <c r="C76" i="81"/>
  <c r="F9" i="67"/>
  <c r="F9" i="81"/>
  <c r="D3" i="73"/>
  <c r="F7" i="15"/>
  <c r="M9" i="67"/>
  <c r="F43" i="81"/>
  <c r="F7" i="81"/>
  <c r="M8" i="67"/>
  <c r="F42" i="81"/>
  <c r="F26" i="81"/>
  <c r="D4" i="73"/>
  <c r="F40" i="67"/>
  <c r="F6" i="81"/>
  <c r="M8" i="81"/>
  <c r="F16" i="81"/>
  <c r="M6" i="81"/>
  <c r="F8" i="67"/>
  <c r="F7" i="67"/>
  <c r="J15" i="81"/>
  <c r="C76" i="67"/>
  <c r="F43" i="15"/>
  <c r="F8" i="81"/>
  <c r="F36" i="67"/>
  <c r="L48" i="81"/>
  <c r="F37" i="81"/>
  <c r="D6" i="73"/>
  <c r="M23" i="67"/>
  <c r="L48" i="15"/>
  <c r="M24" i="67"/>
  <c r="J15" i="67"/>
  <c r="C16" i="15"/>
  <c r="L47" i="67"/>
  <c r="F36" i="81"/>
  <c r="M26" i="67"/>
  <c r="M22" i="81"/>
  <c r="M29" i="15"/>
  <c r="F42" i="67"/>
  <c r="F16" i="67"/>
  <c r="M26" i="81"/>
  <c r="M23" i="81"/>
  <c r="L47" i="81"/>
  <c r="M28" i="81"/>
  <c r="L48" i="67"/>
  <c r="M59" i="15" l="1"/>
  <c r="M59" i="90"/>
  <c r="L56" i="91"/>
  <c r="L60" i="91"/>
  <c r="L58" i="91"/>
  <c r="L57" i="91"/>
  <c r="M24" i="89"/>
  <c r="O23" i="89"/>
  <c r="C23" i="89"/>
  <c r="P28" i="89"/>
  <c r="P27" i="89"/>
  <c r="P25" i="89"/>
  <c r="P29" i="89"/>
  <c r="P26" i="89"/>
  <c r="Q73" i="90"/>
  <c r="Q60" i="90"/>
  <c r="J57" i="91"/>
  <c r="J55" i="91" s="1"/>
  <c r="J58" i="91" s="1"/>
  <c r="Q50" i="91" s="1"/>
  <c r="I54" i="91"/>
  <c r="N59" i="91"/>
  <c r="L59" i="91"/>
  <c r="J53" i="91"/>
  <c r="J57" i="90"/>
  <c r="J55" i="90" s="1"/>
  <c r="J58" i="90" s="1"/>
  <c r="Q50" i="90" s="1"/>
  <c r="J53" i="90"/>
  <c r="I54" i="90"/>
  <c r="N59" i="90"/>
  <c r="L59" i="90"/>
  <c r="L60" i="90"/>
  <c r="G8" i="1"/>
  <c r="L56" i="90"/>
  <c r="C19" i="91"/>
  <c r="C20" i="91" s="1"/>
  <c r="C26" i="91" s="1"/>
  <c r="M11" i="91"/>
  <c r="J10" i="91" s="1"/>
  <c r="J5" i="91" s="1"/>
  <c r="F11" i="91"/>
  <c r="M11" i="90"/>
  <c r="J10" i="90" s="1"/>
  <c r="J5"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F31"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C32" i="15" s="1"/>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1" i="40"/>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F27" i="68"/>
  <c r="AE12" i="1"/>
  <c r="AE10" i="1"/>
  <c r="C16" i="67"/>
  <c r="C16" i="81"/>
  <c r="C16" i="90"/>
  <c r="G1" i="73"/>
  <c r="F41" i="81"/>
  <c r="C14" i="90"/>
  <c r="Q74" i="67" l="1"/>
  <c r="F45" i="69"/>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3" i="89"/>
  <c r="C37" i="89"/>
  <c r="T2" i="89"/>
  <c r="V2" i="89" s="1"/>
  <c r="C42" i="89"/>
  <c r="T12" i="89"/>
  <c r="V12" i="89" s="1"/>
  <c r="C41" i="89"/>
  <c r="T14" i="89"/>
  <c r="V14" i="89" s="1"/>
  <c r="T9" i="89"/>
  <c r="V9" i="89" s="1"/>
  <c r="Q73" i="91"/>
  <c r="Q60" i="91"/>
  <c r="Q74" i="91"/>
  <c r="Q61" i="91"/>
  <c r="Q66" i="91"/>
  <c r="Q57" i="91"/>
  <c r="Q66" i="90"/>
  <c r="Q57" i="90"/>
  <c r="Q52" i="90"/>
  <c r="F1" i="90"/>
  <c r="C18" i="90"/>
  <c r="C15" i="90"/>
  <c r="C53" i="91"/>
  <c r="C48" i="91" s="1"/>
  <c r="C10" i="91"/>
  <c r="C5" i="91" s="1"/>
  <c r="J26" i="91"/>
  <c r="J24" i="91"/>
  <c r="C29" i="69"/>
  <c r="D27" i="69" s="1"/>
  <c r="Q73" i="67"/>
  <c r="C53" i="90"/>
  <c r="C48" i="90" s="1"/>
  <c r="C10" i="90"/>
  <c r="C5" i="90" s="1"/>
  <c r="J26" i="90"/>
  <c r="J24" i="90"/>
  <c r="Q52" i="67"/>
  <c r="C49" i="67"/>
  <c r="AZ5" i="3"/>
  <c r="E3" i="6"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B14" i="74"/>
  <c r="U37" i="34"/>
  <c r="AB37" i="34"/>
  <c r="F48" i="68"/>
  <c r="C30" i="68"/>
  <c r="F48" i="69"/>
  <c r="C30" i="69"/>
  <c r="C48" i="69"/>
  <c r="C48" i="11"/>
  <c r="C30" i="11"/>
  <c r="F69" i="81"/>
  <c r="C53" i="81"/>
  <c r="C10" i="81"/>
  <c r="C5" i="81" s="1"/>
  <c r="H6" i="3"/>
  <c r="AY6" i="3"/>
  <c r="AY253" i="3" s="1"/>
  <c r="AC6" i="3"/>
  <c r="B40" i="1"/>
  <c r="B11" i="71"/>
  <c r="B10" i="71" s="1"/>
  <c r="B9" i="71" s="1"/>
  <c r="B8" i="71" s="1"/>
  <c r="B7" i="71" s="1"/>
  <c r="B6" i="71" s="1"/>
  <c r="B5" i="71" s="1"/>
  <c r="S12" i="71"/>
  <c r="Q66" i="71"/>
  <c r="Q65" i="71"/>
  <c r="T36" i="36"/>
  <c r="G36" i="36" s="1"/>
  <c r="G41" i="36" s="1"/>
  <c r="H41" i="36" s="1"/>
  <c r="V42" i="37"/>
  <c r="I42"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2" i="6"/>
  <c r="O14" i="1"/>
  <c r="O16" i="1" s="1"/>
  <c r="M16" i="1"/>
  <c r="D3" i="21"/>
  <c r="E6" i="6"/>
  <c r="D37" i="11"/>
  <c r="D14" i="12"/>
  <c r="M18" i="9"/>
  <c r="D3" i="34"/>
  <c r="D19" i="11"/>
  <c r="C19" i="11" s="1"/>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AE8" i="1"/>
  <c r="F41" i="67"/>
  <c r="M27" i="67"/>
  <c r="M27" i="15"/>
  <c r="AE7" i="1"/>
  <c r="C19" i="90" l="1"/>
  <c r="G41" i="89"/>
  <c r="I41" i="89" s="1"/>
  <c r="E41" i="89"/>
  <c r="E37" i="89"/>
  <c r="G37" i="89"/>
  <c r="I37" i="89" s="1"/>
  <c r="G38" i="89"/>
  <c r="I38" i="89" s="1"/>
  <c r="E38" i="89"/>
  <c r="E33" i="89"/>
  <c r="C34" i="89"/>
  <c r="E34" i="89" s="1"/>
  <c r="G42" i="89"/>
  <c r="I42" i="89" s="1"/>
  <c r="E42" i="89"/>
  <c r="E39" i="89"/>
  <c r="G39" i="89"/>
  <c r="I39" i="89" s="1"/>
  <c r="G40" i="89"/>
  <c r="I40" i="89" s="1"/>
  <c r="E40" i="89"/>
  <c r="C20" i="90"/>
  <c r="C26" i="90" s="1"/>
  <c r="F24" i="90"/>
  <c r="C24" i="90" s="1"/>
  <c r="F24" i="91"/>
  <c r="C38" i="91"/>
  <c r="C66" i="91"/>
  <c r="C60" i="91"/>
  <c r="C38" i="90"/>
  <c r="C66" i="90"/>
  <c r="C60" i="90"/>
  <c r="F25" i="12"/>
  <c r="C26" i="12" s="1"/>
  <c r="D25" i="12" s="1"/>
  <c r="L36" i="89"/>
  <c r="U10" i="40"/>
  <c r="C34" i="85"/>
  <c r="D3" i="85"/>
  <c r="E65" i="39"/>
  <c r="AY347" i="3"/>
  <c r="K19" i="6"/>
  <c r="S6" i="1" s="1"/>
  <c r="K23" i="6"/>
  <c r="AY122" i="3"/>
  <c r="K24" i="6"/>
  <c r="K20" i="6"/>
  <c r="E31" i="6"/>
  <c r="K25" i="6"/>
  <c r="M25" i="6" s="1"/>
  <c r="I25" i="6" s="1"/>
  <c r="S25" i="6" s="1"/>
  <c r="K21" i="6"/>
  <c r="S8" i="1" s="1"/>
  <c r="E8" i="70" s="1"/>
  <c r="AY580" i="3"/>
  <c r="AY147" i="3"/>
  <c r="AY451" i="3"/>
  <c r="AY179" i="3"/>
  <c r="BO6" i="3"/>
  <c r="AY250" i="3"/>
  <c r="BA6" i="3"/>
  <c r="AY214" i="3"/>
  <c r="E6" i="3"/>
  <c r="F34" i="85"/>
  <c r="J34" i="85"/>
  <c r="H34" i="85"/>
  <c r="F46" i="85"/>
  <c r="J46" i="85"/>
  <c r="H46" i="85"/>
  <c r="W7" i="85"/>
  <c r="AC7" i="85"/>
  <c r="AA7" i="85"/>
  <c r="S7" i="85"/>
  <c r="U7" i="85"/>
  <c r="AB7" i="85"/>
  <c r="K25" i="9"/>
  <c r="L25" i="9"/>
  <c r="B118" i="9"/>
  <c r="J26" i="81"/>
  <c r="J29" i="81" s="1"/>
  <c r="C48" i="81"/>
  <c r="C60" i="81" s="1"/>
  <c r="F69" i="67"/>
  <c r="AY307" i="3"/>
  <c r="AY551" i="3"/>
  <c r="AY208" i="3"/>
  <c r="AY564" i="3"/>
  <c r="AY306" i="3"/>
  <c r="AY424" i="3"/>
  <c r="AY345" i="3"/>
  <c r="AY134" i="3"/>
  <c r="AY226" i="3"/>
  <c r="AY571" i="3"/>
  <c r="AY409" i="3"/>
  <c r="BT6" i="3"/>
  <c r="AY200" i="3"/>
  <c r="AY151" i="3"/>
  <c r="AY445" i="3"/>
  <c r="AY583" i="3"/>
  <c r="AY102" i="3"/>
  <c r="AY30" i="3"/>
  <c r="AY304" i="3"/>
  <c r="BC6" i="3"/>
  <c r="AY256" i="3"/>
  <c r="AY587" i="3"/>
  <c r="AY264" i="3"/>
  <c r="AY423" i="3"/>
  <c r="AY37" i="3"/>
  <c r="AY161" i="3"/>
  <c r="AY417" i="3"/>
  <c r="AY518" i="3"/>
  <c r="AY239" i="3"/>
  <c r="AY486" i="3"/>
  <c r="AY349" i="3"/>
  <c r="AY108" i="3"/>
  <c r="AY87" i="3"/>
  <c r="AY152" i="3"/>
  <c r="AY303" i="3"/>
  <c r="AY363" i="3"/>
  <c r="AY228" i="3"/>
  <c r="BK6" i="3"/>
  <c r="AY28" i="3"/>
  <c r="AY294" i="3"/>
  <c r="AY554" i="3"/>
  <c r="AY290" i="3"/>
  <c r="AY488"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1" i="74"/>
  <c r="AY521" i="3"/>
  <c r="AY257" i="3"/>
  <c r="AY568" i="3"/>
  <c r="AY394" i="3"/>
  <c r="AY79" i="3"/>
  <c r="AY505" i="3"/>
  <c r="AY305" i="3"/>
  <c r="AY174" i="3"/>
  <c r="AY474" i="3"/>
  <c r="AY175" i="3"/>
  <c r="AY421" i="3"/>
  <c r="AY296" i="3"/>
  <c r="AY548" i="3"/>
  <c r="AY418" i="3"/>
  <c r="AY385" i="3"/>
  <c r="AY498" i="3"/>
  <c r="AY416" i="3"/>
  <c r="AY367" i="3"/>
  <c r="AY119" i="3"/>
  <c r="AY70" i="3"/>
  <c r="AY517" i="3"/>
  <c r="AY314" i="3"/>
  <c r="AY187" i="3"/>
  <c r="AY502" i="3"/>
  <c r="AY484" i="3"/>
  <c r="AY282" i="3"/>
  <c r="AY514" i="3"/>
  <c r="AY324" i="3"/>
  <c r="AY373" i="3"/>
  <c r="AY84" i="3"/>
  <c r="AY116" i="3"/>
  <c r="AY112" i="3"/>
  <c r="AY454" i="3"/>
  <c r="AY93" i="3"/>
  <c r="AY182" i="3"/>
  <c r="AY355" i="3"/>
  <c r="AY18" i="3"/>
  <c r="AY427" i="3"/>
  <c r="AY24" i="3"/>
  <c r="AY138" i="3"/>
  <c r="AY465" i="3"/>
  <c r="AY74" i="3"/>
  <c r="AY144"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7" i="12"/>
  <c r="C17" i="12" s="1"/>
  <c r="D10" i="11"/>
  <c r="C10" i="11" s="1"/>
  <c r="D20" i="12"/>
  <c r="C20" i="12" s="1"/>
  <c r="D15" i="6"/>
  <c r="D14" i="6"/>
  <c r="D11"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C17" i="81"/>
  <c r="F41" i="90"/>
  <c r="F41" i="15"/>
  <c r="F41" i="91"/>
  <c r="C31" i="89" l="1"/>
  <c r="C30" i="89"/>
  <c r="F69" i="15"/>
  <c r="F69" i="90"/>
  <c r="J29" i="90"/>
  <c r="F69" i="91"/>
  <c r="J29" i="91"/>
  <c r="C23" i="90"/>
  <c r="C29" i="90" s="1"/>
  <c r="C24" i="91"/>
  <c r="C23" i="91"/>
  <c r="N36" i="89"/>
  <c r="M36" i="89"/>
  <c r="Q36" i="89"/>
  <c r="P36" i="89"/>
  <c r="L37" i="89"/>
  <c r="O36" i="89"/>
  <c r="K27" i="6"/>
  <c r="AQ8" i="1"/>
  <c r="H26" i="6"/>
  <c r="C18" i="4"/>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C15" i="12"/>
  <c r="C12" i="12"/>
  <c r="D27" i="6"/>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F35" i="81"/>
  <c r="C14" i="15"/>
  <c r="E7" i="76"/>
  <c r="M21" i="81"/>
  <c r="B2" i="89" l="1"/>
  <c r="C29" i="91"/>
  <c r="Q49" i="91" s="1"/>
  <c r="Q49" i="90"/>
  <c r="C36" i="90"/>
  <c r="J14" i="90"/>
  <c r="C13" i="90"/>
  <c r="C57" i="90"/>
  <c r="C64" i="90" s="1"/>
  <c r="J59" i="90"/>
  <c r="J60" i="90" s="1"/>
  <c r="Q37" i="89"/>
  <c r="M37" i="89"/>
  <c r="P37" i="89"/>
  <c r="O37" i="89"/>
  <c r="N37" i="89"/>
  <c r="R21" i="6"/>
  <c r="R8" i="1" s="1"/>
  <c r="R24" i="6"/>
  <c r="R11" i="1" s="1"/>
  <c r="D30" i="6"/>
  <c r="D8" i="74"/>
  <c r="D7" i="74"/>
  <c r="R25" i="6"/>
  <c r="R12" i="1" s="1"/>
  <c r="D31" i="6"/>
  <c r="I5" i="6"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G3" i="43" s="1"/>
  <c r="C23" i="69"/>
  <c r="I69" i="39"/>
  <c r="J67" i="39"/>
  <c r="I63" i="40"/>
  <c r="H65" i="40"/>
  <c r="I58" i="21"/>
  <c r="J58" i="21" s="1"/>
  <c r="K58" i="21" s="1"/>
  <c r="L58" i="21" s="1"/>
  <c r="M58" i="21" s="1"/>
  <c r="N58" i="21" s="1"/>
  <c r="O58" i="21" s="1"/>
  <c r="H7" i="21" s="1"/>
  <c r="J48" i="35"/>
  <c r="F35" i="91"/>
  <c r="M21" i="91"/>
  <c r="B7" i="76"/>
  <c r="J59" i="91" l="1"/>
  <c r="J60" i="91" s="1"/>
  <c r="Q48" i="91" s="1"/>
  <c r="B3" i="89"/>
  <c r="C13" i="91"/>
  <c r="C56" i="91" s="1"/>
  <c r="C65" i="91" s="1"/>
  <c r="J14" i="91"/>
  <c r="J13" i="91" s="1"/>
  <c r="J23" i="91" s="1"/>
  <c r="C36" i="91"/>
  <c r="C57" i="91"/>
  <c r="C64" i="91" s="1"/>
  <c r="R50" i="85"/>
  <c r="F63" i="91"/>
  <c r="C62" i="91" s="1"/>
  <c r="C59" i="91" s="1"/>
  <c r="C34" i="91"/>
  <c r="C31" i="91" s="1"/>
  <c r="J20" i="91"/>
  <c r="J17" i="91" s="1"/>
  <c r="C37" i="91"/>
  <c r="C37" i="90"/>
  <c r="C56" i="90"/>
  <c r="C65" i="90" s="1"/>
  <c r="C75" i="90"/>
  <c r="Q70" i="90"/>
  <c r="J13" i="90"/>
  <c r="J23" i="90" s="1"/>
  <c r="J22" i="90"/>
  <c r="Q48" i="90"/>
  <c r="L46" i="90"/>
  <c r="G54" i="85"/>
  <c r="H54" i="85" s="1"/>
  <c r="I54" i="85"/>
  <c r="J54" i="85" s="1"/>
  <c r="G54" i="34"/>
  <c r="H54" i="34" s="1"/>
  <c r="R50" i="34"/>
  <c r="C50" i="34" s="1"/>
  <c r="R24" i="31" s="1"/>
  <c r="G53" i="34"/>
  <c r="H53" i="34" s="1"/>
  <c r="C19" i="81"/>
  <c r="C20" i="81" s="1"/>
  <c r="C26" i="81" s="1"/>
  <c r="F26" i="43"/>
  <c r="E26" i="43"/>
  <c r="N94" i="46"/>
  <c r="N370" i="46"/>
  <c r="Z7" i="43"/>
  <c r="H26" i="43"/>
  <c r="J26" i="43"/>
  <c r="G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L46" i="91" l="1"/>
  <c r="Q70" i="91"/>
  <c r="C75" i="91"/>
  <c r="J22" i="91"/>
  <c r="J16" i="91" s="1"/>
  <c r="J25" i="91" s="1"/>
  <c r="C58" i="91"/>
  <c r="C67" i="91" s="1"/>
  <c r="C68" i="91" s="1"/>
  <c r="C71" i="91" s="1"/>
  <c r="C50" i="85"/>
  <c r="C49" i="85"/>
  <c r="C30" i="91"/>
  <c r="C39" i="91" s="1"/>
  <c r="C80" i="91" s="1"/>
  <c r="C79" i="91" s="1"/>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D26" i="43"/>
  <c r="C25" i="43" s="1"/>
  <c r="C33" i="43" s="1"/>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90"/>
  <c r="F35" i="15"/>
  <c r="F35" i="67"/>
  <c r="M21" i="67"/>
  <c r="F35" i="90"/>
  <c r="M21" i="15"/>
  <c r="C40" i="91" l="1"/>
  <c r="Q47" i="91" s="1"/>
  <c r="Q53" i="91" s="1"/>
  <c r="Q69" i="91"/>
  <c r="Q68" i="91" s="1"/>
  <c r="B3" i="85"/>
  <c r="B2" i="85"/>
  <c r="C43" i="68"/>
  <c r="B2" i="91"/>
  <c r="B3" i="91" s="1"/>
  <c r="J20" i="90"/>
  <c r="J17" i="90" s="1"/>
  <c r="J16" i="90" s="1"/>
  <c r="J25" i="90" s="1"/>
  <c r="F63" i="90"/>
  <c r="C62" i="90" s="1"/>
  <c r="C59" i="90" s="1"/>
  <c r="C58" i="90" s="1"/>
  <c r="C67" i="90" s="1"/>
  <c r="C68" i="90" s="1"/>
  <c r="C34" i="90"/>
  <c r="C31" i="90" s="1"/>
  <c r="C30" i="90" s="1"/>
  <c r="C39"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91"/>
  <c r="E6" i="76"/>
  <c r="Q67" i="91" l="1"/>
  <c r="C46" i="91"/>
  <c r="C83" i="91"/>
  <c r="C82" i="91" s="1"/>
  <c r="C43" i="91"/>
  <c r="Q56" i="91"/>
  <c r="Q62" i="91" s="1"/>
  <c r="Q65" i="91"/>
  <c r="Q75" i="91" s="1"/>
  <c r="C40" i="90"/>
  <c r="Q69" i="90"/>
  <c r="Q68" i="90" s="1"/>
  <c r="C80" i="90"/>
  <c r="C79" i="90" s="1"/>
  <c r="C71" i="90"/>
  <c r="C46" i="90"/>
  <c r="S22" i="31"/>
  <c r="R22" i="31" s="1"/>
  <c r="L46" i="81"/>
  <c r="E2" i="76"/>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90"/>
  <c r="L51" i="81"/>
  <c r="Q67" i="90" l="1"/>
  <c r="Q65" i="90"/>
  <c r="Q75" i="90" s="1"/>
  <c r="C43" i="90"/>
  <c r="B2" i="90"/>
  <c r="B3" i="90" s="1"/>
  <c r="Q47" i="90"/>
  <c r="Q53" i="90" s="1"/>
  <c r="Q56" i="90"/>
  <c r="Q62" i="90" s="1"/>
  <c r="C83" i="90"/>
  <c r="C82" i="90" s="1"/>
  <c r="B20" i="31"/>
  <c r="B21" i="31" s="1"/>
  <c r="B2" i="76"/>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76" l="1"/>
  <c r="C6" i="68"/>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2" i="36"/>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0" i="1"/>
  <c r="AO9" i="1"/>
  <c r="AO11" i="1"/>
  <c r="AO12" i="1"/>
  <c r="AO8" i="1"/>
  <c r="AO7" i="1"/>
  <c r="R48" i="39" l="1"/>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B3" i="15" l="1"/>
  <c r="C47" i="39"/>
  <c r="B6" i="70"/>
  <c r="B2" i="70"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70"/>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G38" i="6" s="1"/>
  <c r="D22" i="9"/>
  <c r="D21" i="9"/>
  <c r="D102" i="9"/>
  <c r="B3" i="68"/>
  <c r="D59" i="9"/>
  <c r="M55" i="9" s="1"/>
  <c r="D34" i="9"/>
  <c r="D35" i="9"/>
  <c r="C20" i="9"/>
  <c r="D20" i="9"/>
  <c r="C103" i="9" l="1"/>
  <c r="G21" i="9"/>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D48" i="9" l="1"/>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M69" i="9"/>
  <c r="N69" i="9" s="1"/>
  <c r="C96" i="9"/>
  <c r="E96" i="9" s="1"/>
  <c r="E97" i="9" s="1"/>
  <c r="C81" i="9" l="1"/>
  <c r="C97" i="9"/>
  <c r="D56" i="9" s="1"/>
  <c r="N57" i="9" l="1"/>
  <c r="P57" i="9" s="1"/>
  <c r="M54" i="9"/>
  <c r="N58" i="9" l="1"/>
  <c r="N59" i="9"/>
  <c r="H111" i="9" s="1"/>
  <c r="D126" i="9" s="1"/>
  <c r="N60" i="9" l="1"/>
  <c r="N61" i="9"/>
  <c r="H112" i="9" s="1"/>
  <c r="P37" i="9"/>
  <c r="P38" i="9" s="1"/>
  <c r="P39" i="9" s="1"/>
  <c r="J19" i="9"/>
  <c r="D19" i="53"/>
  <c r="B38" i="72" s="1"/>
  <c r="D21" i="53"/>
  <c r="B39" i="72" s="1"/>
  <c r="C8" i="74"/>
  <c r="D12" i="52"/>
  <c r="D127" i="9"/>
  <c r="D13" i="52" s="1"/>
  <c r="D20" i="53" l="1"/>
  <c r="B40" i="72" s="1"/>
  <c r="D135"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<sst xmlns="http://schemas.openxmlformats.org/spreadsheetml/2006/main" count="12519" uniqueCount="4360">
  <si>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</si>
  <si>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</si>
  <si>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</si>
  <si>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</si>
  <si>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</si>
  <si>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</si>
  <si>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</si>
  <si>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</si>
  <si>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</si>
  <si>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</si>
  <si>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</si>
  <si>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</si>
  <si>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</si>
  <si>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</si>
  <si>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</si>
  <si>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</si>
  <si>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</si>
  <si>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</si>
  <si>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</si>
  <si>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</si>
  <si>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</si>
  <si>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</si>
  <si>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</si>
  <si>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</si>
  <si>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</si>
  <si>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</si>
  <si>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</si>
  <si>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</si>
  <si>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</si>
  <si>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</si>
  <si>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</si>
  <si>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</si>
  <si>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</si>
  <si>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</si>
  <si>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</si>
  <si>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</si>
  <si>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</si>
  <si>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</si>
  <si>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</si>
  <si>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</si>
  <si>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</si>
  <si>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</si>
  <si>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</si>
  <si>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</si>
  <si>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</si>
  <si>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</si>
  <si>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</si>
  <si>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</si>
  <si>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</si>
  <si>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</si>
  <si>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</si>
  <si>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</si>
  <si>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</si>
  <si>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</si>
  <si>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</si>
  <si>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</si>
  <si>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</si>
  <si>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</si>
  <si>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</si>
  <si>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</si>
  <si>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</si>
  <si>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</si>
  <si>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</si>
  <si>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</si>
  <si>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</si>
  <si>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</si>
  <si>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</si>
  <si>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</si>
  <si>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</si>
  <si>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</si>
  <si>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</si>
  <si>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</si>
  <si>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</si>
  <si>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</si>
  <si>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</si>
  <si>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</si>
  <si>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</si>
  <si>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</si>
  <si>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</si>
  <si>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</si>
  <si>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</si>
  <si>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</si>
  <si>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</si>
  <si>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</si>
  <si>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</si>
  <si>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</si>
  <si>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</si>
  <si>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</si>
  <si>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</si>
  <si>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</si>
  <si>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</si>
  <si>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</si>
  <si>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</si>
  <si>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</si>
  <si>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</si>
  <si>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</si>
  <si>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</si>
  <si>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</si>
  <si>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</si>
  <si>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</si>
  <si>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</si>
  <si>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</si>
  <si>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</si>
  <si>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</si>
  <si>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</si>
  <si>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</si>
  <si>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</si>
  <si>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</si>
  <si>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</si>
  <si>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</si>
  <si>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</si>
  <si>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</si>
  <si>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</si>
  <si>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</si>
  <si>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</si>
  <si>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</si>
  <si>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</si>
  <si>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</si>
  <si>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</si>
  <si>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</si>
  <si>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</si>
  <si>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</si>
  <si>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</si>
  <si>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</si>
  <si>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</si>
  <si>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</si>
  <si>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</si>
  <si>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</si>
  <si>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</si>
  <si>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</si>
  <si>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</si>
  <si>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</si>
  <si>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</si>
  <si>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</si>
  <si>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</si>
  <si>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</si>
  <si>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</si>
  <si>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</si>
  <si>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</si>
  <si>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</si>
  <si>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</si>
  <si>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</si>
  <si>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</si>
  <si>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</si>
  <si>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</si>
  <si>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</si>
  <si>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</si>
  <si>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</si>
  <si>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</si>
  <si>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</si>
  <si>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</si>
  <si>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</si>
  <si>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</si>
  <si>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</si>
  <si>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</si>
  <si>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</si>
  <si>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</si>
  <si>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</si>
  <si>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</si>
  <si>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</si>
  <si>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</si>
  <si>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</si>
  <si>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</si>
  <si>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</si>
  <si>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</si>
  <si>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</si>
  <si>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</si>
  <si>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</si>
  <si>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</si>
  <si>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</si>
  <si>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</si>
  <si>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</si>
  <si>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</si>
  <si>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</si>
  <si>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</si>
  <si>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</si>
  <si>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</si>
  <si>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</si>
  <si>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</si>
  <si>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</si>
  <si>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</si>
  <si>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</si>
  <si>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</si>
  <si>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</si>
  <si>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</si>
  <si>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</si>
  <si>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</si>
  <si>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</si>
  <si>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</si>
  <si>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</si>
  <si>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</si>
  <si>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</si>
  <si>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</si>
  <si>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</si>
  <si>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</si>
  <si>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</si>
  <si>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</si>
  <si>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</si>
  <si>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</si>
  <si>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</si>
  <si>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</si>
  <si>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</si>
  <si>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</si>
  <si>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</si>
  <si>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</si>
  <si>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</si>
  <si>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</si>
  <si>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</si>
  <si>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</si>
  <si>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</si>
  <si>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</si>
  <si>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</si>
  <si>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</si>
  <si>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</si>
  <si>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</si>
  <si>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</si>
  <si>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</si>
  <si>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</si>
  <si>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</si>
  <si>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</si>
  <si>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</si>
  <si>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</si>
  <si>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</si>
  <si>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</si>
  <si>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</si>
  <si>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</si>
  <si>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</si>
  <si>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</si>
  <si>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</si>
  <si>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</si>
  <si>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</si>
  <si>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</si>
  <si>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</si>
  <si>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</si>
  <si>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</si>
  <si>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</si>
  <si>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</si>
  <si>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</si>
  <si>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</si>
  <si>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</si>
  <si>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</si>
  <si>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</si>
  <si>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</si>
  <si>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</si>
  <si>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</si>
  <si>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</si>
  <si>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</si>
  <si>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</si>
  <si>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</si>
  <si>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</si>
  <si>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</si>
  <si>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</si>
  <si>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</si>
  <si>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</si>
  <si>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</si>
  <si>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</si>
  <si>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</si>
  <si>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</si>
  <si>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</si>
  <si>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</si>
  <si>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</si>
  <si>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</si>
  <si>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</si>
  <si>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</si>
  <si>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</si>
  <si>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</si>
  <si>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</si>
  <si>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</si>
  <si>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</si>
  <si>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</si>
  <si>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</si>
  <si>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</si>
  <si>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</si>
  <si>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</si>
  <si>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</si>
  <si>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</si>
  <si>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</si>
  <si>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</si>
  <si>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</si>
  <si>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</si>
  <si>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</si>
  <si>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</si>
  <si>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</si>
  <si>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</si>
  <si>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</si>
  <si>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</si>
  <si>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</si>
  <si>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</si>
  <si>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</si>
  <si>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</si>
  <si>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</si>
  <si>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</si>
  <si>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</si>
  <si>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</si>
  <si>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</si>
  <si>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</si>
  <si>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</si>
  <si>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</si>
  <si>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</si>
  <si>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</si>
  <si>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</si>
  <si>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</si>
  <si>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</si>
  <si>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</si>
  <si>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</si>
  <si>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</si>
  <si>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</si>
  <si>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</si>
  <si>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</si>
  <si>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</si>
  <si>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</si>
  <si>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</si>
  <si>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</si>
  <si>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</si>
  <si>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</si>
  <si>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</si>
  <si>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</si>
  <si>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</si>
  <si>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</si>
  <si>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</si>
  <si>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</si>
  <si>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</si>
  <si>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</si>
  <si>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</si>
  <si>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</si>
  <si>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</si>
  <si>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</si>
  <si>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</si>
  <si>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</si>
  <si>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</si>
  <si>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</si>
  <si>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</si>
  <si>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</si>
  <si>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</si>
  <si>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</si>
  <si>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</si>
  <si>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</si>
  <si>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</si>
  <si>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</si>
  <si>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</si>
  <si>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</si>
  <si>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</si>
  <si>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</si>
  <si>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</si>
  <si>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</si>
  <si>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</si>
  <si>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</si>
  <si>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</si>
  <si>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</si>
  <si>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</si>
  <si>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</si>
  <si>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</si>
  <si>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</si>
  <si>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</si>
  <si>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</si>
  <si>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</si>
  <si>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</si>
  <si>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</si>
  <si>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</si>
  <si>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</si>
  <si>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</si>
  <si>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</si>
  <si>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</si>
  <si>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</si>
  <si>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</si>
  <si>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</si>
  <si>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</si>
  <si>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</si>
  <si>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</si>
  <si>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</si>
  <si>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</si>
  <si>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</si>
  <si>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</si>
  <si>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</si>
  <si>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</si>
  <si>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</si>
  <si>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</si>
  <si>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</si>
  <si>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</si>
  <si>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</si>
  <si>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</si>
  <si>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</si>
  <si>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</si>
  <si>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</si>
  <si>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</si>
  <si>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</si>
  <si>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</si>
  <si>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</si>
  <si>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</si>
  <si>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</si>
  <si>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</si>
  <si>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</si>
  <si>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</si>
  <si>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</si>
  <si>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</si>
  <si>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</si>
  <si>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</si>
  <si>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</si>
  <si>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</si>
  <si>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</si>
  <si>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</si>
  <si>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</si>
  <si>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</si>
  <si>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</si>
  <si>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</si>
  <si>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</si>
  <si>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</si>
  <si>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</si>
  <si>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</si>
  <si>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</si>
  <si>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</si>
  <si>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</si>
  <si>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</si>
  <si>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</si>
  <si>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</si>
  <si>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</si>
  <si>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</si>
  <si>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</si>
  <si>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</si>
  <si>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</si>
  <si>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</si>
  <si>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</si>
  <si>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</si>
  <si>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</si>
  <si>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</si>
  <si>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</si>
  <si>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</si>
  <si>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</si>
  <si>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</si>
  <si>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</si>
  <si>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</si>
  <si>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</si>
  <si>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</si>
  <si>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</si>
  <si>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</si>
  <si>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</si>
  <si>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</si>
  <si>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</si>
  <si>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</si>
  <si>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</si>
  <si>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</si>
  <si>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</si>
  <si>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</si>
  <si>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</si>
  <si>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</si>
  <si>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</si>
  <si>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</si>
  <si>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</si>
  <si>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</si>
  <si>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</si>
  <si>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</si>
  <si>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</si>
  <si>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</si>
  <si>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</si>
  <si>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</si>
  <si>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</si>
  <si>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</si>
  <si>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</si>
  <si>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</si>
  <si>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</si>
  <si>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</si>
  <si>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</si>
  <si>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</si>
  <si>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</si>
  <si>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</si>
  <si>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</si>
  <si>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</si>
  <si>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</si>
  <si>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</si>
  <si>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</si>
  <si>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</si>
  <si>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</si>
  <si>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</si>
  <si>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</si>
  <si>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</si>
  <si>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</si>
  <si>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</si>
  <si>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</si>
  <si>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</si>
  <si>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</si>
  <si>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</si>
  <si>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</si>
  <si>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</si>
  <si>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</si>
  <si>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</si>
  <si>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</si>
  <si>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</si>
  <si>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</si>
  <si>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</si>
  <si>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</si>
  <si>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</si>
  <si>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</si>
  <si>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</si>
  <si>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</si>
  <si>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</si>
  <si>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</si>
  <si>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</si>
  <si>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</si>
  <si>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</si>
  <si>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</si>
  <si>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</si>
  <si>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</si>
  <si>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</si>
  <si>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</si>
  <si>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</si>
  <si>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</si>
  <si>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</si>
  <si>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</si>
  <si>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</si>
  <si>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</si>
  <si>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</si>
  <si>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</si>
  <si>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</si>
  <si>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</si>
  <si>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</si>
  <si>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</si>
  <si>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</si>
  <si>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</si>
  <si>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</si>
  <si>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</si>
  <si>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</si>
  <si>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</si>
  <si>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</si>
  <si>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</si>
  <si>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</si>
  <si>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</si>
  <si>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</si>
  <si>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</si>
  <si>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</si>
  <si>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</si>
  <si>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</si>
  <si>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</si>
  <si>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</si>
  <si>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</si>
  <si>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</si>
  <si>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</si>
  <si>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</si>
  <si>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</si>
  <si>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</si>
  <si>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</si>
  <si>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</si>
  <si>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</si>
  <si>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</si>
  <si>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</si>
  <si>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</si>
  <si>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</si>
  <si>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</si>
  <si>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</si>
  <si>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</si>
  <si>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</si>
  <si>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</si>
  <si>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</si>
  <si>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</si>
  <si>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</si>
  <si>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</si>
  <si>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</si>
  <si>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</si>
  <si>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</si>
  <si>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</si>
  <si>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</si>
  <si>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</si>
  <si>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</si>
  <si>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</si>
  <si>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</si>
  <si>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</si>
  <si>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</si>
  <si>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</si>
  <si>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</si>
  <si>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</si>
  <si>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</si>
  <si>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</si>
  <si>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</si>
  <si>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</si>
  <si>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</si>
  <si>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</si>
  <si>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</si>
  <si>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</si>
  <si>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</si>
  <si>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</si>
  <si>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</si>
  <si>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</si>
  <si>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</si>
  <si>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</si>
  <si>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</si>
  <si>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</si>
  <si>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</si>
  <si>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</si>
  <si>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</si>
  <si>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</si>
  <si>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</si>
  <si>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</si>
  <si>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</si>
  <si>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</si>
  <si>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</si>
  <si>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</si>
  <si>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</si>
  <si>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</si>
  <si>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</si>
  <si>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</si>
  <si>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</si>
  <si>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</si>
  <si>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</si>
  <si>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</si>
  <si>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</si>
  <si>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</si>
  <si>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</si>
  <si>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</si>
  <si>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</si>
  <si>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</si>
  <si>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</si>
  <si>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</si>
  <si>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</si>
  <si>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</si>
  <si>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</si>
  <si>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</si>
  <si>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</si>
  <si>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</si>
  <si>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</si>
  <si>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</si>
  <si>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</si>
  <si>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</si>
  <si>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</si>
  <si>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</si>
  <si>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</si>
  <si>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</si>
  <si>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</si>
  <si>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</si>
  <si>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</si>
  <si>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</si>
  <si>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</si>
  <si>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</si>
  <si>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</si>
  <si>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</si>
  <si>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</si>
  <si>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</si>
  <si>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</si>
  <si>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</si>
  <si>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</si>
  <si>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</si>
  <si>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</si>
  <si>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</si>
  <si>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</si>
  <si>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</si>
  <si>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</si>
  <si>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</si>
  <si>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</si>
  <si>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</si>
  <si>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</si>
  <si>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</si>
  <si>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</si>
  <si>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</si>
  <si>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</si>
  <si>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</si>
  <si>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</si>
  <si>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</si>
  <si>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</si>
  <si>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</si>
  <si>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</si>
  <si>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</si>
  <si>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</si>
  <si>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</si>
  <si>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</si>
  <si>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</si>
  <si>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</si>
  <si>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</si>
  <si>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</si>
  <si>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</si>
  <si>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</si>
  <si>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</si>
  <si>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</si>
  <si>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</si>
  <si>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</si>
  <si>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</si>
  <si>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</si>
  <si>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</si>
  <si>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</si>
  <si>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</si>
  <si>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</si>
  <si>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</si>
  <si>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</si>
  <si>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</si>
  <si>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</si>
  <si>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</si>
  <si>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</si>
  <si>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</si>
  <si>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</si>
  <si>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</si>
  <si>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</si>
  <si>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</si>
  <si>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</si>
  <si>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</si>
  <si>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</si>
  <si>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</si>
  <si>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</si>
  <si>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</si>
  <si>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</si>
  <si>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</si>
  <si>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</si>
  <si>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</si>
  <si>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</si>
  <si>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</si>
  <si>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</si>
  <si>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</si>
  <si>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</si>
  <si>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</si>
  <si>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</si>
  <si>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</si>
  <si>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</si>
  <si>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</si>
  <si>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</si>
  <si>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</si>
  <si>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</si>
  <si>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</si>
  <si>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</si>
  <si>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</si>
  <si>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</si>
  <si>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</si>
  <si>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</si>
  <si>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</si>
  <si>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</si>
  <si>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</si>
  <si>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</si>
  <si>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</si>
  <si>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</si>
  <si>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</si>
  <si>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</si>
  <si>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</si>
  <si>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</si>
  <si>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</si>
  <si>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</si>
  <si>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</si>
  <si>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</si>
  <si>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</si>
  <si>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</si>
  <si>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</si>
  <si>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</si>
  <si>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</si>
  <si>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</si>
  <si>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</si>
  <si>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</si>
  <si>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</si>
  <si>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</si>
  <si>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</si>
  <si>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</si>
  <si>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</si>
  <si>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</si>
  <si>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</si>
  <si>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</si>
  <si>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</si>
  <si>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</si>
  <si>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</si>
  <si>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</si>
  <si>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</si>
  <si>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</si>
  <si>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</si>
  <si>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</si>
  <si>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</si>
  <si>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</si>
  <si>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</si>
  <si>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</si>
  <si>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</si>
  <si>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</si>
  <si>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</si>
  <si>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</si>
  <si>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</si>
  <si>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</si>
  <si>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</si>
  <si>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</si>
  <si>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</si>
  <si>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</si>
  <si>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</si>
  <si>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</si>
  <si>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</si>
  <si>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</si>
  <si>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</si>
  <si>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</si>
  <si>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</si>
  <si>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</si>
  <si>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</si>
  <si>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</si>
  <si>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</si>
  <si>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</si>
  <si>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</si>
  <si>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</si>
  <si>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</si>
  <si>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</si>
  <si>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</si>
  <si>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</si>
  <si>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</si>
  <si>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</si>
  <si>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</si>
  <si>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</si>
  <si>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</si>
  <si>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</si>
  <si>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</si>
  <si>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</si>
  <si>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</si>
  <si>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</si>
  <si>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</si>
  <si>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</si>
  <si>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</si>
  <si>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</si>
  <si>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</si>
  <si>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</si>
  <si>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</si>
  <si>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</si>
  <si>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</si>
  <si>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</si>
  <si>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</si>
  <si>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</si>
  <si>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</si>
  <si>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</si>
  <si>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</si>
  <si>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</si>
  <si>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</si>
  <si>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</si>
  <si>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</si>
  <si>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</si>
  <si>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</si>
  <si>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</si>
  <si>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</si>
  <si>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</si>
  <si>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</si>
  <si>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</si>
  <si>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</si>
  <si>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</si>
  <si>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</si>
  <si>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</si>
  <si>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</si>
  <si>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</si>
  <si>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</si>
  <si>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</si>
  <si>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</si>
  <si>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</si>
  <si>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</si>
  <si>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</si>
  <si>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</si>
  <si>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</si>
  <si>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</si>
  <si>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</si>
  <si>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</si>
  <si>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</si>
  <si>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</si>
  <si>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</si>
  <si>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</si>
  <si>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</si>
  <si>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</si>
  <si>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</si>
  <si>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</si>
  <si>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</si>
  <si>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</si>
  <si>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</si>
  <si>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</si>
  <si>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</si>
  <si>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</si>
  <si>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</si>
  <si>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</si>
  <si>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</si>
  <si>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</si>
  <si>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</si>
  <si>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</si>
  <si>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</si>
  <si>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</si>
  <si>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</si>
  <si>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</si>
  <si>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</si>
  <si>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</si>
  <si>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</si>
  <si>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</si>
  <si>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</si>
  <si>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</si>
  <si>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</si>
  <si>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</si>
  <si>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</si>
  <si>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</si>
  <si>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</si>
  <si>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</si>
  <si>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</si>
  <si>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</si>
  <si>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</si>
  <si>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</si>
  <si>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</si>
  <si>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</si>
  <si>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</si>
  <si>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</si>
  <si>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</si>
  <si>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</si>
  <si>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</si>
  <si>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</si>
  <si>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</si>
  <si>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</si>
  <si>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</si>
  <si>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</si>
  <si>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</si>
  <si>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</si>
  <si>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</si>
  <si>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</si>
  <si>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</si>
  <si>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</si>
  <si>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</si>
  <si>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</si>
  <si>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</si>
  <si>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</si>
  <si>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</si>
  <si>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</si>
  <si>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</si>
  <si>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</si>
  <si>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</si>
  <si>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</si>
  <si>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</si>
  <si>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</si>
  <si>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</si>
  <si>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</si>
  <si>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</si>
  <si>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</si>
  <si>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</si>
  <si>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</si>
  <si>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</si>
  <si>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</si>
  <si>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</si>
  <si>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</si>
  <si>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</si>
  <si>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</si>
  <si>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</si>
  <si>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</si>
  <si>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</si>
  <si>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</si>
  <si>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</si>
  <si>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</si>
  <si>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</si>
  <si>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</si>
  <si>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</si>
  <si>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</si>
  <si>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</si>
  <si>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</si>
  <si>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</si>
  <si>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</si>
  <si>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</si>
  <si>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</si>
  <si>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</si>
  <si>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</si>
  <si>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</si>
  <si>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</si>
  <si>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</si>
  <si>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</si>
  <si>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</si>
  <si>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</si>
  <si>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</si>
  <si>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</si>
  <si>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</si>
  <si>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</si>
  <si>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</si>
  <si>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</si>
  <si>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</si>
  <si>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</si>
  <si>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</si>
  <si>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</si>
  <si>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</si>
  <si>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</si>
  <si>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</si>
  <si>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</si>
  <si>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</si>
  <si>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</si>
  <si>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</si>
  <si>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</si>
  <si>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</si>
  <si>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</si>
  <si>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</si>
  <si>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</si>
  <si>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</si>
  <si>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</si>
  <si>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</si>
  <si>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</si>
  <si>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</si>
  <si>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</si>
  <si>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</si>
  <si>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</si>
  <si>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</si>
  <si>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</si>
  <si>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</si>
  <si>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</si>
  <si>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</si>
  <si>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</si>
  <si>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</si>
  <si>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</si>
  <si>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</si>
  <si>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</si>
  <si>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</si>
  <si>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</si>
  <si>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</si>
  <si>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</si>
  <si>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</si>
  <si>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</si>
  <si>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</si>
  <si>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</si>
  <si>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</si>
  <si>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</si>
  <si>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</si>
  <si>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</si>
  <si>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</si>
  <si>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</si>
  <si>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</si>
  <si>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</si>
  <si>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</si>
  <si>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</si>
  <si>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</si>
  <si>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</si>
  <si>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</si>
  <si>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</si>
  <si>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</si>
  <si>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</si>
  <si>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</si>
  <si>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</si>
  <si>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</si>
  <si>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</si>
  <si>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</si>
  <si>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</si>
  <si>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</si>
  <si>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</si>
  <si>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</si>
  <si>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</si>
  <si>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</si>
  <si>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</si>
  <si>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</si>
  <si>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</si>
  <si>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</si>
  <si>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</si>
  <si>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</si>
  <si>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</si>
  <si>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</si>
  <si>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</si>
  <si>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</si>
  <si>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</si>
  <si>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</si>
  <si>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</si>
  <si>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</si>
  <si>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</si>
  <si>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</si>
  <si>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</si>
  <si>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</si>
  <si>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</si>
  <si>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</si>
  <si>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</si>
  <si>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</si>
  <si>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</si>
  <si>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</si>
  <si>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</si>
  <si>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</si>
  <si>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</si>
  <si>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</si>
  <si>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</si>
  <si>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</si>
  <si>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</si>
  <si>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</si>
  <si>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</si>
  <si>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</si>
  <si>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</si>
  <si>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</si>
  <si>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</si>
  <si>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</si>
  <si>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</si>
  <si>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</si>
  <si>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</si>
  <si>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</si>
  <si>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</si>
  <si>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</si>
  <si>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</si>
  <si>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</si>
  <si>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</si>
  <si>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</si>
  <si>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</si>
  <si>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</si>
  <si>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</si>
  <si>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</si>
  <si>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</si>
  <si>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</si>
  <si>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</si>
  <si>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</si>
  <si>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</si>
  <si>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</si>
  <si>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</si>
  <si>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</si>
  <si>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</si>
  <si>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</si>
  <si>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</si>
  <si>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</si>
  <si>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</si>
  <si>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</si>
  <si>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</si>
  <si>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</si>
  <si>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</si>
  <si>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</si>
  <si>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</si>
  <si>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</si>
  <si>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</si>
  <si>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</si>
  <si>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</si>
  <si>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</si>
  <si>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</si>
  <si>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</si>
  <si>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</si>
  <si>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</si>
  <si>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</si>
  <si>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</si>
  <si>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</si>
  <si>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</si>
  <si>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</si>
  <si>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</si>
  <si>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</si>
  <si>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</si>
  <si>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</si>
  <si>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</si>
  <si>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</si>
  <si>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</si>
  <si>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</si>
  <si>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</si>
  <si>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</si>
  <si>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</si>
  <si>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</si>
  <si>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</si>
  <si>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</si>
  <si>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</si>
  <si>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</si>
  <si>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</si>
  <si>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</si>
  <si>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</si>
  <si>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</si>
  <si>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</si>
  <si>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</si>
  <si>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</si>
  <si>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</si>
  <si>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</si>
  <si>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</si>
  <si>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</si>
  <si>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</si>
  <si>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</si>
  <si>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</si>
  <si>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</si>
  <si>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</si>
  <si>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</si>
  <si>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</si>
  <si>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</si>
  <si>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</si>
  <si>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</si>
  <si>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</si>
  <si>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</si>
  <si>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</si>
  <si>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</si>
  <si>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</si>
  <si>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</si>
  <si>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</si>
  <si>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</si>
  <si>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</si>
  <si>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</si>
  <si>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</si>
  <si>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</si>
  <si>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</si>
  <si>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</si>
  <si>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</si>
  <si>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</si>
  <si>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</si>
  <si>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</si>
  <si>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</si>
  <si>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</si>
  <si>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</si>
  <si>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</si>
  <si>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</si>
  <si>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</si>
  <si>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</si>
  <si>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</si>
  <si>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</si>
  <si>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</si>
  <si>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</si>
  <si>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</si>
  <si>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</si>
  <si>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</si>
  <si>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</si>
  <si>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</si>
  <si>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</si>
  <si>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</si>
  <si>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</si>
  <si>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</si>
  <si>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</si>
  <si>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</si>
  <si>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</si>
  <si>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</si>
  <si>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</si>
  <si>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</si>
  <si>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</si>
  <si>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</si>
  <si>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</si>
  <si>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</si>
  <si>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</si>
  <si>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</si>
  <si>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</si>
  <si>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</si>
  <si>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</si>
  <si>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</si>
  <si>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</si>
  <si>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</si>
  <si>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</si>
  <si>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</si>
  <si>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</si>
  <si>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</si>
  <si>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</si>
  <si>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</si>
  <si>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</si>
  <si>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</si>
  <si>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</si>
  <si>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</si>
  <si>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</si>
  <si>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</si>
  <si>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</si>
  <si>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</si>
  <si>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</si>
  <si>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</si>
  <si>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</si>
  <si>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</si>
  <si>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</si>
  <si>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</si>
  <si>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</si>
  <si>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</si>
  <si>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</si>
  <si>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</si>
  <si>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</si>
  <si>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</si>
  <si>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</si>
  <si>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</si>
  <si>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</si>
  <si>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</si>
  <si>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</si>
  <si>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</si>
  <si>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</si>
  <si>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</si>
  <si>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</si>
  <si>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</si>
  <si>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</si>
  <si>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</si>
  <si>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</si>
  <si>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</si>
  <si>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</si>
  <si>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</si>
  <si>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</si>
  <si>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</si>
  <si>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</si>
  <si>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</si>
  <si>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</si>
  <si>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</si>
  <si>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</si>
  <si>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</si>
  <si>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</si>
  <si>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</si>
  <si>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</si>
  <si>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</si>
  <si>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</si>
  <si>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</si>
  <si>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</si>
  <si>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</si>
  <si>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</si>
  <si>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</si>
  <si>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</si>
  <si>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</si>
  <si>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</si>
  <si>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</si>
  <si>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</si>
  <si>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</si>
  <si>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</si>
  <si>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</si>
  <si>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</si>
  <si>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</si>
  <si>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</si>
  <si>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</si>
  <si>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</si>
  <si>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</si>
  <si>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</si>
  <si>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</si>
  <si>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</si>
  <si>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</si>
  <si>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</si>
  <si>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</si>
  <si>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</si>
  <si>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</si>
  <si>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</si>
  <si>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</si>
  <si>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</si>
  <si>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</si>
  <si>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</si>
  <si>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</si>
  <si>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</si>
  <si>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</si>
  <si>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</si>
  <si>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</si>
  <si>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</si>
  <si>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</si>
  <si>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</si>
  <si>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</si>
  <si>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</si>
  <si>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</si>
  <si>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</si>
  <si>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</si>
  <si>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</si>
  <si>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</si>
  <si>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</si>
  <si>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</si>
  <si>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</si>
  <si>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</si>
  <si>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</si>
  <si>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</si>
  <si>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</si>
  <si>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</si>
  <si>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</si>
  <si>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</si>
  <si>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</si>
  <si>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</si>
  <si>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</si>
  <si>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</si>
  <si>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</si>
  <si>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</si>
  <si>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</si>
  <si>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</si>
  <si>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</si>
  <si>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</si>
  <si>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</si>
  <si>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</si>
  <si>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</si>
  <si>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</si>
  <si>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</si>
  <si>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</si>
  <si>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</si>
  <si>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</si>
  <si>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</si>
  <si>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</si>
  <si>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</si>
  <si>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</si>
  <si>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</si>
  <si>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</si>
  <si>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</si>
  <si>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</si>
  <si>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</si>
  <si>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</si>
  <si>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</si>
  <si>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</si>
  <si>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</si>
  <si>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</si>
  <si>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</si>
  <si>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</si>
  <si>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</si>
  <si>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</si>
  <si>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</si>
  <si>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</si>
  <si>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</si>
  <si>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</si>
  <si>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</si>
  <si>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</si>
  <si>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</si>
  <si>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</si>
  <si>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</si>
  <si>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</si>
  <si>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</si>
  <si>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</si>
  <si>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</si>
  <si>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</si>
  <si>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</si>
  <si>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</si>
  <si>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</si>
  <si>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</si>
  <si>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</si>
  <si>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</si>
  <si>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</si>
  <si>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</si>
  <si>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</si>
  <si>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</si>
  <si>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</si>
  <si>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</si>
  <si>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</si>
  <si>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</si>
  <si>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</si>
  <si>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</si>
  <si>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</si>
  <si>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</si>
  <si>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</si>
  <si>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</si>
  <si>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</si>
  <si>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</si>
  <si>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</si>
  <si>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</si>
  <si>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</si>
  <si>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</si>
  <si>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</si>
  <si>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</si>
  <si>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</si>
  <si>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</si>
  <si>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</si>
  <si>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</si>
  <si>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</si>
  <si>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</si>
  <si>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</si>
  <si>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</si>
  <si>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</si>
  <si>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</si>
  <si>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</si>
  <si>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</si>
  <si>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</si>
  <si>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</si>
  <si>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</si>
  <si>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</si>
  <si>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</si>
  <si>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</si>
  <si>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</si>
  <si>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</si>
  <si>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</si>
  <si>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</si>
  <si>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</si>
  <si>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</si>
  <si>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</si>
  <si>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</si>
  <si>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</si>
  <si>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</si>
  <si>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</si>
  <si>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</si>
  <si>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</si>
  <si>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</si>
  <si>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</si>
  <si>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</si>
  <si>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</si>
  <si>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</si>
  <si>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</si>
  <si>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</si>
  <si>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</si>
  <si>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</si>
  <si>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</si>
  <si>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</si>
  <si>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</si>
  <si>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</si>
  <si>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</si>
  <si>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</si>
  <si>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</si>
  <si>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</si>
  <si>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</si>
  <si>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</si>
  <si>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</si>
  <si>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</si>
  <si>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</si>
  <si>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</si>
  <si>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</si>
  <si>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</si>
  <si>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</si>
  <si>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</si>
  <si>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</si>
  <si>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</si>
  <si>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</si>
  <si>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</si>
  <si>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</si>
  <si>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</si>
  <si>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</si>
  <si>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</si>
  <si>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</si>
  <si>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</si>
  <si>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</si>
  <si>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</si>
  <si>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</si>
  <si>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</si>
  <si>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</si>
  <si>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</si>
  <si>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</si>
  <si>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</si>
  <si>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</si>
  <si>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</si>
  <si>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</si>
  <si>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</si>
  <si>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</si>
  <si>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</si>
  <si>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</si>
  <si>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</si>
  <si>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</si>
  <si>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</si>
  <si>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</si>
  <si>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</si>
  <si>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</si>
  <si>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</si>
  <si>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</si>
  <si>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</si>
  <si>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</si>
  <si>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</si>
  <si>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</si>
  <si>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</si>
  <si>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</si>
  <si>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</si>
  <si>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</si>
  <si>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</si>
  <si>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</si>
  <si>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</si>
  <si>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</si>
  <si>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</si>
  <si>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</si>
  <si>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</si>
  <si>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</si>
  <si>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</si>
  <si>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</si>
  <si>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</si>
  <si>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</si>
  <si>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</si>
  <si>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</si>
  <si>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</si>
  <si>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</si>
  <si>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</si>
  <si>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</si>
  <si>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</si>
  <si>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</si>
  <si>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</si>
  <si>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</si>
  <si>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</si>
  <si>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</si>
  <si>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</si>
  <si>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</si>
  <si>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</si>
  <si>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</si>
  <si>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</si>
  <si>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</si>
  <si>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</si>
  <si>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</si>
  <si>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</si>
  <si>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</si>
  <si>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</si>
  <si>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</si>
  <si>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</si>
  <si>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</si>
  <si>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</si>
  <si>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</si>
  <si>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</si>
  <si>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</si>
  <si>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</si>
  <si>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</si>
  <si>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</si>
  <si>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</si>
  <si>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</si>
  <si>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</si>
  <si>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</si>
  <si>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</si>
  <si>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</si>
  <si>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</si>
  <si>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</si>
  <si>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</si>
  <si>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</si>
  <si>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</si>
  <si>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</si>
  <si>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</si>
  <si>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</si>
  <si>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</si>
  <si>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</si>
  <si>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</si>
  <si>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</si>
  <si>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</si>
  <si>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</si>
  <si>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</si>
  <si>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</si>
  <si>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</si>
  <si>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</si>
  <si>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</si>
  <si>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</si>
  <si>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</si>
  <si>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</si>
  <si>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</si>
  <si>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</si>
  <si>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</si>
  <si>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</si>
  <si>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</si>
  <si>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</si>
  <si>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</si>
  <si>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</si>
  <si>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</si>
  <si>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</si>
  <si>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</si>
  <si>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</si>
  <si>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</si>
  <si>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</si>
  <si>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</si>
  <si>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</si>
  <si>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</si>
  <si>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</si>
  <si>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</si>
  <si>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</si>
  <si>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</si>
  <si>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</si>
  <si>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</si>
  <si>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</si>
  <si>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</si>
  <si>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</si>
  <si>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</si>
  <si>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</si>
  <si>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</si>
  <si>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</si>
  <si>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</si>
  <si>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</si>
  <si>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</si>
  <si>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</si>
  <si>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</si>
  <si>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</si>
  <si>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</si>
  <si>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</si>
  <si>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</si>
  <si>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</si>
  <si>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</si>
  <si>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</si>
  <si>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</si>
  <si>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</si>
  <si>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</si>
  <si>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</si>
  <si>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</si>
  <si>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</si>
  <si>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</si>
  <si>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</si>
  <si>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</si>
  <si>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</si>
  <si>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</si>
  <si>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</si>
  <si>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</si>
  <si>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</si>
  <si>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</si>
  <si>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</si>
  <si>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</si>
  <si>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</si>
  <si>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</si>
  <si>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</si>
  <si>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</si>
  <si>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</si>
  <si>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</si>
  <si>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</si>
  <si>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</si>
  <si>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</si>
  <si>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</si>
  <si>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</si>
  <si>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</si>
  <si>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</si>
  <si>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</si>
  <si>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</si>
  <si>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</si>
  <si>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</si>
  <si>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</si>
  <si>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</si>
  <si>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</si>
  <si>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</si>
  <si>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</si>
  <si>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</si>
  <si>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</si>
  <si>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</si>
  <si>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</si>
  <si>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</si>
  <si>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</si>
  <si>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</si>
  <si>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</si>
  <si>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</si>
  <si>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</si>
  <si>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</si>
  <si>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</si>
  <si>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</si>
  <si>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</si>
  <si>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</si>
  <si>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</si>
  <si>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</si>
  <si>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</si>
  <si>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</si>
  <si>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</si>
  <si>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</si>
  <si>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</si>
  <si>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</si>
  <si>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</si>
  <si>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</si>
  <si>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</si>
  <si>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</si>
  <si>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</si>
  <si>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</si>
  <si>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</si>
  <si>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</si>
  <si>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</si>
  <si>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</si>
  <si>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</si>
  <si>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</si>
  <si>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</si>
  <si>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</si>
  <si>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</si>
  <si>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</si>
  <si>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</si>
  <si>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</si>
  <si>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</si>
  <si>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</si>
  <si>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</si>
  <si>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</si>
  <si>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</si>
  <si>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</si>
  <si>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</si>
  <si>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</si>
  <si>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</si>
  <si>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</si>
  <si>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</si>
  <si>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</si>
  <si>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</si>
  <si>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</si>
  <si>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</si>
  <si>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</si>
  <si>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</si>
  <si>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</si>
  <si>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</si>
  <si>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</si>
  <si>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</si>
  <si>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</si>
  <si>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</si>
  <si>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</si>
  <si>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</si>
  <si>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</si>
  <si>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</si>
  <si>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</si>
  <si>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</si>
  <si>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</si>
  <si>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</si>
  <si>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</si>
  <si>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</si>
  <si>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</si>
  <si>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</si>
  <si>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</si>
  <si>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</si>
  <si>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</si>
  <si>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</si>
  <si>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</si>
  <si>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</si>
  <si>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</si>
  <si>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</si>
  <si>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</si>
  <si>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</si>
  <si>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</si>
  <si>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</si>
  <si>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</si>
  <si>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</si>
  <si>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</si>
  <si>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</si>
  <si>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</si>
  <si>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</si>
  <si>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</si>
  <si>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</si>
  <si>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</si>
  <si>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</si>
  <si>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</si>
  <si>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</si>
  <si>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</si>
  <si>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</si>
  <si>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</si>
  <si>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</si>
  <si>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</si>
  <si>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</si>
  <si>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</si>
  <si>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</si>
  <si>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</si>
  <si>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</si>
  <si>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</si>
  <si>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</si>
  <si>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</si>
  <si>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</si>
  <si>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</si>
  <si>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</si>
  <si>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</si>
  <si>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</si>
  <si>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</si>
  <si>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</si>
  <si>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</si>
  <si>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</si>
  <si>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</si>
  <si>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</si>
  <si>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</si>
  <si>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</si>
  <si>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</si>
  <si>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</si>
  <si>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</si>
  <si>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</si>
  <si>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</si>
  <si>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</si>
  <si>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</si>
  <si>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</si>
  <si>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</si>
  <si>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</si>
  <si>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</si>
  <si>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</si>
  <si>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</si>
  <si>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</si>
  <si>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</si>
  <si>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</si>
  <si>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</si>
  <si>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</si>
  <si>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</si>
  <si>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</si>
  <si>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</si>
  <si>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</si>
  <si>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</si>
  <si>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</si>
  <si>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</si>
  <si>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</si>
  <si>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</si>
  <si>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</si>
  <si>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</si>
  <si>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</si>
  <si>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</si>
  <si>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</si>
  <si>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</si>
  <si>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</si>
  <si>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</si>
  <si>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</si>
  <si>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</si>
  <si>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</si>
  <si>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</si>
  <si>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</si>
  <si>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</si>
  <si>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</si>
  <si>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</si>
  <si>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</si>
  <si>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</si>
  <si>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</si>
  <si>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</si>
  <si>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</si>
  <si>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</si>
  <si>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</si>
  <si>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</si>
  <si>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</si>
  <si>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</si>
  <si>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</si>
  <si>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</si>
  <si>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</si>
  <si>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</si>
  <si>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</si>
  <si>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</si>
  <si>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</si>
  <si>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</si>
  <si>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</si>
  <si>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</si>
  <si>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</si>
  <si>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</si>
  <si>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</si>
  <si>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</si>
  <si>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</si>
  <si>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</si>
  <si>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</si>
  <si>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</si>
  <si>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</si>
  <si>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</si>
  <si>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</si>
  <si>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</si>
  <si>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</si>
  <si>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</si>
  <si>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</si>
  <si>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</si>
  <si>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</si>
  <si>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</si>
  <si>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</si>
  <si>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</si>
  <si>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</si>
  <si>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</si>
  <si>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</si>
  <si>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</si>
  <si>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</si>
  <si>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</si>
  <si>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</si>
  <si>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</si>
  <si>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</si>
  <si>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</si>
  <si>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</si>
  <si>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</si>
  <si>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</si>
  <si>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</si>
  <si>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</si>
  <si>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</si>
  <si>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</si>
  <si>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</si>
  <si>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</si>
  <si>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</si>
  <si>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</si>
  <si>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</si>
  <si>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</si>
  <si>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</si>
  <si>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</si>
  <si>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</si>
  <si>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</si>
  <si>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</si>
  <si>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</si>
  <si>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</si>
  <si>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</si>
  <si>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</si>
  <si>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</si>
  <si>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</si>
  <si>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</si>
  <si>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</si>
  <si>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</si>
  <si>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</si>
  <si>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</si>
  <si>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</si>
  <si>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</si>
  <si>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</si>
  <si>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</si>
  <si>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</si>
  <si>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</si>
  <si>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</si>
  <si>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</si>
  <si>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</si>
  <si>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</si>
  <si>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</si>
  <si>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</si>
  <si>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</si>
  <si>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</si>
  <si>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</si>
  <si>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</si>
  <si>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</si>
  <si>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</si>
  <si>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</si>
  <si>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</si>
  <si>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</si>
  <si>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</si>
  <si>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</si>
  <si>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</si>
  <si>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</si>
  <si>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</si>
  <si>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</si>
  <si>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</si>
  <si>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</si>
  <si>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</si>
  <si>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</si>
  <si>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</si>
  <si>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</si>
  <si>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</si>
  <si>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</si>
  <si>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</si>
  <si>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</si>
  <si>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</si>
  <si>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</si>
  <si>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</si>
  <si>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</si>
  <si>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</si>
  <si>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</si>
  <si>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</si>
  <si>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</si>
  <si>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</si>
  <si>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</si>
  <si>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</si>
  <si>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</si>
  <si>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</si>
  <si>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</si>
  <si>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</si>
  <si>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</si>
  <si>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</si>
  <si>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</si>
  <si>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</si>
  <si>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</si>
  <si>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</si>
  <si>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</si>
  <si>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</si>
  <si>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</si>
  <si>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</si>
  <si>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</si>
  <si>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</si>
  <si>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</si>
  <si>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</si>
  <si>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</si>
  <si>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</si>
  <si>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</si>
  <si>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</si>
  <si>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</si>
  <si>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</si>
  <si>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</si>
  <si>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</si>
  <si>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</si>
  <si>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</si>
  <si>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</si>
  <si>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</si>
  <si>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</si>
  <si>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</si>
  <si>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</si>
  <si>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</si>
  <si>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</si>
  <si>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</si>
  <si>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</si>
  <si>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</si>
  <si>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</si>
  <si>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</si>
  <si>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</si>
  <si>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</si>
  <si>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</si>
  <si>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</si>
  <si>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</si>
  <si>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</si>
  <si>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</si>
  <si>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</si>
  <si>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</si>
  <si>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</si>
  <si>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</si>
  <si>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</si>
  <si>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</si>
  <si>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</si>
  <si>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</si>
  <si>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</si>
  <si>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</si>
  <si>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</si>
  <si>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</si>
  <si>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</si>
  <si>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</si>
  <si>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</si>
  <si>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</si>
  <si>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</si>
  <si>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</si>
  <si>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</si>
  <si>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</si>
  <si>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</si>
  <si>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</si>
  <si>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</si>
  <si>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</si>
  <si>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</si>
  <si>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</si>
  <si>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</si>
  <si>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</si>
  <si>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</si>
  <si>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</si>
  <si>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</si>
  <si>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</si>
  <si>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</si>
  <si>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</si>
  <si>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</si>
  <si>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</si>
  <si>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</si>
  <si>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</si>
  <si>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</si>
  <si>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</si>
  <si>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</si>
  <si>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</si>
  <si>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</si>
  <si>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</si>
  <si>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</si>
  <si>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</si>
  <si>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</si>
  <si>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</si>
  <si>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</si>
  <si>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</si>
  <si>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</si>
  <si>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</si>
  <si>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</si>
  <si>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</si>
  <si>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</si>
  <si>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</si>
  <si>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</si>
  <si>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</si>
  <si>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</si>
  <si>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</si>
  <si>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</si>
  <si>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</si>
  <si>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</si>
  <si>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</si>
  <si>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</si>
  <si>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</si>
  <si>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</si>
  <si>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</si>
  <si>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</si>
  <si>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</si>
  <si>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</si>
  <si>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</si>
  <si>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</si>
  <si>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</si>
  <si>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</si>
  <si>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</si>
  <si>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</si>
  <si>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</si>
  <si>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</si>
  <si>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</si>
  <si>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</si>
  <si>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</si>
  <si>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</si>
  <si>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</si>
  <si>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</si>
  <si>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</si>
  <si>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</si>
  <si>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</si>
  <si>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</si>
  <si>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</si>
  <si>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</si>
  <si>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</si>
  <si>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</si>
  <si>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</si>
  <si>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</si>
  <si>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</si>
  <si>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</si>
  <si>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</si>
  <si>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</si>
  <si>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</si>
  <si>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</si>
  <si>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</si>
  <si>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</si>
  <si>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</si>
  <si>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</si>
  <si>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</si>
  <si>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</si>
  <si>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</si>
  <si>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</si>
  <si>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</si>
  <si>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</si>
  <si>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</si>
  <si>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</si>
  <si>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</si>
  <si>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</si>
  <si>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</si>
  <si>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</si>
  <si>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</si>
  <si>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</si>
  <si>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</si>
  <si>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</si>
  <si>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</si>
  <si>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</si>
  <si>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</si>
  <si>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</si>
  <si>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</si>
  <si>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</si>
  <si>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</si>
  <si>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</si>
  <si>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</si>
  <si>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</si>
  <si>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</si>
  <si>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</si>
  <si>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</si>
  <si>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</si>
  <si>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</si>
  <si>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</si>
  <si>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</si>
  <si>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</si>
  <si>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</si>
  <si>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</si>
  <si>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</si>
  <si>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</si>
  <si>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</si>
  <si>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</si>
  <si>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</si>
  <si>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</si>
  <si>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</si>
  <si>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</si>
  <si>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</si>
  <si>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</si>
  <si>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</si>
  <si>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</si>
  <si>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</si>
  <si>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</si>
  <si>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</si>
  <si>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</si>
  <si>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</si>
  <si>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</si>
  <si>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</si>
  <si>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</si>
  <si>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</si>
  <si>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</si>
  <si>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</si>
  <si>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</si>
  <si>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</si>
  <si>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</si>
  <si>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</si>
  <si>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</si>
  <si>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</si>
  <si>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</si>
  <si>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</si>
  <si>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</si>
  <si>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</si>
  <si>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</si>
  <si>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</si>
  <si>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</si>
  <si>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</si>
  <si>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</si>
  <si>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</si>
  <si>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</si>
  <si>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</si>
  <si>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</si>
  <si>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</si>
  <si>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</si>
  <si>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</si>
  <si>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</si>
  <si>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</si>
  <si>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</si>
  <si>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</si>
  <si>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</si>
  <si>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</si>
  <si>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</si>
  <si>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</si>
  <si>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</si>
  <si>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</si>
  <si>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</si>
  <si>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</si>
  <si>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</si>
  <si>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</si>
  <si>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</si>
  <si>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</si>
  <si>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</si>
  <si>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</si>
  <si>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</si>
  <si>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</si>
  <si>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</si>
  <si>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</si>
  <si>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</si>
  <si>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</si>
  <si>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</si>
  <si>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</si>
  <si>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</si>
  <si>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</si>
  <si>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</si>
  <si>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</si>
  <si>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</si>
  <si>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</si>
  <si>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</si>
  <si>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</si>
  <si>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</si>
  <si>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</si>
  <si>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</si>
  <si>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</si>
  <si>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</si>
  <si>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</si>
  <si>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</si>
  <si>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</si>
  <si>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</si>
  <si>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</si>
  <si>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</si>
  <si>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</si>
  <si>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</si>
  <si>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</si>
  <si>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</si>
  <si>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</si>
  <si>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</si>
  <si>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</si>
  <si>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</si>
  <si>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</si>
  <si>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</si>
  <si>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</si>
  <si>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</si>
  <si>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</si>
  <si>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</si>
  <si>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</si>
  <si>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</si>
  <si>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</si>
  <si>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</si>
  <si>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</si>
  <si>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</si>
  <si>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</si>
  <si>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</si>
  <si>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</si>
  <si>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</si>
  <si>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</si>
  <si>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</si>
  <si>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</si>
  <si>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</si>
  <si>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</si>
  <si>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</si>
  <si>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</si>
  <si>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</si>
  <si>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</si>
  <si>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</si>
  <si>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</si>
  <si>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</si>
  <si>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</si>
  <si>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</si>
  <si>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</si>
  <si>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</si>
  <si>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</si>
  <si>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</si>
  <si>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</si>
  <si>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</si>
  <si>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</si>
  <si>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</si>
  <si>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</si>
  <si>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</si>
  <si>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</si>
  <si>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</si>
  <si>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</si>
  <si>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</si>
  <si>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</si>
  <si>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</si>
  <si>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</si>
  <si>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</si>
  <si>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</si>
  <si>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</si>
  <si>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</si>
  <si>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</si>
  <si>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</si>
  <si>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</si>
  <si>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</si>
  <si>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</si>
  <si>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</si>
  <si>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</si>
  <si>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</si>
  <si>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</si>
  <si>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</si>
  <si>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</si>
  <si>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</si>
  <si>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</si>
  <si>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</si>
  <si>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</si>
  <si>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</si>
  <si>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</si>
  <si>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</si>
  <si>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</si>
  <si>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</si>
  <si>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</si>
  <si>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</si>
  <si>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</si>
  <si>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</si>
  <si>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</si>
  <si>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</si>
  <si>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</si>
  <si>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</si>
  <si>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</si>
  <si>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</si>
  <si>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</si>
  <si>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</si>
  <si>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</si>
  <si>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</si>
  <si>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</si>
  <si>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</si>
  <si>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</si>
  <si>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</si>
  <si>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</si>
  <si>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</si>
  <si>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</si>
  <si>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</si>
  <si>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</si>
  <si>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</si>
  <si>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</si>
  <si>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</si>
  <si>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</si>
  <si>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</si>
  <si>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</si>
  <si>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</si>
  <si>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</si>
  <si>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</si>
  <si>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</si>
  <si>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</si>
  <si>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</si>
  <si>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</si>
  <si>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</si>
  <si>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</si>
  <si>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</si>
  <si>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</si>
  <si>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</si>
  <si>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</si>
  <si>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</si>
  <si>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</si>
  <si>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</si>
  <si>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</si>
  <si>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</si>
  <si>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</si>
  <si>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</si>
  <si>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</si>
  <si>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</si>
  <si>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</si>
  <si>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</si>
  <si>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</si>
  <si>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</si>
  <si>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</si>
  <si>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</si>
  <si>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</si>
  <si>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</si>
  <si>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</si>
  <si>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</si>
  <si>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</si>
  <si>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</si>
  <si>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</si>
  <si>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</si>
  <si>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</si>
  <si>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</si>
  <si>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</si>
  <si>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</si>
  <si>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</si>
  <si>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</si>
  <si>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</si>
  <si>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</si>
  <si>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</si>
  <si>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</si>
  <si>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</si>
  <si>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</si>
  <si>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</si>
  <si>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</si>
  <si>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</si>
  <si>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</si>
  <si>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</si>
  <si>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</si>
  <si>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</si>
  <si>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</si>
  <si>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</si>
  <si>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</si>
  <si>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</si>
  <si>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</si>
  <si>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</si>
  <si>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</si>
  <si>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</si>
  <si>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</si>
  <si>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</si>
  <si>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</si>
  <si>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</si>
  <si>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</si>
  <si>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</si>
  <si>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</si>
  <si>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</si>
  <si>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</si>
  <si>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</si>
  <si>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</si>
  <si>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</si>
  <si>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</si>
  <si>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</si>
  <si>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</si>
  <si>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</si>
  <si>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</si>
  <si>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</si>
  <si>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</si>
  <si>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</si>
  <si>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</si>
  <si>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</si>
  <si>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</si>
  <si>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</si>
  <si>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</si>
  <si>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</si>
  <si>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</si>
  <si>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</si>
  <si>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</si>
  <si>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</si>
  <si>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</si>
  <si>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</si>
  <si>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</si>
  <si>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</si>
  <si>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</si>
  <si>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</si>
  <si>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</si>
  <si>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</si>
  <si>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</si>
  <si>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</si>
  <si>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</si>
  <si>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</si>
  <si>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</si>
  <si>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</si>
  <si>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</si>
  <si>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</si>
  <si>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</si>
  <si>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</si>
  <si>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</si>
  <si>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</si>
  <si>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</si>
  <si>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</si>
  <si>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</si>
  <si>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</si>
  <si>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</si>
  <si>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</si>
  <si>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</si>
  <si>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</si>
  <si>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</si>
  <si>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</si>
  <si>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</si>
  <si>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</si>
  <si>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</si>
  <si>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</si>
  <si>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</si>
  <si>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</si>
  <si>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</si>
  <si>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</si>
  <si>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</si>
  <si>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</si>
  <si>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</si>
  <si>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</si>
  <si>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</si>
  <si>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</si>
  <si>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</si>
  <si>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</si>
  <si>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</si>
  <si>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</si>
  <si>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</si>
  <si>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</si>
  <si>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</si>
  <si>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</si>
  <si>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</si>
  <si>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</si>
  <si>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</si>
  <si>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</si>
  <si>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</si>
  <si>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</si>
  <si>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</si>
  <si>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</si>
  <si>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</si>
  <si>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</si>
  <si>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</si>
  <si>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</si>
  <si>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</si>
  <si>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</si>
  <si>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</si>
  <si>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</si>
  <si>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</si>
  <si>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</si>
  <si>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</si>
  <si>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</si>
  <si>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</si>
  <si>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</si>
  <si>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</si>
  <si>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</si>
  <si>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</si>
  <si>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</si>
  <si>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</si>
  <si>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</si>
  <si>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</si>
  <si>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</si>
  <si>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</si>
  <si>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</si>
  <si>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</si>
  <si>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</si>
  <si>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</si>
  <si>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</si>
  <si>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</si>
  <si>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</si>
  <si>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</si>
  <si>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</si>
  <si>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</si>
  <si>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</si>
  <si>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</si>
  <si>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</si>
  <si>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</si>
  <si>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</si>
  <si>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</si>
  <si>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</si>
  <si>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</si>
  <si>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</si>
  <si>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</si>
  <si>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</si>
  <si>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</si>
  <si>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</si>
  <si>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</si>
  <si>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</si>
  <si>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</si>
  <si>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</si>
  <si>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</si>
  <si>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</si>
  <si>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</si>
  <si>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</si>
  <si>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</si>
  <si>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</si>
  <si>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</si>
  <si>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</si>
  <si>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</si>
  <si>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</si>
  <si>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</si>
  <si>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</si>
  <si>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</si>
  <si>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</si>
  <si>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</si>
  <si>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</si>
  <si>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</si>
  <si>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</si>
  <si>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</si>
  <si>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</si>
  <si>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</si>
  <si>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</si>
  <si>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</si>
  <si>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</si>
  <si>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</si>
  <si>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</si>
  <si>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</si>
  <si>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</si>
  <si>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</si>
  <si>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</si>
  <si>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</si>
  <si>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</si>
  <si>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</si>
  <si>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</si>
  <si>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</si>
  <si>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</si>
  <si>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</si>
  <si>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</si>
  <si>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</si>
  <si>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</si>
  <si>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</si>
  <si>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</si>
  <si>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</si>
  <si>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</si>
  <si>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</si>
  <si>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</si>
  <si>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</si>
  <si>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</si>
  <si>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</si>
  <si>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</si>
  <si>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</si>
  <si>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</si>
  <si>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</si>
  <si>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</si>
  <si>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</si>
  <si>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</si>
  <si>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</si>
  <si>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</si>
  <si>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</si>
  <si>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</si>
  <si>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</si>
  <si>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</si>
  <si>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</si>
  <si>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</si>
  <si>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</si>
  <si>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</si>
  <si>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</si>
  <si>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</si>
  <si>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</si>
  <si>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</si>
  <si>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</si>
  <si>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</si>
  <si>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</si>
  <si>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</si>
  <si>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</si>
  <si>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</si>
  <si>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</si>
  <si>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</si>
  <si>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</si>
  <si>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</si>
  <si>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</si>
  <si>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</si>
  <si>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</si>
  <si>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</si>
  <si>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</si>
  <si>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</si>
  <si>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</si>
  <si>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</si>
  <si>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</si>
  <si>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</si>
  <si>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</si>
  <si>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</si>
  <si>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</si>
  <si>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</si>
  <si>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</si>
  <si>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</si>
  <si>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</si>
  <si>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</si>
  <si>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</si>
  <si>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</si>
  <si>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</si>
  <si>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</si>
  <si>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</si>
  <si>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</si>
  <si>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</si>
  <si>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</si>
  <si>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</si>
  <si>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</si>
  <si>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</si>
  <si>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</si>
  <si>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</si>
  <si>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</si>
  <si>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</si>
  <si>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</si>
  <si>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</si>
  <si>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</si>
  <si>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</si>
  <si>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</si>
  <si>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</si>
  <si>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</si>
  <si>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</si>
  <si>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</si>
  <si>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</si>
  <si>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</si>
  <si>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</si>
  <si>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</si>
  <si>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</si>
  <si>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</si>
  <si>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</si>
  <si>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</si>
  <si>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</si>
  <si>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</si>
  <si>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</si>
  <si>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</si>
  <si>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</si>
  <si>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</si>
  <si>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</si>
  <si>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</si>
  <si>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</si>
  <si>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</si>
  <si>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</si>
  <si>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</si>
  <si>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</si>
  <si>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</si>
  <si>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</si>
  <si>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</si>
  <si>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</si>
  <si>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</si>
  <si>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</si>
  <si>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</si>
  <si>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</si>
  <si>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</si>
  <si>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</si>
  <si>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</si>
  <si>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</si>
  <si>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</si>
  <si>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</si>
  <si>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</si>
  <si>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</si>
  <si>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</si>
  <si>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</si>
  <si>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</si>
  <si>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</si>
  <si>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</si>
  <si>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</si>
  <si>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</si>
  <si>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</si>
  <si>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</si>
  <si>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</si>
  <si>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</si>
  <si>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</si>
  <si>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</si>
  <si>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</si>
  <si>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</si>
  <si>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</si>
  <si>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</si>
  <si>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</si>
  <si>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</si>
  <si>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</si>
  <si>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</si>
  <si>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</si>
  <si>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</si>
  <si>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</si>
  <si>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</si>
  <si>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</si>
  <si>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</si>
  <si>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</si>
  <si>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</si>
  <si>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</si>
  <si>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</si>
  <si>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</si>
  <si>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</si>
  <si>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</si>
  <si>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</si>
  <si>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</si>
  <si>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</si>
  <si>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</si>
  <si>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</si>
  <si>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</si>
  <si>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</si>
  <si>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</si>
  <si>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</si>
  <si>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</si>
  <si>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</si>
  <si>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</si>
  <si>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</si>
  <si>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</si>
  <si>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</si>
  <si>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</si>
  <si>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</si>
  <si>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</si>
  <si>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</si>
  <si>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</si>
  <si>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</si>
  <si>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</si>
  <si>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</si>
  <si>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</si>
  <si>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</si>
  <si>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</si>
  <si>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</si>
  <si>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</si>
  <si>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</si>
  <si>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</si>
  <si>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</si>
  <si>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</si>
  <si>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</si>
  <si>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</si>
  <si>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</si>
  <si>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</si>
  <si>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</si>
  <si>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</si>
  <si>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</si>
  <si>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</si>
  <si>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</si>
  <si>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</si>
  <si>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</si>
  <si>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</si>
  <si>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</si>
  <si>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</si>
  <si>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</si>
  <si>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</si>
  <si>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</si>
  <si>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</si>
  <si>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</si>
  <si>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</si>
  <si>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</si>
  <si>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</si>
  <si>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</si>
  <si>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</si>
  <si>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</si>
  <si>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</si>
  <si>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</si>
  <si>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</si>
  <si>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</si>
  <si>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</si>
  <si>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</si>
  <si>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</si>
  <si>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</si>
  <si>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</si>
  <si>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</si>
  <si>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</si>
  <si>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</si>
  <si>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</si>
  <si>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</si>
  <si>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</si>
  <si>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</si>
  <si>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</si>
  <si>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</si>
  <si>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</si>
  <si>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</si>
  <si>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</si>
  <si>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</si>
  <si>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</si>
  <si>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</si>
  <si>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</si>
  <si>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</si>
  <si>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</si>
  <si>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</si>
  <si>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</si>
  <si>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</si>
  <si>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</si>
  <si>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</si>
  <si>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</si>
  <si>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</si>
  <si>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</si>
  <si>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</si>
  <si>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</si>
  <si>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</si>
  <si>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</si>
  <si>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</si>
  <si>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</si>
  <si>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</si>
  <si>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</si>
  <si>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</si>
  <si>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</si>
  <si>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</si>
  <si>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</si>
  <si>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</si>
  <si>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</si>
  <si>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</si>
  <si>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</si>
  <si>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</si>
  <si>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</si>
  <si>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</si>
  <si>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</si>
  <si>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</si>
  <si>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</si>
  <si>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</si>
  <si>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</si>
  <si>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</si>
  <si>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</si>
  <si>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</si>
  <si>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</si>
  <si>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</si>
  <si>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</si>
  <si>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</si>
  <si>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</si>
  <si>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</si>
  <si>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</si>
  <si>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</si>
  <si>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</si>
  <si>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</si>
  <si>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</si>
  <si>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</si>
  <si>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</si>
  <si>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</si>
  <si>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</si>
  <si>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</si>
  <si>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</si>
  <si>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</si>
  <si>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</si>
  <si>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</si>
  <si>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</si>
  <si>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</si>
  <si>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</si>
  <si>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</si>
  <si>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</si>
  <si>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</si>
  <si>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</si>
  <si>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</si>
  <si>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</si>
  <si>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</si>
  <si>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</si>
  <si>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</si>
  <si>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</si>
  <si>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</si>
  <si>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</si>
  <si>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</si>
  <si>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</si>
  <si>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</si>
  <si>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</si>
  <si>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</si>
  <si>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</si>
  <si>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</si>
  <si>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</si>
  <si>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</si>
  <si>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</si>
  <si>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</si>
  <si>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</si>
  <si>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</si>
  <si>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</si>
  <si>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</si>
  <si>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</si>
  <si>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</si>
  <si>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</si>
  <si>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</si>
  <si>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</si>
  <si>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</si>
  <si>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</si>
  <si>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</si>
  <si>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</si>
  <si>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</si>
  <si>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</si>
  <si>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</si>
  <si>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</si>
  <si>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</si>
  <si>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</si>
  <si>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</si>
  <si>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</si>
  <si>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</si>
  <si>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</si>
  <si>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</si>
  <si>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</si>
  <si>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</si>
  <si>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</si>
  <si>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</si>
  <si>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</si>
  <si>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</si>
  <si>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</si>
  <si>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</si>
  <si>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</si>
  <si>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</si>
  <si>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</si>
  <si>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</si>
  <si>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</si>
  <si>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</si>
  <si>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</si>
  <si>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</si>
  <si>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</si>
  <si>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</si>
  <si>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</si>
  <si>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</si>
  <si>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</si>
  <si>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</si>
  <si>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</si>
  <si>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</si>
  <si>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</si>
  <si>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</si>
  <si>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</si>
  <si>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</si>
  <si>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</si>
  <si>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</si>
  <si>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</si>
  <si>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</si>
  <si>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</si>
  <si>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</si>
  <si>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</si>
  <si>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</si>
  <si>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</si>
  <si>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</si>
  <si>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</si>
  <si>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</si>
  <si>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</si>
  <si>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</si>
  <si>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</si>
  <si>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</si>
  <si>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</si>
  <si>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</si>
  <si>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</si>
  <si>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</si>
  <si>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</si>
  <si>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</si>
  <si>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</si>
  <si>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</si>
  <si>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</si>
  <si>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</si>
  <si>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</si>
  <si>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</si>
  <si>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</si>
  <si>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</si>
  <si>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</si>
  <si>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</si>
  <si>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</si>
  <si>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</si>
  <si>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</si>
  <si>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</si>
  <si>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</si>
  <si>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</si>
  <si>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</si>
  <si>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</si>
  <si>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</si>
  <si>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</si>
  <si>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</si>
  <si>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</si>
  <si>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</si>
  <si>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</si>
  <si>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</si>
  <si>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</si>
  <si>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</si>
  <si>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</si>
  <si>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</si>
  <si>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</si>
  <si>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</si>
  <si>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</si>
  <si>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</si>
  <si>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</si>
  <si>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</si>
  <si>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</si>
  <si>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</si>
  <si>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</si>
  <si>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</si>
  <si>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</si>
  <si>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</si>
  <si>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</si>
  <si>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</si>
  <si>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</si>
  <si>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</si>
  <si>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</si>
  <si>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</si>
  <si>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</si>
  <si>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</si>
  <si>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</si>
  <si>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</si>
  <si>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</si>
  <si>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</si>
  <si>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</si>
  <si>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</si>
  <si>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</si>
  <si>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</si>
  <si>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</si>
  <si>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</si>
  <si>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</si>
  <si>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</si>
  <si>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</si>
  <si>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</si>
  <si>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</si>
  <si>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</si>
  <si>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</si>
  <si>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</si>
  <si>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</si>
  <si>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</si>
  <si>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</si>
  <si>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</si>
  <si>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</si>
  <si>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</si>
  <si>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</si>
  <si>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</si>
  <si>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</si>
  <si>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</si>
  <si>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</si>
  <si>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</si>
  <si>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</si>
  <si>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</si>
  <si>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</si>
  <si>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</si>
  <si>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</si>
  <si>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</si>
  <si>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</si>
  <si>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</si>
  <si>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</si>
  <si>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</si>
  <si>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</si>
  <si>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</si>
  <si>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</si>
  <si>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</si>
  <si>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</si>
  <si>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</si>
  <si>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</si>
  <si>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</si>
  <si>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</si>
  <si>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</si>
  <si>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</si>
  <si>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</si>
  <si>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</si>
  <si>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</si>
  <si>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</si>
  <si>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</si>
  <si>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</si>
  <si>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</si>
  <si>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</si>
  <si>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</si>
  <si>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</si>
  <si>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</si>
  <si>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</si>
  <si>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</si>
  <si>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</si>
  <si>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</si>
  <si>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</si>
  <si>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</si>
  <si>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</si>
  <si>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</si>
  <si>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</si>
  <si>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</si>
  <si>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</si>
  <si>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</si>
  <si>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</si>
  <si>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</si>
  <si>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</si>
  <si>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</si>
  <si>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</si>
  <si>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</si>
  <si>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</si>
  <si>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</si>
  <si>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</si>
  <si>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</si>
  <si>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</si>
  <si>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</si>
  <si>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</si>
  <si>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</si>
  <si>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</si>
  <si>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</si>
  <si>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</si>
  <si>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</si>
  <si>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</si>
  <si>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</si>
  <si>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</si>
  <si>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</si>
  <si>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</si>
  <si>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</si>
  <si>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</si>
  <si>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</si>
  <si>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</si>
  <si>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</si>
  <si>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</si>
  <si>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</si>
  <si>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</si>
  <si>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</si>
  <si>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</si>
  <si>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</si>
  <si>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</si>
  <si>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</si>
  <si>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</si>
  <si>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</si>
  <si>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</si>
  <si>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</si>
  <si>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</si>
  <si>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</si>
  <si>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</si>
  <si>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</si>
  <si>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</si>
  <si>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</si>
  <si>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</si>
  <si>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</si>
  <si>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</si>
  <si>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</si>
  <si>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</si>
  <si>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</si>
  <si>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</si>
  <si>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</si>
  <si>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</si>
  <si>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</si>
  <si>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</si>
  <si>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</si>
  <si>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</si>
  <si>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</si>
  <si>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</si>
  <si>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</si>
  <si>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</si>
  <si>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</si>
  <si>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</si>
  <si>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</si>
  <si>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</si>
  <si>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</si>
  <si>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</si>
  <si>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</si>
  <si>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</si>
  <si>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</si>
  <si>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</si>
  <si>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</si>
  <si>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</si>
  <si>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</si>
  <si>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</si>
  <si>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</si>
  <si>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</si>
  <si>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</si>
  <si>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</si>
  <si>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</si>
  <si>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</si>
  <si>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</si>
  <si>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</si>
  <si>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</si>
  <si>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</si>
  <si>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</si>
  <si>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</si>
  <si>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</si>
  <si>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</si>
  <si>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</si>
  <si>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</si>
  <si>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</si>
  <si>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</si>
  <si>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</si>
  <si>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</si>
  <si>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</si>
  <si>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</si>
  <si>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</si>
  <si>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</si>
  <si>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</si>
  <si>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</si>
  <si>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</si>
  <si>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</si>
  <si>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</si>
  <si>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</si>
  <si>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</si>
  <si>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</si>
  <si>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</si>
  <si>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</si>
  <si>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</si>
  <si>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</si>
  <si>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</si>
  <si>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</si>
  <si>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</si>
  <si>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</si>
  <si>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</si>
  <si>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</si>
  <si>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</si>
  <si>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</si>
  <si>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</si>
  <si>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</si>
  <si>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</si>
  <si>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</si>
  <si>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</si>
  <si>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</si>
  <si>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</si>
  <si>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</si>
  <si>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</si>
  <si>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</si>
  <si>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</si>
  <si>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</si>
  <si>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</si>
  <si>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</si>
  <si>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</si>
  <si>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</si>
  <si>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</si>
  <si>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</si>
  <si>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</si>
  <si>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</si>
  <si>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</si>
  <si>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</si>
  <si>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</si>
  <si>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</si>
  <si>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</si>
  <si>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</si>
  <si>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</si>
  <si>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</si>
  <si>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</si>
  <si>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</si>
  <si>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</si>
  <si>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</si>
  <si>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</si>
  <si>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</si>
  <si>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</si>
  <si>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</si>
  <si>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</si>
  <si>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</si>
  <si>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</si>
  <si>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</si>
  <si>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</si>
  <si>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</si>
  <si>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</si>
  <si>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</si>
  <si>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</si>
  <si>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</si>
  <si>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</si>
  <si>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</si>
  <si>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</si>
  <si>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</si>
  <si>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</si>
  <si>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</si>
  <si>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</si>
  <si>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</si>
  <si>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</si>
  <si>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</si>
  <si>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</si>
  <si>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</si>
  <si>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</si>
  <si>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</si>
  <si>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</si>
  <si>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</si>
  <si>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</si>
  <si>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</si>
  <si>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</si>
  <si>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</si>
  <si>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</si>
  <si>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</si>
  <si>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</si>
  <si>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</si>
  <si>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</si>
  <si>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</si>
  <si>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</si>
  <si>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</si>
  <si>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</si>
  <si>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</si>
  <si>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</si>
  <si>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</si>
  <si>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</si>
  <si>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</si>
  <si>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</si>
  <si>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</si>
  <si>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</si>
  <si>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</si>
  <si>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</si>
  <si>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</si>
  <si>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</si>
  <si>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</si>
  <si>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</si>
  <si>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</si>
  <si>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</si>
  <si>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</si>
  <si>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</si>
  <si>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</si>
  <si>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</si>
  <si>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</si>
  <si>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</si>
  <si>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</si>
  <si>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</si>
  <si>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</si>
  <si>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</si>
  <si>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</si>
  <si>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</si>
  <si>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</si>
  <si>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</si>
  <si>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</si>
  <si>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</si>
  <si>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</si>
  <si>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</si>
  <si>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</si>
  <si>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</si>
  <si>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</si>
  <si>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</si>
  <si>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</si>
  <si>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</si>
  <si>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</si>
  <si>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</si>
  <si>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</si>
  <si>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</si>
  <si>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</si>
  <si>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</si>
  <si>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</si>
  <si>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</si>
  <si>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</si>
  <si>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</si>
  <si>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</si>
  <si>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</si>
  <si>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</si>
  <si>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</si>
  <si>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</si>
  <si>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</si>
  <si>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</si>
  <si>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</si>
  <si>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</si>
  <si>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</si>
  <si>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</si>
  <si>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</si>
  <si>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</si>
  <si>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</si>
  <si>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</si>
  <si>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</si>
  <si>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</si>
  <si>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</si>
  <si>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</si>
  <si>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</si>
  <si>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</si>
  <si>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</si>
  <si>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</si>
  <si>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</si>
  <si>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</si>
  <si>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</si>
  <si>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</si>
  <si>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</si>
  <si>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</si>
  <si>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</si>
  <si>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</si>
  <si>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</si>
  <si>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</si>
  <si>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</si>
  <si>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</si>
  <si>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</si>
  <si>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</si>
  <si>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</si>
  <si>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</si>
  <si>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</si>
  <si>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</si>
  <si>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</si>
  <si>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</si>
  <si>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</si>
  <si>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</si>
  <si>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</si>
  <si>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</si>
  <si>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</si>
  <si>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</si>
  <si>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</si>
  <si>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</si>
  <si>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</si>
  <si>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</si>
  <si>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</si>
  <si>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</si>
  <si>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</si>
  <si>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</si>
  <si>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</si>
  <si>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</si>
  <si>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</si>
  <si>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</si>
  <si>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</si>
  <si>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</si>
  <si>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</si>
  <si>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</si>
  <si>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</si>
  <si>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</si>
  <si>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</si>
  <si>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</si>
  <si>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</si>
  <si>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</si>
  <si>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</si>
  <si>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</si>
  <si>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</si>
  <si>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</si>
  <si>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</si>
  <si>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</si>
  <si>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</si>
  <si>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</si>
  <si>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</si>
  <si>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</si>
  <si>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</si>
  <si>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</si>
  <si>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</si>
  <si>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</si>
  <si>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</si>
  <si>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</si>
  <si>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</si>
  <si>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</si>
  <si>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</si>
  <si>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</si>
  <si>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</si>
  <si>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</si>
  <si>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</si>
  <si>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</si>
  <si>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</si>
  <si>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</si>
  <si>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商业</t>
    <phoneticPr fontId="17" type="noConversion"/>
  </si>
  <si>
    <t>商业</t>
    <phoneticPr fontId="8" type="noConversion"/>
  </si>
  <si>
    <t>商业</t>
    <phoneticPr fontId="32" type="noConversion"/>
  </si>
  <si>
    <t>酒店</t>
    <phoneticPr fontId="32"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</si>
  <si>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</si>
  <si>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</si>
  <si>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</si>
  <si>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</si>
  <si>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</si>
  <si>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</si>
  <si>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</si>
  <si>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</si>
  <si>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</si>
  <si>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</si>
  <si>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</si>
  <si>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</si>
  <si>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</si>
  <si>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</si>
  <si>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</si>
  <si>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</si>
  <si>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</si>
  <si>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</si>
  <si>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</si>
  <si>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</si>
  <si>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</si>
  <si>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</si>
  <si>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</si>
  <si>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</si>
  <si>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</si>
  <si>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</si>
  <si>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</si>
  <si>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</si>
  <si>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</si>
  <si>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</si>
  <si>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</si>
  <si>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</si>
  <si>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</si>
  <si>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</si>
  <si>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</si>
  <si>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</si>
  <si>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</si>
  <si>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</si>
  <si>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</si>
  <si>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</si>
  <si>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</si>
  <si>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</si>
  <si>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</si>
  <si>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</si>
  <si>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</si>
  <si>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</si>
  <si>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</si>
  <si>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</si>
  <si>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</si>
  <si>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</si>
  <si>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</si>
  <si>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</si>
  <si>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</si>
  <si>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</si>
  <si>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</si>
  <si>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</si>
  <si>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</si>
  <si>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</si>
  <si>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</si>
  <si>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</si>
  <si>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</si>
  <si>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</si>
  <si>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</si>
  <si>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</si>
  <si>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</si>
  <si>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</si>
  <si>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</si>
  <si>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</si>
  <si>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</si>
  <si>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</si>
  <si>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</si>
  <si>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</si>
  <si>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</si>
  <si>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</si>
  <si>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</si>
  <si>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</si>
  <si>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</si>
  <si>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</si>
  <si>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</si>
  <si>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</si>
  <si>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</si>
  <si>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</si>
  <si>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</si>
  <si>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</si>
  <si>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</si>
  <si>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</si>
  <si>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</si>
  <si>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</si>
  <si>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</si>
  <si>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</si>
  <si>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</si>
  <si>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</si>
  <si>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</si>
  <si>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</si>
  <si>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</si>
  <si>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</si>
  <si>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</si>
  <si>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</si>
  <si>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</si>
  <si>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</si>
  <si>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</si>
  <si>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</si>
  <si>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</si>
  <si>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</si>
  <si>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</si>
  <si>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</si>
  <si>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</si>
  <si>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</si>
  <si>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</si>
  <si>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</si>
  <si>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</si>
  <si>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</si>
  <si>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</si>
  <si>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</si>
  <si>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</si>
  <si>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</si>
  <si>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</si>
  <si>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</si>
  <si>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</si>
  <si>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</si>
  <si>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</si>
  <si>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</si>
  <si>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</si>
  <si>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</si>
  <si>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</si>
  <si>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</si>
  <si>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</si>
  <si>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</si>
  <si>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</si>
  <si>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</si>
  <si>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</si>
  <si>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</si>
  <si>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</si>
  <si>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</si>
  <si>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</si>
  <si>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</si>
  <si>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</si>
  <si>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</si>
  <si>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</si>
  <si>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</si>
  <si>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</si>
  <si>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</si>
  <si>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</si>
  <si>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</si>
  <si>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</si>
  <si>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</si>
  <si>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</si>
  <si>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</si>
  <si>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</si>
  <si>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</si>
  <si>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</si>
  <si>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</si>
  <si>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</si>
  <si>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</si>
  <si>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</si>
  <si>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</si>
  <si>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</si>
  <si>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</si>
  <si>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</si>
  <si>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</si>
  <si>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</si>
  <si>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</si>
  <si>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</si>
  <si>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</si>
  <si>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</si>
  <si>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</si>
  <si>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</si>
  <si>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</si>
  <si>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</si>
  <si>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</si>
  <si>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</si>
  <si>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</si>
  <si>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</si>
  <si>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</si>
  <si>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</si>
  <si>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</si>
  <si>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</si>
  <si>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</si>
  <si>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</si>
  <si>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</si>
  <si>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</si>
  <si>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</si>
  <si>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</si>
  <si>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</si>
  <si>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</si>
  <si>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</si>
  <si>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</si>
  <si>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</si>
  <si>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</si>
  <si>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</si>
  <si>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</si>
  <si>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</si>
  <si>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</si>
  <si>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</si>
  <si>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</si>
  <si>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</si>
  <si>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</si>
  <si>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</si>
  <si>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</si>
  <si>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</si>
  <si>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</si>
  <si>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</si>
  <si>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</si>
  <si>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</si>
  <si>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</si>
  <si>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</si>
  <si>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</si>
  <si>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</si>
  <si>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</si>
  <si>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</si>
  <si>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</si>
  <si>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</si>
  <si>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</si>
  <si>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</si>
  <si>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</si>
  <si>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</si>
  <si>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</si>
  <si>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</si>
  <si>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</si>
  <si>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</si>
  <si>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</si>
  <si>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</si>
  <si>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</si>
  <si>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</si>
  <si>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</si>
  <si>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</si>
  <si>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</si>
  <si>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</si>
  <si>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</si>
  <si>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</si>
  <si>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</si>
  <si>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</si>
  <si>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</si>
  <si>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</si>
  <si>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</si>
  <si>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</si>
  <si>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</si>
  <si>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</si>
  <si>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</si>
  <si>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</si>
  <si>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</si>
  <si>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</si>
  <si>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</si>
  <si>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</si>
  <si>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</si>
  <si>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</si>
  <si>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</si>
  <si>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</si>
  <si>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</si>
  <si>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</si>
  <si>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</si>
  <si>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</si>
  <si>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</si>
  <si>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</si>
  <si>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</si>
  <si>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</si>
  <si>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</si>
  <si>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</si>
  <si>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</si>
  <si>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</si>
  <si>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</si>
  <si>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</si>
  <si>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</si>
  <si>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</si>
  <si>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</si>
  <si>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</si>
  <si>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</si>
  <si>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</si>
  <si>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</si>
  <si>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</si>
  <si>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</si>
  <si>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</si>
  <si>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</si>
  <si>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</si>
  <si>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</si>
  <si>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</si>
  <si>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</si>
  <si>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</si>
  <si>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</si>
  <si>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</si>
  <si>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</si>
  <si>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</si>
  <si>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</si>
  <si>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</si>
  <si>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</si>
  <si>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</si>
  <si>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</si>
  <si>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</si>
  <si>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</si>
  <si>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</si>
  <si>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</si>
  <si>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</si>
  <si>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</si>
  <si>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</si>
  <si>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</si>
  <si>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</si>
  <si>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</si>
  <si>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</si>
  <si>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</si>
  <si>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</si>
  <si>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</si>
  <si>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</si>
  <si>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</si>
  <si>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</si>
  <si>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</si>
  <si>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</si>
  <si>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</si>
  <si>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</si>
  <si>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</si>
  <si>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</si>
  <si>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</si>
  <si>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</si>
  <si>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</si>
  <si>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</si>
  <si>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</si>
  <si>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</si>
  <si>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</si>
  <si>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</si>
  <si>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</si>
  <si>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</si>
  <si>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</si>
  <si>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</si>
  <si>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</si>
  <si>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</si>
  <si>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</si>
  <si>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</si>
  <si>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</si>
  <si>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</si>
  <si>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</si>
  <si>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</si>
  <si>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</si>
  <si>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</si>
  <si>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</si>
  <si>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</si>
  <si>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</si>
  <si>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</si>
  <si>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</si>
  <si>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</si>
  <si>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</si>
  <si>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</si>
  <si>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</si>
  <si>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</si>
  <si>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</si>
  <si>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</si>
  <si>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</si>
  <si>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</si>
  <si>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</si>
  <si>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</si>
  <si>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</si>
  <si>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</si>
  <si>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</si>
  <si>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</si>
  <si>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</si>
  <si>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</si>
  <si>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</si>
  <si>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</si>
  <si>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</si>
  <si>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</si>
  <si>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</si>
  <si>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</si>
  <si>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</si>
  <si>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</si>
  <si>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</si>
  <si>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</si>
  <si>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</si>
  <si>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</si>
  <si>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</si>
  <si>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</si>
  <si>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</si>
  <si>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</si>
  <si>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</si>
  <si>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</si>
  <si>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</si>
  <si>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</si>
  <si>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</si>
  <si>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</si>
  <si>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</si>
  <si>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</si>
  <si>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</si>
  <si>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</si>
  <si>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</si>
  <si>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</si>
  <si>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</si>
  <si>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</si>
  <si>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</si>
  <si>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</si>
  <si>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</si>
  <si>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</si>
  <si>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</si>
  <si>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</si>
  <si>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</si>
  <si>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</si>
  <si>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</si>
  <si>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</si>
  <si>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</si>
  <si>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</si>
  <si>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</si>
  <si>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</si>
  <si>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</si>
  <si>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</si>
  <si>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</si>
  <si>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</si>
  <si>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</si>
  <si>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</si>
  <si>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</si>
  <si>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</si>
  <si>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</si>
  <si>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</si>
  <si>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</si>
  <si>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</si>
  <si>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</si>
  <si>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</si>
  <si>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</si>
  <si>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</si>
  <si>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</si>
  <si>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</si>
  <si>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</si>
  <si>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</si>
  <si>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</si>
  <si>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</si>
  <si>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</si>
  <si>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</si>
  <si>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</si>
  <si>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</si>
  <si>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</si>
  <si>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</si>
  <si>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</si>
  <si>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</si>
  <si>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</si>
  <si>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</si>
  <si>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</si>
  <si>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</si>
  <si>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</si>
  <si>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</si>
  <si>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</si>
  <si>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</si>
  <si>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</si>
  <si>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</si>
  <si>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</si>
  <si>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</si>
  <si>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</si>
  <si>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</si>
  <si>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</si>
  <si>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</si>
  <si>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</si>
  <si>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</si>
  <si>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</si>
  <si>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</si>
  <si>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</si>
  <si>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</si>
  <si>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</si>
  <si>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</si>
  <si>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</si>
  <si>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</si>
  <si>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</si>
  <si>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</si>
  <si>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</si>
  <si>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</si>
  <si>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</si>
  <si>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</si>
  <si>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</si>
  <si>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</si>
  <si>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</si>
  <si>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</si>
  <si>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</si>
  <si>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</si>
  <si>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</si>
  <si>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</si>
  <si>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</si>
  <si>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</si>
  <si>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</si>
  <si>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</si>
  <si>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</si>
  <si>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</si>
  <si>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</si>
  <si>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</si>
  <si>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</si>
  <si>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</si>
  <si>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</si>
  <si>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</si>
  <si>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</si>
  <si>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</si>
  <si>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</si>
  <si>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</si>
  <si>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</si>
  <si>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</si>
  <si>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</si>
  <si>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</si>
  <si>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</si>
  <si>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</si>
  <si>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</si>
  <si>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</si>
  <si>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</si>
  <si>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</si>
  <si>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</si>
  <si>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</si>
  <si>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</si>
  <si>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</si>
  <si>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</si>
  <si>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</si>
  <si>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</si>
  <si>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</si>
  <si>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</si>
  <si>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</si>
  <si>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</si>
  <si>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</si>
  <si>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</si>
  <si>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</si>
  <si>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</si>
  <si>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</si>
  <si>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</si>
  <si>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</si>
  <si>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</si>
  <si>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</si>
  <si>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</si>
  <si>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</si>
  <si>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</si>
  <si>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</si>
  <si>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</si>
  <si>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</si>
  <si>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</si>
  <si>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</si>
  <si>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</si>
  <si>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</si>
  <si>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</si>
  <si>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</si>
  <si>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</si>
  <si>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</si>
  <si>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</si>
  <si>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</si>
  <si>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</si>
  <si>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</si>
  <si>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</si>
  <si>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</si>
  <si>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</si>
  <si>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</si>
  <si>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</si>
  <si>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</si>
  <si>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</si>
  <si>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</si>
  <si>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</si>
  <si>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</si>
  <si>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</si>
  <si>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</si>
  <si>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</si>
  <si>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</si>
  <si>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</si>
  <si>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</si>
  <si>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</si>
  <si>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</si>
  <si>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</si>
  <si>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</si>
  <si>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</si>
  <si>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</si>
  <si>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</si>
  <si>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</si>
  <si>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</si>
  <si>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</si>
  <si>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</si>
  <si>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</si>
  <si>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</si>
  <si>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</si>
  <si>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</si>
  <si>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</si>
  <si>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</si>
  <si>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</si>
  <si>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</si>
  <si>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</si>
  <si>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</si>
  <si>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</si>
  <si>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</si>
  <si>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</si>
  <si>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</si>
  <si>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</si>
  <si>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</si>
  <si>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</si>
  <si>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</si>
  <si>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</si>
  <si>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</si>
  <si>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</si>
  <si>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</si>
  <si>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</si>
  <si>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</si>
  <si>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</si>
  <si>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</si>
  <si>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</si>
  <si>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</si>
  <si>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</si>
  <si>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</si>
  <si>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</si>
  <si>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</si>
  <si>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</si>
  <si>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</si>
  <si>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</si>
  <si>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</si>
  <si>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</si>
  <si>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</si>
  <si>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</si>
  <si>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</si>
  <si>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</si>
  <si>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</si>
  <si>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</si>
  <si>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</si>
  <si>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</si>
  <si>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</si>
  <si>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</si>
  <si>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</si>
  <si>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</si>
  <si>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</si>
  <si>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</si>
  <si>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</si>
  <si>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</si>
  <si>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</si>
  <si>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</si>
  <si>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</si>
  <si>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</si>
  <si>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</si>
  <si>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</si>
  <si>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</si>
  <si>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</si>
  <si>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</si>
  <si>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</si>
  <si>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</si>
  <si>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</si>
  <si>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</si>
  <si>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</si>
  <si>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</si>
  <si>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</si>
  <si>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</si>
  <si>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</si>
  <si>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</si>
  <si>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</si>
  <si>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</si>
  <si>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</si>
  <si>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</si>
  <si>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</si>
  <si>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</si>
  <si>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</si>
  <si>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</si>
  <si>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</si>
  <si>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</si>
  <si>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</si>
  <si>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</si>
  <si>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</si>
  <si>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</si>
  <si>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</si>
  <si>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</si>
  <si>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</si>
  <si>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</si>
  <si>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</si>
  <si>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</si>
  <si>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</si>
  <si>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</si>
  <si>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</si>
  <si>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</si>
  <si>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</si>
  <si>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</si>
  <si>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</si>
  <si>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</si>
  <si>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</si>
  <si>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</si>
  <si>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</si>
  <si>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</si>
  <si>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</si>
  <si>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</si>
  <si>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</si>
  <si>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</si>
  <si>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</si>
  <si>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</si>
  <si>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</si>
  <si>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</si>
  <si>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</si>
  <si>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</si>
  <si>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</si>
  <si>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</si>
  <si>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</si>
  <si>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</si>
  <si>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</si>
  <si>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</si>
  <si>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</si>
  <si>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</si>
  <si>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</si>
  <si>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</si>
  <si>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</si>
  <si>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</si>
  <si>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</si>
  <si>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</si>
  <si>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</si>
  <si>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</si>
  <si>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</si>
  <si>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</si>
  <si>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</si>
  <si>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</si>
  <si>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</si>
  <si>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</si>
  <si>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</si>
  <si>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</si>
  <si>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</si>
  <si>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</si>
  <si>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</si>
  <si>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</si>
  <si>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</si>
  <si>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</si>
  <si>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</si>
  <si>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</si>
  <si>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</si>
  <si>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</si>
  <si>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</si>
  <si>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</si>
  <si>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</si>
  <si>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</si>
  <si>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</si>
  <si>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</si>
  <si>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</si>
  <si>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</si>
  <si>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</si>
  <si>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</si>
  <si>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</si>
  <si>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康正</t>
    <phoneticPr fontId="4" type="noConversion"/>
  </si>
  <si>
    <t>一般</t>
    <phoneticPr fontId="25"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</si>
  <si>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</si>
  <si>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</si>
  <si>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</si>
  <si>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</si>
  <si>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</si>
  <si>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</si>
  <si>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</si>
  <si>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</si>
  <si>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</si>
  <si>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</si>
  <si>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</si>
  <si>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</si>
  <si>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</si>
  <si>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</si>
  <si>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</si>
  <si>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</si>
  <si>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</si>
  <si>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</si>
  <si>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</si>
  <si>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</si>
  <si>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</si>
  <si>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</si>
  <si>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</si>
  <si>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</si>
  <si>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</si>
  <si>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</si>
  <si>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</si>
  <si>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</si>
  <si>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</si>
  <si>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</si>
  <si>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</si>
  <si>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</si>
  <si>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</si>
  <si>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</si>
  <si>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</si>
  <si>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</si>
  <si>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</si>
  <si>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</si>
  <si>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</si>
  <si>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</si>
  <si>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</si>
  <si>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</si>
  <si>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</si>
  <si>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</si>
  <si>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</si>
  <si>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</si>
  <si>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</si>
  <si>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</si>
  <si>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</si>
  <si>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</si>
  <si>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</si>
  <si>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</si>
  <si>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</si>
  <si>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</si>
  <si>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</si>
  <si>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合计</t>
    <phoneticPr fontId="134" type="noConversion"/>
  </si>
  <si>
    <t>较差</t>
  </si>
  <si>
    <t>出让金+开发费</t>
  </si>
  <si>
    <t>北京金融科技中心</t>
    <phoneticPr fontId="134" type="noConversion"/>
  </si>
  <si>
    <t>A座</t>
    <phoneticPr fontId="134" type="noConversion"/>
  </si>
  <si>
    <t>商业</t>
    <phoneticPr fontId="134" type="noConversion"/>
  </si>
  <si>
    <t>1层</t>
    <phoneticPr fontId="134" type="noConversion"/>
  </si>
  <si>
    <t>2层</t>
    <phoneticPr fontId="134" type="noConversion"/>
  </si>
  <si>
    <t>3层</t>
    <phoneticPr fontId="134" type="noConversion"/>
  </si>
  <si>
    <t>商业</t>
    <phoneticPr fontId="134" type="noConversion"/>
  </si>
  <si>
    <t>4层</t>
    <phoneticPr fontId="134" type="noConversion"/>
  </si>
  <si>
    <t>5层</t>
    <phoneticPr fontId="134" type="noConversion"/>
  </si>
  <si>
    <t>B座</t>
    <phoneticPr fontId="134" type="noConversion"/>
  </si>
  <si>
    <t>1层</t>
    <phoneticPr fontId="134" type="noConversion"/>
  </si>
  <si>
    <t>商业</t>
    <phoneticPr fontId="134" type="noConversion"/>
  </si>
  <si>
    <t>2层</t>
  </si>
  <si>
    <t>3层</t>
  </si>
  <si>
    <t>4层</t>
  </si>
  <si>
    <t>5层</t>
  </si>
  <si>
    <t>6层</t>
  </si>
  <si>
    <t>办公</t>
    <phoneticPr fontId="134" type="noConversion"/>
  </si>
  <si>
    <t>7层</t>
  </si>
  <si>
    <t>8层</t>
  </si>
  <si>
    <t>9层</t>
  </si>
  <si>
    <t>10层</t>
  </si>
  <si>
    <t>11层</t>
  </si>
  <si>
    <t>12层</t>
  </si>
  <si>
    <t>13层</t>
  </si>
  <si>
    <t>14层</t>
  </si>
  <si>
    <t>15层</t>
  </si>
  <si>
    <t>16层</t>
  </si>
  <si>
    <t>17层</t>
  </si>
  <si>
    <t>18层</t>
  </si>
  <si>
    <t>19层</t>
    <phoneticPr fontId="134" type="noConversion"/>
  </si>
  <si>
    <t>合计</t>
    <phoneticPr fontId="134" type="noConversion"/>
  </si>
  <si>
    <t>地下1层</t>
    <phoneticPr fontId="134" type="noConversion"/>
  </si>
  <si>
    <t>商业</t>
    <phoneticPr fontId="134" type="noConversion"/>
  </si>
  <si>
    <t>地下2层</t>
    <phoneticPr fontId="134" type="noConversion"/>
  </si>
  <si>
    <t>车库</t>
    <phoneticPr fontId="134" type="noConversion"/>
  </si>
  <si>
    <t>地下3层</t>
    <phoneticPr fontId="134" type="noConversion"/>
  </si>
  <si>
    <t>合计</t>
    <phoneticPr fontId="134" type="noConversion"/>
  </si>
  <si>
    <t>总计</t>
    <phoneticPr fontId="134"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</si>
  <si>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</si>
  <si>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</si>
  <si>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</si>
  <si>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</si>
  <si>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</si>
  <si>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</si>
  <si>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</si>
  <si>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</si>
  <si>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</si>
  <si>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</si>
  <si>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</si>
  <si>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</si>
  <si>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</si>
  <si>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</si>
  <si>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</si>
  <si>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</si>
  <si>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</si>
  <si>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</si>
  <si>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</si>
  <si>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</si>
  <si>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</si>
  <si>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</si>
  <si>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</si>
  <si>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</si>
  <si>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</si>
  <si>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</si>
  <si>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8" type="noConversion"/>
  </si>
  <si>
    <t>地下车库</t>
  </si>
  <si>
    <t>地下车库</t>
    <phoneticPr fontId="8"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</si>
  <si>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</si>
  <si>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</si>
  <si>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</si>
  <si>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</si>
  <si>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</si>
  <si>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</si>
  <si>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</si>
  <si>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</si>
  <si>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</si>
  <si>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</si>
  <si>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</si>
  <si>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</si>
  <si>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</si>
  <si>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</si>
  <si>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</si>
  <si>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</si>
  <si>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</si>
  <si>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</si>
  <si>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</si>
  <si>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商业租金</t>
    <phoneticPr fontId="4" type="noConversion"/>
  </si>
  <si>
    <t>楼层</t>
    <phoneticPr fontId="4" type="noConversion"/>
  </si>
  <si>
    <t>地下1层</t>
    <phoneticPr fontId="4" type="noConversion"/>
  </si>
  <si>
    <t>地下2层</t>
  </si>
  <si>
    <t>系数</t>
    <phoneticPr fontId="4" type="noConversion"/>
  </si>
  <si>
    <t>租金</t>
    <phoneticPr fontId="4" type="noConversion"/>
  </si>
  <si>
    <t>容积率修正</t>
  </si>
  <si>
    <t>基准地价修正办</t>
  </si>
  <si>
    <t>基准地价修正办</t>
    <phoneticPr fontId="17" type="noConversion"/>
  </si>
  <si>
    <t>收益法</t>
  </si>
  <si>
    <t>收益法办</t>
  </si>
  <si>
    <t>收益法办</t>
    <phoneticPr fontId="17" type="noConversion"/>
  </si>
  <si>
    <t>收益法车</t>
  </si>
  <si>
    <t>收益法车</t>
    <phoneticPr fontId="17" type="noConversion"/>
  </si>
  <si>
    <t>收益法（汇总）</t>
  </si>
  <si>
    <t>比较法-办公（大宗）</t>
  </si>
  <si>
    <t>比较法-办公（大宗）</t>
    <phoneticPr fontId="17" type="noConversion"/>
  </si>
  <si>
    <t>企业提供（在右侧录入）</t>
  </si>
  <si>
    <t>残值率</t>
    <phoneticPr fontId="4" type="noConversion"/>
  </si>
  <si>
    <t>一般</t>
    <phoneticPr fontId="134" type="noConversion"/>
  </si>
  <si>
    <t>商办综合</t>
  </si>
  <si>
    <t>地上</t>
    <phoneticPr fontId="8" type="noConversion"/>
  </si>
  <si>
    <t>地下商业</t>
    <phoneticPr fontId="8" type="noConversion"/>
  </si>
  <si>
    <t>地下车库</t>
    <phoneticPr fontId="8" type="noConversion"/>
  </si>
  <si>
    <t>西城区西直门外大街南路甲28号</t>
    <phoneticPr fontId="134"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</si>
  <si>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</si>
  <si>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</si>
  <si>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</si>
  <si>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</si>
  <si>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</si>
  <si>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</si>
  <si>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</si>
  <si>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</si>
  <si>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</si>
  <si>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</si>
  <si>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</si>
  <si>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</si>
  <si>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</si>
  <si>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</si>
  <si>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</si>
  <si>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</si>
  <si>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</si>
  <si>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</si>
  <si>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</si>
  <si>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</si>
  <si>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</si>
  <si>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</si>
  <si>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30-40</t>
    <phoneticPr fontId="134" type="noConversion"/>
  </si>
  <si>
    <t>40-50</t>
    <phoneticPr fontId="134" type="noConversion"/>
  </si>
  <si>
    <t>地上</t>
    <phoneticPr fontId="134" type="noConversion"/>
  </si>
  <si>
    <t>地下</t>
    <phoneticPr fontId="134" type="noConversion"/>
  </si>
  <si>
    <t>总面积</t>
    <phoneticPr fontId="134" type="noConversion"/>
  </si>
  <si>
    <t>25%</t>
    <phoneticPr fontId="134" type="noConversion"/>
  </si>
  <si>
    <t>25%</t>
    <phoneticPr fontId="134" type="noConversion"/>
  </si>
  <si>
    <t>0%</t>
    <phoneticPr fontId="134" type="noConversion"/>
  </si>
  <si>
    <t>15%</t>
    <phoneticPr fontId="134" type="noConversion"/>
  </si>
  <si>
    <t>实际办公</t>
    <phoneticPr fontId="4" type="noConversion"/>
  </si>
  <si>
    <r>
      <rPr>
        <sz val="11"/>
        <color theme="9" tint="-0.249977111117893"/>
        <rFont val="宋体"/>
        <family val="3"/>
        <charset val="134"/>
      </rPr>
      <t>大新华航空大厦</t>
    </r>
    <r>
      <rPr>
        <sz val="11"/>
        <color theme="9" tint="-0.249977111117893"/>
        <rFont val="Arial"/>
        <family val="2"/>
      </rPr>
      <t>(</t>
    </r>
    <r>
      <rPr>
        <sz val="11"/>
        <color theme="9" tint="-0.249977111117893"/>
        <rFont val="宋体"/>
        <family val="3"/>
        <charset val="134"/>
      </rPr>
      <t>现更名为中信保诚大厦</t>
    </r>
    <r>
      <rPr>
        <sz val="11"/>
        <color theme="9" tint="-0.249977111117893"/>
        <rFont val="Arial"/>
        <family val="2"/>
      </rPr>
      <t>)</t>
    </r>
    <phoneticPr fontId="134" type="noConversion"/>
  </si>
  <si>
    <t>通用时代中心A座7-16层</t>
    <phoneticPr fontId="134" type="noConversion"/>
  </si>
  <si>
    <r>
      <rPr>
        <sz val="11"/>
        <color theme="9" tint="-0.249977111117893"/>
        <rFont val="宋体"/>
        <family val="3"/>
        <charset val="134"/>
      </rPr>
      <t>方恒时尚中心</t>
    </r>
    <r>
      <rPr>
        <sz val="11"/>
        <color theme="9" tint="-0.249977111117893"/>
        <rFont val="Arial"/>
        <family val="2"/>
      </rPr>
      <t>1#B1-F4</t>
    </r>
    <phoneticPr fontId="134" type="noConversion"/>
  </si>
  <si>
    <t>一般</t>
    <phoneticPr fontId="134" type="noConversion"/>
  </si>
  <si>
    <t>B座</t>
    <phoneticPr fontId="4" type="noConversion"/>
  </si>
  <si>
    <t>A座</t>
    <phoneticPr fontId="4" type="noConversion"/>
  </si>
  <si>
    <t>收益比率</t>
  </si>
  <si>
    <t>情况4</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</si>
</sst>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9"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1" fillId="0" borderId="0"/>
    <xf numFmtId="0" fontId="96" fillId="0" borderId="0">
      <alignment vertical="center"/>
    </xf>
    <xf numFmtId="0" fontId="221" fillId="0" borderId="0"/>
    <xf numFmtId="43" fontId="274" fillId="0" borderId="0" applyFont="0" applyFill="0" applyBorder="0" applyAlignment="0" applyProtection="0">
      <alignment vertical="center"/>
    </xf>
    <xf numFmtId="0" fontId="159" fillId="0" borderId="0"/>
  </cellStyleXfs>
  <cellXfs count="39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4"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2" fillId="0" borderId="0" xfId="12" applyFont="1"/>
    <xf numFmtId="0" fontId="272" fillId="0" borderId="0" xfId="12" applyFont="1" applyAlignment="1">
      <alignment vertical="center"/>
    </xf>
    <xf numFmtId="0" fontId="272" fillId="0" borderId="1" xfId="12" applyFont="1" applyBorder="1" applyAlignment="1">
      <alignment horizontal="left" vertical="center"/>
    </xf>
    <xf numFmtId="0" fontId="272" fillId="0" borderId="0" xfId="12" applyFont="1" applyAlignment="1">
      <alignment horizontal="left" vertical="center"/>
    </xf>
    <xf numFmtId="0" fontId="272" fillId="0" borderId="0" xfId="12" applyFont="1" applyAlignment="1">
      <alignment horizontal="left"/>
    </xf>
    <xf numFmtId="0" fontId="273" fillId="0" borderId="0" xfId="12" applyFont="1" applyAlignment="1">
      <alignment horizontal="left" vertical="center"/>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96" fontId="48" fillId="12" borderId="1" xfId="0" applyNumberFormat="1" applyFont="1" applyFill="1" applyBorder="1" applyAlignment="1" applyProtection="1">
      <alignment horizontal="left" vertical="center"/>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96" fillId="0" borderId="0" xfId="47">
      <alignment vertical="center"/>
    </xf>
    <xf numFmtId="0" fontId="96" fillId="9" borderId="0" xfId="47" applyFill="1">
      <alignment vertical="center"/>
    </xf>
    <xf numFmtId="0" fontId="96" fillId="0" borderId="0" xfId="47" applyAlignment="1">
      <alignment vertical="center" wrapText="1"/>
    </xf>
    <xf numFmtId="0" fontId="96" fillId="0" borderId="0" xfId="47" applyFont="1">
      <alignment vertical="center"/>
    </xf>
    <xf numFmtId="31" fontId="20" fillId="22" borderId="176" xfId="47" applyNumberFormat="1" applyFont="1" applyFill="1" applyBorder="1" applyAlignment="1">
      <alignment vertical="center" wrapText="1"/>
    </xf>
    <xf numFmtId="0" fontId="96" fillId="9" borderId="0" xfId="47" applyFont="1" applyFill="1">
      <alignment vertical="center"/>
    </xf>
    <xf numFmtId="31" fontId="20" fillId="9" borderId="176" xfId="47" applyNumberFormat="1" applyFont="1" applyFill="1" applyBorder="1" applyAlignment="1">
      <alignment vertical="center" wrapText="1"/>
    </xf>
    <xf numFmtId="0" fontId="96" fillId="9" borderId="0" xfId="47" applyFill="1" applyAlignment="1">
      <alignment vertical="center" wrapText="1"/>
    </xf>
    <xf numFmtId="31" fontId="270" fillId="23" borderId="176" xfId="47" applyNumberFormat="1" applyFont="1" applyFill="1" applyBorder="1" applyAlignment="1">
      <alignment vertical="center" wrapText="1"/>
    </xf>
    <xf numFmtId="31" fontId="129" fillId="22" borderId="176" xfId="47" applyNumberFormat="1" applyFont="1" applyFill="1" applyBorder="1" applyAlignment="1">
      <alignment vertical="center" wrapText="1"/>
    </xf>
    <xf numFmtId="31" fontId="129" fillId="5" borderId="176" xfId="47" applyNumberFormat="1" applyFont="1" applyFill="1" applyBorder="1" applyAlignment="1">
      <alignment vertical="center" wrapText="1"/>
    </xf>
    <xf numFmtId="31" fontId="270" fillId="9" borderId="176" xfId="47" applyNumberFormat="1" applyFont="1" applyFill="1" applyBorder="1" applyAlignment="1">
      <alignment vertical="center" wrapText="1"/>
    </xf>
    <xf numFmtId="0" fontId="95" fillId="0" borderId="0" xfId="0" applyFont="1" applyFill="1" applyAlignment="1" applyProtection="1">
      <alignment horizontal="center" vertical="center"/>
      <protection locked="0"/>
    </xf>
    <xf numFmtId="181" fontId="45" fillId="0" borderId="41" xfId="17" applyNumberFormat="1" applyFont="1" applyFill="1" applyBorder="1" applyAlignment="1" applyProtection="1">
      <alignment horizontal="center" vertical="center" wrapText="1"/>
      <protection locked="0"/>
    </xf>
    <xf numFmtId="9" fontId="52" fillId="0" borderId="0" xfId="17" applyFont="1" applyFill="1" applyAlignment="1" applyProtection="1">
      <alignment horizontal="center" vertical="center"/>
      <protection locked="0"/>
    </xf>
    <xf numFmtId="10" fontId="52" fillId="0" borderId="0" xfId="17" applyNumberFormat="1" applyFont="1" applyFill="1" applyAlignment="1" applyProtection="1">
      <alignment horizontal="center" vertical="center"/>
      <protection locked="0"/>
    </xf>
    <xf numFmtId="9" fontId="45" fillId="0" borderId="44" xfId="0" applyNumberFormat="1" applyFont="1" applyFill="1" applyBorder="1" applyAlignment="1" applyProtection="1">
      <alignment horizontal="center" vertical="center" wrapText="1"/>
      <protection locked="0"/>
    </xf>
    <xf numFmtId="9" fontId="45" fillId="0" borderId="41"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196" fontId="0" fillId="0" borderId="0" xfId="0" applyNumberFormat="1">
      <alignment vertical="center"/>
    </xf>
    <xf numFmtId="177" fontId="48" fillId="18"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北京市西城区西直门外大街南路甲28号房地产市场价值预评估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受贵公司委托，我公司对北京市西城区西直门外大街南路甲28号房地产市场价值进行了预评估。</v>
      </c>
    </row>
    <row r="7" spans="1:2" s="1198" customFormat="1">
      <c r="A7" s="1196" t="s">
        <v>566</v>
      </c>
      <c r="B7" s="1197" t="str">
        <f>'预评函-1'!A7</f>
        <v>估价对象为北京市西城区西直门外大街南路甲28号房地产，为所有。根据《国有土地使用证》[]，估价对象（分摊）出让国有建设用地使用权面积为10591.91平方米，建筑面积为84373.1平方米。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西城区西直门外大街南路甲28号房地产,属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2024年1月18日（评估专业人员实地查勘之日）</v>
      </c>
    </row>
    <row r="13" spans="1:2" s="1198" customFormat="1">
      <c r="A13" s="1196" t="s">
        <v>529</v>
      </c>
      <c r="B13" s="1197" t="str">
        <f>'预评函-1'!A18</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550417</v>
      </c>
    </row>
    <row r="21" spans="1:2" s="1198" customFormat="1">
      <c r="A21" s="1196" t="s">
        <v>537</v>
      </c>
      <c r="B21" s="1197">
        <f ca="1">'预评函-2'!D7</f>
        <v>65236</v>
      </c>
    </row>
    <row r="22" spans="1:2" s="1198" customFormat="1">
      <c r="A22" s="1196" t="s">
        <v>538</v>
      </c>
      <c r="B22" s="1197" t="str">
        <f ca="1">'预评函-2'!D6</f>
        <v>伍拾伍亿零肆佰壹拾柒万元整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550417</v>
      </c>
    </row>
    <row r="31" spans="1:2" s="1198" customFormat="1">
      <c r="A31" s="1196" t="s">
        <v>576</v>
      </c>
      <c r="B31" s="1197">
        <f ca="1">'预评函-2'!D15</f>
        <v>65236</v>
      </c>
    </row>
    <row r="32" spans="1:2" s="1198" customFormat="1">
      <c r="A32" s="1196" t="s">
        <v>543</v>
      </c>
      <c r="B32" s="1197" t="str">
        <f ca="1">'预评函-2'!D14</f>
        <v>伍拾伍亿零肆佰壹拾柒万元整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533824</v>
      </c>
    </row>
    <row r="39" spans="1:2" s="1198" customFormat="1">
      <c r="A39" s="1196" t="s">
        <v>545</v>
      </c>
      <c r="B39" s="1197">
        <f ca="1">'预评函-2'!D21</f>
        <v>63269</v>
      </c>
    </row>
    <row r="40" spans="1:2" s="1198" customFormat="1">
      <c r="A40" s="1196" t="s">
        <v>546</v>
      </c>
      <c r="B40" s="1197" t="str">
        <f ca="1">'预评函-2'!D20</f>
        <v>伍拾叁亿叁仟捌佰贰拾肆万元整</v>
      </c>
    </row>
    <row r="41" spans="1:2" s="1198" customFormat="1">
      <c r="A41" s="1196" t="s">
        <v>592</v>
      </c>
      <c r="B41" s="1197" t="str">
        <f>'预评函-3'!A4</f>
        <v>北京市西城区西直门外大街南路甲28号房地产</v>
      </c>
    </row>
    <row r="42" spans="1:2" s="1198" customFormat="1">
      <c r="A42" s="1196" t="s">
        <v>590</v>
      </c>
      <c r="B42" s="1197" t="str">
        <f>'预评函-3'!B2</f>
        <v>建筑面积</v>
      </c>
    </row>
    <row r="43" spans="1:2" s="1198" customFormat="1">
      <c r="A43" s="1196" t="s">
        <v>591</v>
      </c>
      <c r="B43" s="1197">
        <f>'预评函-3'!B4</f>
        <v>84373.10000000002</v>
      </c>
    </row>
    <row r="44" spans="1:2" s="1198" customFormat="1">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439783</v>
      </c>
    </row>
    <row r="48" spans="1:2" s="1198" customFormat="1">
      <c r="A48" s="1196" t="s">
        <v>549</v>
      </c>
      <c r="B48" s="1197">
        <f ca="1">'预评函-3'!E4</f>
        <v>52124</v>
      </c>
    </row>
    <row r="49" spans="1:2" s="1198" customFormat="1">
      <c r="A49" s="1196" t="s">
        <v>550</v>
      </c>
      <c r="B49" s="1197" t="str">
        <f ca="1">'预评函-3'!D5</f>
        <v>肆拾叁亿玖仟柒佰捌拾叁万元整</v>
      </c>
    </row>
    <row r="50" spans="1:2" s="1198" customFormat="1">
      <c r="A50" s="1196" t="s">
        <v>574</v>
      </c>
      <c r="B50" s="1197" t="str">
        <f>'预评函-3'!F2</f>
        <v>在建建筑物价值</v>
      </c>
    </row>
    <row r="51" spans="1:2" s="1198" customFormat="1">
      <c r="A51" s="1196" t="s">
        <v>551</v>
      </c>
      <c r="B51" s="1197">
        <f ca="1">'预评函-3'!F4</f>
        <v>110634</v>
      </c>
    </row>
    <row r="52" spans="1:2" s="1198" customFormat="1">
      <c r="A52" s="1196" t="s">
        <v>552</v>
      </c>
      <c r="B52" s="1197">
        <f ca="1">'预评函-3'!G4</f>
        <v>13112</v>
      </c>
    </row>
    <row r="53" spans="1:2" s="1198" customFormat="1">
      <c r="A53" s="1196" t="s">
        <v>580</v>
      </c>
      <c r="B53" s="1197" t="str">
        <f ca="1">'预评函-3'!F5</f>
        <v>壹拾壹亿零陆佰叁拾肆万元整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4306</v>
      </c>
      <c r="C19" s="1542"/>
    </row>
    <row r="20" spans="1:3">
      <c r="A20" s="1541" t="s">
        <v>1048</v>
      </c>
      <c r="B20" s="1541" t="s">
        <v>4308</v>
      </c>
      <c r="C20" s="1542"/>
    </row>
    <row r="21" spans="1:3">
      <c r="A21" s="1541" t="s">
        <v>1049</v>
      </c>
      <c r="B21" s="1541" t="s">
        <v>4303</v>
      </c>
      <c r="C21" s="1542"/>
    </row>
    <row r="22" spans="1:3">
      <c r="A22" s="1541" t="s">
        <v>1050</v>
      </c>
      <c r="B22" s="1541" t="s">
        <v>4311</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3426</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01"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1"/>
      <c r="B54" s="1549" t="s">
        <v>385</v>
      </c>
      <c r="C54" s="1546" t="s">
        <v>583</v>
      </c>
    </row>
    <row r="55" spans="1:4">
      <c r="A55" s="3601"/>
      <c r="B55" s="1549" t="s">
        <v>386</v>
      </c>
      <c r="C55" s="1546" t="s">
        <v>584</v>
      </c>
    </row>
    <row r="56" spans="1:4">
      <c r="A56" s="3601"/>
      <c r="B56" s="1549" t="s">
        <v>387</v>
      </c>
      <c r="C56" s="1546" t="s">
        <v>588</v>
      </c>
    </row>
    <row r="57" spans="1:4">
      <c r="A57" s="3601"/>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3029" customWidth="1"/>
    <col min="14" max="18" width="9.5" style="2987" customWidth="1"/>
    <col min="19" max="16384" width="15.25" style="2987"/>
  </cols>
  <sheetData>
    <row r="1" spans="1:18">
      <c r="A1" s="2984" t="s">
        <v>2482</v>
      </c>
      <c r="B1" s="2985"/>
      <c r="C1" s="2985"/>
      <c r="D1" s="2985"/>
      <c r="E1" s="2985"/>
      <c r="F1" s="2986"/>
      <c r="I1" s="3407" t="s">
        <v>2575</v>
      </c>
      <c r="J1" s="3197"/>
      <c r="K1" s="3197"/>
      <c r="L1" s="3197"/>
      <c r="M1" s="3197"/>
      <c r="N1" s="3408"/>
      <c r="O1" s="3408"/>
      <c r="P1" s="3408"/>
      <c r="Q1" s="3408"/>
      <c r="R1" s="3408"/>
    </row>
    <row r="2" spans="1:18">
      <c r="A2" s="2988"/>
      <c r="B2" s="2989"/>
      <c r="C2" s="2989"/>
      <c r="D2" s="2989"/>
      <c r="E2" s="2989"/>
      <c r="F2" s="2990"/>
      <c r="I2" s="3602" t="s">
        <v>2562</v>
      </c>
      <c r="J2" s="3602"/>
      <c r="K2" s="3602"/>
      <c r="L2" s="3602"/>
      <c r="M2" s="3602"/>
      <c r="N2" s="3602"/>
      <c r="O2" s="3602"/>
      <c r="P2" s="3602"/>
      <c r="Q2" s="3602"/>
      <c r="R2" s="3602"/>
    </row>
    <row r="3" spans="1:18">
      <c r="A3" s="2991" t="s">
        <v>2483</v>
      </c>
      <c r="B3" s="2992">
        <f>项目基本情况!D3</f>
        <v>45309</v>
      </c>
      <c r="C3" s="2994"/>
      <c r="D3" s="2994"/>
      <c r="E3" s="2994"/>
      <c r="F3" s="2990"/>
      <c r="I3" s="3409"/>
      <c r="J3" s="3409" t="s">
        <v>2566</v>
      </c>
      <c r="K3" s="3409" t="s">
        <v>2567</v>
      </c>
      <c r="L3" s="3409" t="s">
        <v>2568</v>
      </c>
      <c r="M3" s="3409" t="s">
        <v>2569</v>
      </c>
      <c r="N3" s="3410" t="s">
        <v>2570</v>
      </c>
      <c r="O3" s="3410" t="s">
        <v>2571</v>
      </c>
      <c r="P3" s="3410" t="s">
        <v>2572</v>
      </c>
      <c r="Q3" s="3410" t="s">
        <v>2573</v>
      </c>
      <c r="R3" s="3410" t="s">
        <v>2574</v>
      </c>
    </row>
    <row r="4" spans="1:18">
      <c r="A4" s="2991" t="s">
        <v>2484</v>
      </c>
      <c r="B4" s="2994" t="s">
        <v>2485</v>
      </c>
      <c r="C4" s="2994" t="s">
        <v>2486</v>
      </c>
      <c r="D4" s="2994" t="s">
        <v>2487</v>
      </c>
      <c r="E4" s="2994" t="s">
        <v>2488</v>
      </c>
      <c r="F4" s="2990"/>
      <c r="I4" s="3409" t="s">
        <v>2563</v>
      </c>
      <c r="J4" s="3409">
        <v>80</v>
      </c>
      <c r="K4" s="3409">
        <v>70</v>
      </c>
      <c r="L4" s="3409">
        <v>20</v>
      </c>
      <c r="M4" s="3409">
        <v>30</v>
      </c>
      <c r="N4" s="2994">
        <v>45</v>
      </c>
      <c r="O4" s="2994">
        <v>60</v>
      </c>
      <c r="P4" s="2994">
        <v>50</v>
      </c>
      <c r="Q4" s="2994">
        <v>20</v>
      </c>
      <c r="R4" s="2994">
        <v>375</v>
      </c>
    </row>
    <row r="5" spans="1:18">
      <c r="A5" s="2995">
        <v>40</v>
      </c>
      <c r="B5" s="2992">
        <v>46375</v>
      </c>
      <c r="C5" s="2994">
        <f>ROUNDDOWN(MIN((B5-B3)/365,A5),2)</f>
        <v>2.92</v>
      </c>
      <c r="D5" s="2996">
        <f>IF(ISERROR(ROUND(POWER(1+E5,A5-C5)*(POWER(1+E5,C5)-1)/(POWER(1+E5,A5)-1),3)),0,ROUND(POWER(1+E5,A5-C5)*(POWER(1+E5,C5)-1)/(POWER(1+E5,A5)-1),4))</f>
        <v>0.13669999999999999</v>
      </c>
      <c r="E5" s="2997">
        <v>0.04</v>
      </c>
      <c r="F5" s="2990"/>
      <c r="I5" s="3409" t="s">
        <v>2564</v>
      </c>
      <c r="J5" s="3409">
        <v>70</v>
      </c>
      <c r="K5" s="3409">
        <v>60</v>
      </c>
      <c r="L5" s="3409">
        <v>15</v>
      </c>
      <c r="M5" s="3409">
        <v>25</v>
      </c>
      <c r="N5" s="2994">
        <v>40</v>
      </c>
      <c r="O5" s="2994">
        <v>50</v>
      </c>
      <c r="P5" s="2994">
        <v>40</v>
      </c>
      <c r="Q5" s="2994">
        <v>15</v>
      </c>
      <c r="R5" s="2994">
        <v>315</v>
      </c>
    </row>
    <row r="6" spans="1:18">
      <c r="A6" s="2995">
        <v>50</v>
      </c>
      <c r="B6" s="2992">
        <v>50028</v>
      </c>
      <c r="C6" s="2994">
        <f>ROUNDDOWN(MIN((B6-B3)/365,A6),2)</f>
        <v>12.92</v>
      </c>
      <c r="D6" s="2996">
        <f>IF(ISERROR(ROUND(POWER(1+E6,A6-C6)*(POWER(1+E6,C6)-1)/(POWER(1+E6,A6)-1),3)),0,ROUND(POWER(1+E6,A6-C6)*(POWER(1+E6,C6)-1)/(POWER(1+E6,A6)-1),4))</f>
        <v>0.46260000000000001</v>
      </c>
      <c r="E6" s="2997">
        <v>0.04</v>
      </c>
      <c r="F6" s="2990"/>
      <c r="I6" s="3409" t="s">
        <v>2565</v>
      </c>
      <c r="J6" s="3409">
        <v>60</v>
      </c>
      <c r="K6" s="3409">
        <v>50</v>
      </c>
      <c r="L6" s="3409">
        <v>10</v>
      </c>
      <c r="M6" s="3409">
        <v>20</v>
      </c>
      <c r="N6" s="2994">
        <v>35</v>
      </c>
      <c r="O6" s="2994">
        <v>40</v>
      </c>
      <c r="P6" s="2994">
        <v>30</v>
      </c>
      <c r="Q6" s="2994">
        <v>10</v>
      </c>
      <c r="R6" s="2994">
        <v>255</v>
      </c>
    </row>
    <row r="7" spans="1:18">
      <c r="A7" s="2995">
        <v>70</v>
      </c>
      <c r="B7" s="2992">
        <v>57333</v>
      </c>
      <c r="C7" s="2994">
        <f>ROUNDDOWN(MIN((B7-B3)/365,A7),2)</f>
        <v>32.94</v>
      </c>
      <c r="D7" s="2996">
        <f>IF(ISERROR(ROUND(POWER(1+E7,A7-C7)*(POWER(1+E7,C7)-1)/(POWER(1+E7,A7)-1),3)),0,ROUND(POWER(1+E7,A7-C7)*(POWER(1+E7,C7)-1)/(POWER(1+E7,A7)-1),4))</f>
        <v>0.77500000000000002</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4.25" thickBot="1">
      <c r="A18" s="3002" t="s">
        <v>2498</v>
      </c>
      <c r="B18" s="3003">
        <f>ROUND(B17*F11/F12,2)</f>
        <v>5541.87</v>
      </c>
      <c r="C18" s="3003">
        <f>ROUND(F11/F12,4)</f>
        <v>1.1521999999999999</v>
      </c>
      <c r="D18" s="3004"/>
      <c r="E18" s="3004"/>
      <c r="F18" s="3005"/>
    </row>
    <row r="19" spans="1:13" ht="14.25" thickBot="1"/>
    <row r="20" spans="1:13" s="3040" customFormat="1" ht="14.2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4.2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1" sqref="M21"/>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2150</v>
      </c>
      <c r="B1" s="3603" t="str">
        <f>IF(B10="北京市","北京市",C10)&amp;F10&amp;IF(结果表!G1="在建","出让国有建设用地使用权及在建建筑物",IF(结果表!G1="土地","出让国有建设用地使用权",))&amp;B9&amp;"预评估"</f>
        <v>北京市西城区西直门外大街南路甲28号房地产市场价值预评估</v>
      </c>
      <c r="C1" s="3604"/>
      <c r="D1" s="3604"/>
      <c r="E1" s="3604"/>
      <c r="F1" s="3604"/>
      <c r="G1" s="3604"/>
      <c r="H1" s="3604"/>
      <c r="I1" s="3605"/>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北京市西城区西直门外大街南路甲28号房地产市场价值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北京市西城区西直门外大街南路甲28号房地产</v>
      </c>
      <c r="T2" s="1740"/>
      <c r="U2" s="1740"/>
      <c r="V2" s="1740"/>
      <c r="W2" s="1740"/>
      <c r="X2" s="1740"/>
      <c r="Y2" s="1740"/>
      <c r="Z2" s="1740"/>
      <c r="AA2" s="1740"/>
      <c r="AB2" s="1740"/>
    </row>
    <row r="3" spans="1:30">
      <c r="A3" s="302" t="s">
        <v>2152</v>
      </c>
      <c r="B3" s="2368">
        <v>45309</v>
      </c>
      <c r="C3" s="2369" t="s">
        <v>2153</v>
      </c>
      <c r="D3" s="2368">
        <f>B3</f>
        <v>45309</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5" thickBot="1">
      <c r="A4" s="1086" t="s">
        <v>2154</v>
      </c>
      <c r="B4" s="2370" t="s">
        <v>3361</v>
      </c>
      <c r="C4" s="2371">
        <f ca="1">SUMIF(注册房地产估价师,B4,估价师及机构信息!B3:B24)</f>
        <v>1120100036</v>
      </c>
      <c r="D4" s="237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3360</v>
      </c>
      <c r="C8" s="2385"/>
      <c r="D8" s="3606" t="s">
        <v>2159</v>
      </c>
      <c r="E8" s="2386" t="s">
        <v>3364</v>
      </c>
      <c r="F8" s="2387"/>
      <c r="G8" s="2635"/>
      <c r="H8" s="2635"/>
      <c r="I8" s="2635"/>
      <c r="J8" s="2433"/>
      <c r="K8" s="2586"/>
      <c r="L8" s="2585"/>
      <c r="M8" s="2585"/>
      <c r="N8" s="2433"/>
      <c r="O8" s="2444"/>
      <c r="P8" s="2433"/>
      <c r="Q8" s="2433"/>
      <c r="R8" s="2433"/>
    </row>
    <row r="9" spans="1:30" ht="13.5" thickBot="1">
      <c r="A9" s="2388" t="s">
        <v>2160</v>
      </c>
      <c r="B9" s="2389" t="s">
        <v>3363</v>
      </c>
      <c r="C9" s="2390"/>
      <c r="D9" s="3607"/>
      <c r="E9" s="2389" t="s">
        <v>587</v>
      </c>
      <c r="F9" s="2391"/>
      <c r="G9" s="2637"/>
      <c r="H9" s="2637"/>
      <c r="I9" s="2637"/>
      <c r="J9" s="2433"/>
      <c r="K9" s="2588"/>
      <c r="L9" s="2585"/>
      <c r="M9" s="2585"/>
      <c r="N9" s="2433"/>
      <c r="O9" s="2444"/>
      <c r="P9" s="2433"/>
      <c r="Q9" s="2433"/>
      <c r="R9" s="2433"/>
    </row>
    <row r="10" spans="1:30" ht="13.5" thickTop="1">
      <c r="A10" s="2392" t="s">
        <v>2161</v>
      </c>
      <c r="B10" s="2393" t="s">
        <v>3365</v>
      </c>
      <c r="C10" s="2394"/>
      <c r="D10" s="2377"/>
      <c r="E10" s="2395" t="s">
        <v>2162</v>
      </c>
      <c r="F10" s="3455" t="s">
        <v>4319</v>
      </c>
      <c r="G10" s="2638"/>
      <c r="H10" s="2639"/>
      <c r="I10" s="2640"/>
      <c r="J10" s="2433"/>
      <c r="K10" s="2588"/>
      <c r="L10" s="2585"/>
      <c r="M10" s="2585"/>
      <c r="N10" s="2433"/>
      <c r="O10" s="2444"/>
      <c r="P10" s="2433"/>
      <c r="Q10" s="2433"/>
      <c r="R10" s="2433"/>
    </row>
    <row r="11" spans="1:30">
      <c r="A11" s="2396" t="s">
        <v>2163</v>
      </c>
      <c r="B11" s="2397" t="s">
        <v>3366</v>
      </c>
      <c r="C11" s="3430"/>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20.64</v>
      </c>
      <c r="E15" s="2404">
        <f>IF(A13="出让",IF(E13="","",ROUNDDOWN(MIN((E13-$D$3)/365,E14),2)),E14)</f>
        <v>30.64</v>
      </c>
      <c r="F15" s="2404">
        <f>IF(A13="出让",IF(F13="","",ROUNDDOWN(MIN((F13-$D$3)/365,F14),2)),F14)</f>
        <v>30.64</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13"/>
      <c r="C16" s="3614"/>
      <c r="D16" s="3615"/>
      <c r="E16" s="2407" t="s">
        <v>2176</v>
      </c>
      <c r="F16" s="3616"/>
      <c r="G16" s="3617"/>
      <c r="H16" s="3617"/>
      <c r="I16" s="3618"/>
      <c r="J16" s="2433"/>
      <c r="K16" s="2589"/>
      <c r="L16" s="2445"/>
      <c r="M16" s="2445"/>
      <c r="N16" s="2501"/>
      <c r="O16" s="2445"/>
      <c r="P16" s="2501"/>
      <c r="Q16" s="2433"/>
      <c r="R16" s="2433"/>
    </row>
    <row r="17" spans="1:28">
      <c r="A17" s="313" t="s">
        <v>2177</v>
      </c>
      <c r="B17" s="302" t="s">
        <v>2178</v>
      </c>
      <c r="C17" s="8">
        <f>'数据-汇总表'!E3</f>
        <v>84373.10000000002</v>
      </c>
      <c r="D17" s="2317" t="s">
        <v>2179</v>
      </c>
      <c r="E17" s="3619" t="s">
        <v>2180</v>
      </c>
      <c r="F17" s="3620"/>
      <c r="G17" s="3620"/>
      <c r="H17" s="3620"/>
      <c r="I17" s="3621"/>
      <c r="J17" s="2433"/>
      <c r="K17" s="2590"/>
      <c r="L17" s="2445"/>
      <c r="M17" s="2445"/>
      <c r="N17" s="2501"/>
      <c r="O17" s="2445"/>
      <c r="P17" s="2501"/>
      <c r="Q17" s="2433"/>
      <c r="R17" s="2433"/>
      <c r="S17" s="2433"/>
      <c r="T17" s="2433"/>
      <c r="U17" s="2433"/>
      <c r="V17" s="2433"/>
    </row>
    <row r="18" spans="1:28" ht="24.75" thickBot="1">
      <c r="A18" s="2408" t="s">
        <v>2181</v>
      </c>
      <c r="B18" s="1086" t="s">
        <v>2182</v>
      </c>
      <c r="C18" s="2409">
        <f>'数据-汇总表'!D3</f>
        <v>10591.91</v>
      </c>
      <c r="D18" s="1088" t="s">
        <v>2183</v>
      </c>
      <c r="E18" s="3622" t="s">
        <v>2184</v>
      </c>
      <c r="F18" s="3623"/>
      <c r="G18" s="3623"/>
      <c r="H18" s="3623"/>
      <c r="I18" s="3624"/>
      <c r="J18" s="2433"/>
      <c r="K18" s="2590"/>
      <c r="L18" s="2445"/>
      <c r="M18" s="2445"/>
      <c r="N18" s="2501"/>
      <c r="O18" s="2445"/>
      <c r="P18" s="2501"/>
      <c r="Q18" s="2433"/>
      <c r="R18" s="2433"/>
      <c r="S18" s="2433"/>
      <c r="T18" s="2433"/>
      <c r="U18" s="2433"/>
      <c r="V18" s="2433"/>
    </row>
    <row r="19" spans="1:28" ht="37.5"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09" t="s">
        <v>2188</v>
      </c>
      <c r="C20" s="3610"/>
      <c r="D20" s="3611" t="s">
        <v>2189</v>
      </c>
      <c r="E20" s="3612"/>
      <c r="F20" s="2619" t="s">
        <v>1056</v>
      </c>
      <c r="G20" s="2636"/>
      <c r="H20" s="2636"/>
      <c r="I20" s="2636"/>
      <c r="J20" s="2433"/>
      <c r="K20" s="3608"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24.75" thickBot="1">
      <c r="A21" s="2604"/>
      <c r="B21" s="2605" t="s">
        <v>2191</v>
      </c>
      <c r="C21" s="2606" t="s">
        <v>1057</v>
      </c>
      <c r="D21" s="1563" t="s">
        <v>2192</v>
      </c>
      <c r="E21" s="2607" t="s">
        <v>1057</v>
      </c>
      <c r="F21" s="2620"/>
      <c r="G21" s="2636"/>
      <c r="H21" s="2636"/>
      <c r="I21" s="2636"/>
      <c r="J21" s="2433"/>
      <c r="K21" s="360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24.75" thickBot="1">
      <c r="A22" s="2604"/>
      <c r="B22" s="2608" t="s">
        <v>2193</v>
      </c>
      <c r="C22" s="2606" t="s">
        <v>1058</v>
      </c>
      <c r="D22" s="2635"/>
      <c r="E22" s="2635"/>
      <c r="F22" s="2635"/>
      <c r="G22" s="2636"/>
      <c r="H22" s="2636"/>
      <c r="I22" s="2636"/>
      <c r="J22" s="2433"/>
      <c r="K22" s="360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5"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5" thickTop="1">
      <c r="A27" s="3626"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26"/>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26"/>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27"/>
      <c r="B30" s="302" t="s">
        <v>2200</v>
      </c>
      <c r="C30" s="3628"/>
      <c r="D30" s="3629"/>
      <c r="E30" s="2636"/>
      <c r="F30" s="2636"/>
      <c r="G30" s="2636"/>
      <c r="H30" s="2636"/>
      <c r="I30" s="2636"/>
      <c r="J30" s="2433"/>
      <c r="K30" s="2588"/>
      <c r="L30" s="2585"/>
      <c r="M30" s="2585"/>
      <c r="N30" s="2433"/>
      <c r="O30" s="2444"/>
      <c r="P30" s="2433"/>
      <c r="Q30" s="2433"/>
      <c r="R30" s="2433"/>
      <c r="S30" s="2433"/>
      <c r="T30" s="2433"/>
      <c r="U30" s="2433"/>
      <c r="V30" s="2433"/>
    </row>
    <row r="31" spans="1:28">
      <c r="A31" s="3630" t="s">
        <v>2201</v>
      </c>
      <c r="B31" s="2416" t="s">
        <v>4201</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31"/>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31"/>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25" t="s">
        <v>2210</v>
      </c>
      <c r="T34" s="2422" t="str">
        <f>NUMBERSTRING(7-K34,1)&amp;"通"</f>
        <v>七通</v>
      </c>
      <c r="U34" s="2433"/>
      <c r="V34" s="2433"/>
    </row>
    <row r="35" spans="1:30">
      <c r="A35" s="2423"/>
      <c r="B35" s="3632" t="s">
        <v>2211</v>
      </c>
      <c r="C35" s="3632"/>
      <c r="D35" s="3632"/>
      <c r="E35" s="3632"/>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5"/>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5"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25"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5">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31"/>
  <sheetViews>
    <sheetView workbookViewId="0">
      <selection activeCell="G30" sqref="G30"/>
    </sheetView>
  </sheetViews>
  <sheetFormatPr defaultRowHeight="13.5"/>
  <cols>
    <col min="8" max="8" width="12.75" bestFit="1" customWidth="1"/>
  </cols>
  <sheetData>
    <row r="2" spans="2:8">
      <c r="B2" s="3490" t="s">
        <v>4287</v>
      </c>
    </row>
    <row r="3" spans="2:8">
      <c r="B3" s="3521"/>
      <c r="C3" s="3522" t="s">
        <v>4276</v>
      </c>
      <c r="D3" s="3522" t="s">
        <v>4277</v>
      </c>
      <c r="E3" s="3522" t="s">
        <v>4278</v>
      </c>
      <c r="F3" s="3521"/>
      <c r="G3" s="3523" t="s">
        <v>4279</v>
      </c>
    </row>
    <row r="4" spans="2:8">
      <c r="B4" s="3524" t="s">
        <v>4280</v>
      </c>
      <c r="C4" s="3525">
        <f>C5+C6</f>
        <v>84373.1</v>
      </c>
      <c r="D4" s="3525">
        <f>E4/C4</f>
        <v>3509.1338353100691</v>
      </c>
      <c r="E4" s="3525">
        <f>E5+E6</f>
        <v>296076500</v>
      </c>
      <c r="F4" s="3521"/>
      <c r="G4" s="3526">
        <v>1</v>
      </c>
    </row>
    <row r="5" spans="2:8">
      <c r="B5" s="3522" t="s">
        <v>4281</v>
      </c>
      <c r="C5" s="3527">
        <f>'数据-汇总表'!F31</f>
        <v>62894.500000000007</v>
      </c>
      <c r="D5" s="3521">
        <v>3000</v>
      </c>
      <c r="E5" s="3521">
        <f>D5*C5</f>
        <v>188683500.00000003</v>
      </c>
      <c r="F5" s="3521"/>
      <c r="G5" s="3521"/>
    </row>
    <row r="6" spans="2:8">
      <c r="B6" s="3522" t="s">
        <v>4282</v>
      </c>
      <c r="C6" s="3521">
        <f>'数据-汇总表'!G31</f>
        <v>21478.6</v>
      </c>
      <c r="D6" s="3521">
        <v>5000</v>
      </c>
      <c r="E6" s="3521">
        <f t="shared" ref="E6:E9" si="0">D6*C6</f>
        <v>107393000</v>
      </c>
      <c r="F6" s="3521"/>
      <c r="G6" s="3521"/>
    </row>
    <row r="7" spans="2:8">
      <c r="B7" s="3524" t="s">
        <v>4283</v>
      </c>
      <c r="C7" s="3525">
        <f>C4</f>
        <v>84373.1</v>
      </c>
      <c r="D7" s="3525">
        <v>500</v>
      </c>
      <c r="E7" s="3525">
        <f>D7*C7</f>
        <v>42186550</v>
      </c>
      <c r="F7" s="3521"/>
      <c r="G7" s="3526">
        <v>1</v>
      </c>
    </row>
    <row r="8" spans="2:8">
      <c r="B8" s="3524" t="s">
        <v>4284</v>
      </c>
      <c r="C8" s="3525">
        <f>C4</f>
        <v>84373.1</v>
      </c>
      <c r="D8" s="3525">
        <v>2000</v>
      </c>
      <c r="E8" s="3525">
        <f>D8*C8</f>
        <v>168746200</v>
      </c>
      <c r="F8" s="3521"/>
      <c r="G8" s="3526">
        <v>1</v>
      </c>
    </row>
    <row r="9" spans="2:8">
      <c r="B9" s="3524" t="s">
        <v>4285</v>
      </c>
      <c r="C9" s="3525">
        <v>0</v>
      </c>
      <c r="D9" s="3525">
        <f>D6</f>
        <v>5000</v>
      </c>
      <c r="E9" s="3525">
        <f t="shared" si="0"/>
        <v>0</v>
      </c>
      <c r="F9" s="3521"/>
      <c r="G9" s="3521"/>
    </row>
    <row r="10" spans="2:8">
      <c r="B10" s="3522" t="s">
        <v>4286</v>
      </c>
      <c r="C10" s="3521">
        <f>C4</f>
        <v>84373.1</v>
      </c>
      <c r="D10" s="3521">
        <f>E10/C10</f>
        <v>6009.1338353100691</v>
      </c>
      <c r="E10" s="3521">
        <f>E4+E7+E8+E9</f>
        <v>507009250</v>
      </c>
      <c r="F10" s="3521"/>
      <c r="G10" s="3524">
        <f>(G4*E4+G7*E7+G8*E8)/E10</f>
        <v>1</v>
      </c>
    </row>
    <row r="14" spans="2:8">
      <c r="B14" s="3490" t="s">
        <v>4288</v>
      </c>
    </row>
    <row r="15" spans="2:8">
      <c r="B15" s="3521"/>
      <c r="C15" s="3522" t="s">
        <v>4290</v>
      </c>
      <c r="D15" s="3522"/>
      <c r="E15" s="3522" t="s">
        <v>4291</v>
      </c>
      <c r="F15" s="3522" t="s">
        <v>4292</v>
      </c>
      <c r="G15" s="3522" t="s">
        <v>4313</v>
      </c>
      <c r="H15" s="3523" t="s">
        <v>4294</v>
      </c>
    </row>
    <row r="16" spans="2:8">
      <c r="B16" s="3524" t="s">
        <v>4289</v>
      </c>
      <c r="C16" s="3525">
        <v>2009</v>
      </c>
      <c r="D16" s="3525">
        <v>2024</v>
      </c>
      <c r="E16" s="3525">
        <v>50</v>
      </c>
      <c r="F16" s="3521">
        <v>60</v>
      </c>
      <c r="G16" s="3521">
        <v>0</v>
      </c>
      <c r="H16" s="3528">
        <f>ROUND((1-G16)-(D16-C16)/F16,2)</f>
        <v>0.75</v>
      </c>
    </row>
    <row r="17" spans="2:8">
      <c r="B17" s="3522" t="s">
        <v>4293</v>
      </c>
      <c r="C17" s="3527"/>
      <c r="D17" s="3521"/>
      <c r="E17" s="3521"/>
      <c r="F17" s="3521"/>
      <c r="G17" s="3521"/>
      <c r="H17" s="3526">
        <v>1</v>
      </c>
    </row>
    <row r="18" spans="2:8">
      <c r="B18" s="3522"/>
      <c r="C18" s="3521"/>
      <c r="D18" s="3521"/>
      <c r="E18" s="3521"/>
      <c r="F18" s="3521"/>
      <c r="G18" s="3521"/>
      <c r="H18" s="3529">
        <f>ROUND((H17+H16)/2,2)</f>
        <v>0.88</v>
      </c>
    </row>
    <row r="21" spans="2:8">
      <c r="B21" s="3490" t="s">
        <v>4295</v>
      </c>
      <c r="D21" s="3490" t="s">
        <v>4356</v>
      </c>
      <c r="F21" s="3490" t="s">
        <v>4357</v>
      </c>
    </row>
    <row r="22" spans="2:8">
      <c r="B22" s="3522" t="s">
        <v>4296</v>
      </c>
      <c r="C22" s="3530" t="s">
        <v>4299</v>
      </c>
      <c r="D22" s="3522" t="s">
        <v>4276</v>
      </c>
      <c r="E22" s="3522" t="s">
        <v>4300</v>
      </c>
      <c r="F22" s="3522" t="s">
        <v>2310</v>
      </c>
      <c r="G22" s="3522" t="s">
        <v>4300</v>
      </c>
    </row>
    <row r="23" spans="2:8">
      <c r="B23" s="3522">
        <v>1</v>
      </c>
      <c r="C23" s="3521">
        <v>1</v>
      </c>
      <c r="D23" s="3521">
        <f>面积表!C12</f>
        <v>3343.12</v>
      </c>
      <c r="E23" s="3521">
        <f>15*0.7</f>
        <v>10.5</v>
      </c>
      <c r="F23" s="3521">
        <f>面积表!C4</f>
        <v>1818.27</v>
      </c>
      <c r="G23" s="3521">
        <v>13</v>
      </c>
    </row>
    <row r="24" spans="2:8">
      <c r="B24" s="3522">
        <v>2</v>
      </c>
      <c r="C24" s="3527">
        <v>0.75</v>
      </c>
      <c r="D24" s="3521">
        <f>面积表!C13</f>
        <v>3244.08</v>
      </c>
      <c r="E24" s="3521">
        <f>$E$23*C24</f>
        <v>7.875</v>
      </c>
      <c r="F24" s="3521">
        <f>面积表!C5</f>
        <v>1675.48</v>
      </c>
      <c r="G24" s="3521">
        <v>13</v>
      </c>
    </row>
    <row r="25" spans="2:8">
      <c r="B25" s="3522">
        <v>3</v>
      </c>
      <c r="C25" s="3521">
        <v>0.65</v>
      </c>
      <c r="D25" s="3521">
        <f>面积表!C14</f>
        <v>3963.74</v>
      </c>
      <c r="E25" s="3521">
        <v>13</v>
      </c>
      <c r="F25" s="3521">
        <f>面积表!C6</f>
        <v>1873.83</v>
      </c>
      <c r="G25" s="3521">
        <v>13</v>
      </c>
      <c r="H25" s="3490" t="s">
        <v>4351</v>
      </c>
    </row>
    <row r="26" spans="2:8">
      <c r="B26" s="3522">
        <v>4</v>
      </c>
      <c r="C26" s="3527">
        <v>0.55000000000000004</v>
      </c>
      <c r="D26" s="3521">
        <f>面积表!C15</f>
        <v>3963.74</v>
      </c>
      <c r="E26" s="3521">
        <v>13</v>
      </c>
      <c r="F26" s="3521">
        <f>面积表!C7</f>
        <v>1873.83</v>
      </c>
      <c r="G26" s="3521">
        <v>13</v>
      </c>
      <c r="H26" s="3490" t="s">
        <v>4351</v>
      </c>
    </row>
    <row r="27" spans="2:8">
      <c r="B27" s="3522">
        <v>5</v>
      </c>
      <c r="C27" s="3521">
        <v>0.5</v>
      </c>
      <c r="D27" s="3521">
        <f>面积表!C16</f>
        <v>3963.74</v>
      </c>
      <c r="E27" s="3521">
        <v>13</v>
      </c>
      <c r="F27" s="3521">
        <f>面积表!C8</f>
        <v>1873.83</v>
      </c>
      <c r="G27" s="3521">
        <v>13</v>
      </c>
      <c r="H27" t="str">
        <f>H26</f>
        <v>实际办公</v>
      </c>
    </row>
    <row r="28" spans="2:8">
      <c r="B28" s="3522" t="s">
        <v>4297</v>
      </c>
      <c r="C28" s="3521">
        <v>0.5</v>
      </c>
      <c r="D28" s="3521">
        <f>基准地价修正!D37</f>
        <v>6877.51</v>
      </c>
      <c r="E28" s="3521">
        <f>$E$23*C28</f>
        <v>5.25</v>
      </c>
      <c r="F28" s="3521">
        <f>基准地价修正!F37</f>
        <v>0.7</v>
      </c>
      <c r="G28" s="3521">
        <f t="shared" ref="G28" si="1">$E$23*E28</f>
        <v>55.125</v>
      </c>
    </row>
    <row r="29" spans="2:8">
      <c r="B29" s="3522" t="s">
        <v>4298</v>
      </c>
      <c r="C29" s="3521">
        <v>0.4</v>
      </c>
      <c r="D29" s="3521">
        <v>0</v>
      </c>
      <c r="E29" s="3521">
        <v>0</v>
      </c>
      <c r="F29" s="3521">
        <v>0</v>
      </c>
      <c r="G29" s="3521">
        <v>0</v>
      </c>
    </row>
    <row r="30" spans="2:8">
      <c r="B30" s="3522"/>
      <c r="C30" s="3521"/>
      <c r="D30" s="3521">
        <f>SUM(D23:D29)</f>
        <v>25355.93</v>
      </c>
      <c r="E30" s="3533">
        <f>SUMPRODUCT(E23:E28,D23:D28)/D30</f>
        <v>9.9125797200102692</v>
      </c>
      <c r="F30" s="3521">
        <f>SUM(F23:F29)</f>
        <v>9115.94</v>
      </c>
      <c r="G30" s="3533">
        <f>SUMPRODUCT(G23:G28,F23:F28)/F30</f>
        <v>13.003234718526011</v>
      </c>
      <c r="H30" s="3559">
        <f>(D30*E30+F30*G30)/(D30+F30)</f>
        <v>10.729890342473443</v>
      </c>
    </row>
    <row r="31" spans="2:8">
      <c r="B31" s="3522"/>
      <c r="C31" s="3521"/>
      <c r="D31" s="3521"/>
      <c r="E31" s="3521"/>
      <c r="F31" s="3521"/>
      <c r="G31" s="3521"/>
    </row>
  </sheetData>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workbookViewId="0">
      <selection activeCell="G34" sqref="G34"/>
    </sheetView>
  </sheetViews>
  <sheetFormatPr defaultRowHeight="16.5"/>
  <cols>
    <col min="1" max="2" width="9" style="3515"/>
    <col min="3" max="3" width="11.25" style="3515" customWidth="1"/>
    <col min="4" max="4" width="11.125" style="3515" customWidth="1"/>
    <col min="5" max="16384" width="9" style="3515"/>
  </cols>
  <sheetData>
    <row r="1" spans="2:15">
      <c r="B1" s="3515" t="s">
        <v>4208</v>
      </c>
    </row>
    <row r="3" spans="2:15">
      <c r="B3" s="3516" t="s">
        <v>4209</v>
      </c>
      <c r="C3" s="3516"/>
      <c r="D3" s="3516"/>
      <c r="E3" s="3516"/>
      <c r="F3" s="3516"/>
      <c r="G3" s="3516"/>
      <c r="H3" s="3516"/>
      <c r="I3" s="3516"/>
      <c r="J3" s="3516"/>
      <c r="K3" s="3516"/>
      <c r="L3" s="3516"/>
      <c r="M3" s="3516"/>
      <c r="N3" s="3516"/>
      <c r="O3" s="3516"/>
    </row>
    <row r="4" spans="2:15">
      <c r="B4" s="3517" t="s">
        <v>4211</v>
      </c>
      <c r="C4" s="3517">
        <v>1818.27</v>
      </c>
      <c r="D4" s="3517" t="s">
        <v>4210</v>
      </c>
      <c r="E4" s="3516"/>
      <c r="F4" s="3516"/>
      <c r="G4" s="3516"/>
      <c r="H4" s="3516"/>
      <c r="I4" s="3516"/>
      <c r="J4" s="3516"/>
      <c r="K4" s="3516"/>
      <c r="L4" s="3516"/>
      <c r="M4" s="3516"/>
      <c r="N4" s="3516"/>
      <c r="O4" s="3516"/>
    </row>
    <row r="5" spans="2:15">
      <c r="B5" s="3517" t="s">
        <v>4212</v>
      </c>
      <c r="C5" s="3517">
        <v>1675.48</v>
      </c>
      <c r="D5" s="3517" t="s">
        <v>4210</v>
      </c>
      <c r="E5" s="3516"/>
      <c r="F5" s="3516"/>
      <c r="G5" s="3516"/>
      <c r="H5" s="3516"/>
      <c r="I5" s="3516"/>
      <c r="J5" s="3516"/>
      <c r="K5" s="3516"/>
      <c r="L5" s="3516"/>
      <c r="M5" s="3516"/>
      <c r="N5" s="3516"/>
      <c r="O5" s="3516"/>
    </row>
    <row r="6" spans="2:15">
      <c r="B6" s="3517" t="s">
        <v>4213</v>
      </c>
      <c r="C6" s="3517">
        <v>1873.83</v>
      </c>
      <c r="D6" s="3517" t="s">
        <v>4214</v>
      </c>
      <c r="E6" s="3516"/>
      <c r="F6" s="3516"/>
      <c r="G6" s="3516"/>
      <c r="H6" s="3516"/>
      <c r="I6" s="3516"/>
      <c r="J6" s="3516"/>
      <c r="K6" s="3516"/>
      <c r="L6" s="3516"/>
      <c r="M6" s="3516"/>
      <c r="N6" s="3516"/>
      <c r="O6" s="3516"/>
    </row>
    <row r="7" spans="2:15">
      <c r="B7" s="3517" t="s">
        <v>4215</v>
      </c>
      <c r="C7" s="3517">
        <v>1873.83</v>
      </c>
      <c r="D7" s="3517" t="s">
        <v>4214</v>
      </c>
      <c r="E7" s="3516"/>
      <c r="F7" s="3516"/>
      <c r="G7" s="3516"/>
      <c r="H7" s="3516"/>
      <c r="I7" s="3516"/>
      <c r="J7" s="3516"/>
      <c r="K7" s="3516"/>
      <c r="L7" s="3516"/>
      <c r="M7" s="3516"/>
      <c r="N7" s="3516"/>
      <c r="O7" s="3516"/>
    </row>
    <row r="8" spans="2:15">
      <c r="B8" s="3517" t="s">
        <v>4216</v>
      </c>
      <c r="C8" s="3517">
        <v>1873.83</v>
      </c>
      <c r="D8" s="3517" t="s">
        <v>4214</v>
      </c>
      <c r="E8" s="3516"/>
      <c r="F8" s="3516"/>
      <c r="G8" s="3516"/>
      <c r="H8" s="3516"/>
      <c r="I8" s="3516"/>
      <c r="J8" s="3516"/>
      <c r="K8" s="3516"/>
      <c r="L8" s="3516"/>
      <c r="M8" s="3516"/>
      <c r="N8" s="3516"/>
      <c r="O8" s="3516"/>
    </row>
    <row r="9" spans="2:15">
      <c r="B9" s="3517" t="s">
        <v>4205</v>
      </c>
      <c r="C9" s="3517">
        <f>SUM(C4:C8)</f>
        <v>9115.24</v>
      </c>
      <c r="D9" s="3517"/>
      <c r="E9" s="3516"/>
      <c r="F9" s="3516"/>
      <c r="G9" s="3516"/>
      <c r="H9" s="3516"/>
      <c r="I9" s="3516"/>
      <c r="J9" s="3516"/>
      <c r="K9" s="3516"/>
      <c r="L9" s="3516"/>
      <c r="M9" s="3516"/>
      <c r="N9" s="3516"/>
      <c r="O9" s="3516"/>
    </row>
    <row r="10" spans="2:15">
      <c r="B10" s="3518"/>
      <c r="C10" s="3518"/>
      <c r="D10" s="3518"/>
      <c r="E10" s="3516"/>
      <c r="F10" s="3516"/>
      <c r="G10" s="3516"/>
      <c r="H10" s="3516"/>
      <c r="I10" s="3516"/>
      <c r="J10" s="3516"/>
      <c r="K10" s="3516"/>
      <c r="L10" s="3516"/>
      <c r="M10" s="3516"/>
      <c r="N10" s="3516"/>
      <c r="O10" s="3516"/>
    </row>
    <row r="11" spans="2:15">
      <c r="B11" s="3518" t="s">
        <v>4217</v>
      </c>
      <c r="C11" s="3518"/>
      <c r="D11" s="3518"/>
      <c r="E11" s="3516"/>
      <c r="F11" s="3516"/>
      <c r="G11" s="3516"/>
      <c r="H11" s="3516"/>
      <c r="I11" s="3516"/>
      <c r="J11" s="3516"/>
      <c r="K11" s="3516"/>
      <c r="L11" s="3516"/>
      <c r="M11" s="3516"/>
      <c r="N11" s="3516"/>
      <c r="O11" s="3516"/>
    </row>
    <row r="12" spans="2:15">
      <c r="B12" s="3517" t="s">
        <v>4218</v>
      </c>
      <c r="C12" s="3517">
        <v>3343.12</v>
      </c>
      <c r="D12" s="3517" t="s">
        <v>4219</v>
      </c>
      <c r="E12" s="3516"/>
      <c r="F12" s="3516"/>
      <c r="G12" s="3516"/>
      <c r="H12" s="3516"/>
      <c r="I12" s="3516"/>
      <c r="J12" s="3516"/>
      <c r="K12" s="3516"/>
      <c r="L12" s="3516"/>
      <c r="M12" s="3516"/>
      <c r="N12" s="3516"/>
      <c r="O12" s="3516"/>
    </row>
    <row r="13" spans="2:15">
      <c r="B13" s="3517" t="s">
        <v>4220</v>
      </c>
      <c r="C13" s="3517">
        <v>3244.08</v>
      </c>
      <c r="D13" s="3517" t="s">
        <v>4219</v>
      </c>
      <c r="E13" s="3516"/>
      <c r="F13" s="3516"/>
      <c r="G13" s="3516"/>
      <c r="H13" s="3516"/>
      <c r="I13" s="3516"/>
      <c r="J13" s="3516"/>
      <c r="K13" s="3516"/>
      <c r="L13" s="3516"/>
      <c r="M13" s="3516"/>
      <c r="N13" s="3516"/>
      <c r="O13" s="3516"/>
    </row>
    <row r="14" spans="2:15">
      <c r="B14" s="3517" t="s">
        <v>4221</v>
      </c>
      <c r="C14" s="3517">
        <v>3963.74</v>
      </c>
      <c r="D14" s="3517" t="s">
        <v>4219</v>
      </c>
      <c r="E14" s="3516"/>
      <c r="F14" s="3516"/>
      <c r="G14" s="3516"/>
      <c r="H14" s="3516"/>
      <c r="I14" s="3516"/>
      <c r="J14" s="3516"/>
      <c r="K14" s="3516"/>
      <c r="L14" s="3516"/>
      <c r="M14" s="3516"/>
      <c r="N14" s="3516"/>
      <c r="O14" s="3516"/>
    </row>
    <row r="15" spans="2:15">
      <c r="B15" s="3517" t="s">
        <v>4222</v>
      </c>
      <c r="C15" s="3517">
        <v>3963.74</v>
      </c>
      <c r="D15" s="3517" t="s">
        <v>4219</v>
      </c>
      <c r="E15" s="3516"/>
      <c r="F15" s="3516"/>
      <c r="G15" s="3516"/>
      <c r="H15" s="3516"/>
      <c r="I15" s="3516"/>
      <c r="J15" s="3516"/>
      <c r="K15" s="3516"/>
      <c r="L15" s="3516"/>
      <c r="M15" s="3516"/>
      <c r="N15" s="3516"/>
      <c r="O15" s="3516"/>
    </row>
    <row r="16" spans="2:15">
      <c r="B16" s="3517" t="s">
        <v>4223</v>
      </c>
      <c r="C16" s="3517">
        <v>3963.74</v>
      </c>
      <c r="D16" s="3517" t="s">
        <v>4219</v>
      </c>
      <c r="E16" s="3516"/>
      <c r="F16" s="3516"/>
      <c r="G16" s="3516"/>
      <c r="H16" s="3516"/>
      <c r="I16" s="3516"/>
      <c r="J16" s="3516"/>
      <c r="K16" s="3516"/>
      <c r="L16" s="3516"/>
      <c r="M16" s="3516"/>
      <c r="N16" s="3516"/>
      <c r="O16" s="3516"/>
    </row>
    <row r="17" spans="2:15">
      <c r="B17" s="3517" t="s">
        <v>4224</v>
      </c>
      <c r="C17" s="3517">
        <v>2413.5100000000002</v>
      </c>
      <c r="D17" s="3517" t="s">
        <v>4225</v>
      </c>
      <c r="E17" s="3516"/>
      <c r="F17" s="3516"/>
      <c r="G17" s="3516"/>
      <c r="H17" s="3516"/>
      <c r="I17" s="3516"/>
      <c r="J17" s="3516"/>
      <c r="K17" s="3516"/>
      <c r="L17" s="3516"/>
      <c r="M17" s="3516"/>
      <c r="N17" s="3516"/>
      <c r="O17" s="3516"/>
    </row>
    <row r="18" spans="2:15">
      <c r="B18" s="3517" t="s">
        <v>4226</v>
      </c>
      <c r="C18" s="3517">
        <v>2413.5100000000002</v>
      </c>
      <c r="D18" s="3517" t="s">
        <v>4225</v>
      </c>
      <c r="E18" s="3516"/>
      <c r="F18" s="3516"/>
      <c r="G18" s="3516"/>
      <c r="H18" s="3516"/>
      <c r="I18" s="3516"/>
      <c r="J18" s="3516"/>
      <c r="K18" s="3516"/>
      <c r="L18" s="3516"/>
      <c r="M18" s="3516"/>
      <c r="N18" s="3516"/>
      <c r="O18" s="3516"/>
    </row>
    <row r="19" spans="2:15">
      <c r="B19" s="3517" t="s">
        <v>4227</v>
      </c>
      <c r="C19" s="3517">
        <v>2413.5100000000002</v>
      </c>
      <c r="D19" s="3517" t="s">
        <v>4225</v>
      </c>
      <c r="E19" s="3516"/>
      <c r="F19" s="3516"/>
      <c r="G19" s="3516"/>
      <c r="H19" s="3516"/>
      <c r="I19" s="3516"/>
      <c r="J19" s="3516"/>
      <c r="K19" s="3516"/>
      <c r="L19" s="3516"/>
      <c r="M19" s="3516"/>
      <c r="N19" s="3516"/>
      <c r="O19" s="3516"/>
    </row>
    <row r="20" spans="2:15">
      <c r="B20" s="3517" t="s">
        <v>4228</v>
      </c>
      <c r="C20" s="3517">
        <v>2413.5100000000002</v>
      </c>
      <c r="D20" s="3517" t="s">
        <v>4225</v>
      </c>
      <c r="E20" s="3516"/>
      <c r="F20" s="3516"/>
      <c r="G20" s="3516"/>
      <c r="H20" s="3516"/>
      <c r="I20" s="3516"/>
      <c r="J20" s="3516"/>
      <c r="K20" s="3516"/>
      <c r="L20" s="3516"/>
      <c r="M20" s="3516"/>
      <c r="N20" s="3516"/>
      <c r="O20" s="3516"/>
    </row>
    <row r="21" spans="2:15">
      <c r="B21" s="3517" t="s">
        <v>4229</v>
      </c>
      <c r="C21" s="3517">
        <v>2413.5100000000002</v>
      </c>
      <c r="D21" s="3517" t="s">
        <v>4225</v>
      </c>
      <c r="E21" s="3516"/>
      <c r="F21" s="3516"/>
      <c r="G21" s="3516"/>
      <c r="H21" s="3516"/>
      <c r="I21" s="3516"/>
      <c r="J21" s="3516"/>
      <c r="K21" s="3516"/>
      <c r="L21" s="3516"/>
      <c r="M21" s="3516"/>
      <c r="N21" s="3516"/>
      <c r="O21" s="3516"/>
    </row>
    <row r="22" spans="2:15">
      <c r="B22" s="3517" t="s">
        <v>4230</v>
      </c>
      <c r="C22" s="3517">
        <v>2413.5100000000002</v>
      </c>
      <c r="D22" s="3517" t="s">
        <v>4225</v>
      </c>
      <c r="E22" s="3516"/>
      <c r="F22" s="3516"/>
      <c r="G22" s="3516"/>
      <c r="H22" s="3516"/>
      <c r="I22" s="3516"/>
      <c r="J22" s="3516"/>
      <c r="K22" s="3516"/>
      <c r="L22" s="3516"/>
      <c r="M22" s="3516"/>
      <c r="N22" s="3516"/>
      <c r="O22" s="3516"/>
    </row>
    <row r="23" spans="2:15">
      <c r="B23" s="3517" t="s">
        <v>4231</v>
      </c>
      <c r="C23" s="3517">
        <v>2413.5100000000002</v>
      </c>
      <c r="D23" s="3517" t="s">
        <v>4225</v>
      </c>
      <c r="E23" s="3516"/>
      <c r="F23" s="3516"/>
      <c r="G23" s="3516"/>
      <c r="H23" s="3516"/>
      <c r="I23" s="3516"/>
      <c r="J23" s="3516"/>
      <c r="K23" s="3516"/>
      <c r="L23" s="3516"/>
      <c r="M23" s="3516"/>
      <c r="N23" s="3516"/>
      <c r="O23" s="3516"/>
    </row>
    <row r="24" spans="2:15">
      <c r="B24" s="3517" t="s">
        <v>4232</v>
      </c>
      <c r="C24" s="3517">
        <v>2413.5100000000002</v>
      </c>
      <c r="D24" s="3517" t="s">
        <v>4225</v>
      </c>
      <c r="E24" s="3516"/>
      <c r="F24" s="3516"/>
      <c r="G24" s="3516"/>
      <c r="H24" s="3516"/>
      <c r="I24" s="3516"/>
      <c r="J24" s="3516"/>
      <c r="K24" s="3516"/>
      <c r="L24" s="3516"/>
      <c r="M24" s="3516"/>
      <c r="N24" s="3516"/>
      <c r="O24" s="3516"/>
    </row>
    <row r="25" spans="2:15">
      <c r="B25" s="3517" t="s">
        <v>4233</v>
      </c>
      <c r="C25" s="3517">
        <v>2413.5100000000002</v>
      </c>
      <c r="D25" s="3517" t="s">
        <v>4225</v>
      </c>
      <c r="E25" s="3516"/>
      <c r="F25" s="3516"/>
      <c r="G25" s="3516"/>
      <c r="H25" s="3516"/>
      <c r="I25" s="3516"/>
      <c r="J25" s="3516"/>
      <c r="K25" s="3516"/>
      <c r="L25" s="3516"/>
      <c r="M25" s="3516"/>
      <c r="N25" s="3516"/>
      <c r="O25" s="3516"/>
    </row>
    <row r="26" spans="2:15">
      <c r="B26" s="3517" t="s">
        <v>4234</v>
      </c>
      <c r="C26" s="3517">
        <v>2413.5100000000002</v>
      </c>
      <c r="D26" s="3517" t="s">
        <v>4225</v>
      </c>
      <c r="E26" s="3516"/>
      <c r="F26" s="3516"/>
      <c r="G26" s="3516"/>
      <c r="H26" s="3516"/>
      <c r="I26" s="3516"/>
      <c r="J26" s="3516"/>
      <c r="K26" s="3516"/>
      <c r="L26" s="3516"/>
      <c r="M26" s="3516"/>
      <c r="N26" s="3516"/>
      <c r="O26" s="3516"/>
    </row>
    <row r="27" spans="2:15">
      <c r="B27" s="3517" t="s">
        <v>4235</v>
      </c>
      <c r="C27" s="3517">
        <v>2413.5100000000002</v>
      </c>
      <c r="D27" s="3517" t="s">
        <v>4225</v>
      </c>
      <c r="E27" s="3516"/>
      <c r="F27" s="3516"/>
      <c r="G27" s="3516"/>
      <c r="H27" s="3516"/>
      <c r="I27" s="3516"/>
      <c r="J27" s="3516"/>
      <c r="K27" s="3516"/>
      <c r="L27" s="3516"/>
      <c r="M27" s="3516"/>
      <c r="N27" s="3516"/>
      <c r="O27" s="3516"/>
    </row>
    <row r="28" spans="2:15">
      <c r="B28" s="3517" t="s">
        <v>4236</v>
      </c>
      <c r="C28" s="3517">
        <v>2413.5100000000002</v>
      </c>
      <c r="D28" s="3517" t="s">
        <v>4225</v>
      </c>
      <c r="E28" s="3516"/>
      <c r="F28" s="3516"/>
      <c r="G28" s="3516"/>
      <c r="H28" s="3516"/>
      <c r="I28" s="3516"/>
      <c r="J28" s="3516"/>
      <c r="K28" s="3516"/>
      <c r="L28" s="3516"/>
      <c r="M28" s="3516"/>
      <c r="N28" s="3516"/>
      <c r="O28" s="3516"/>
    </row>
    <row r="29" spans="2:15">
      <c r="B29" s="3517" t="s">
        <v>4237</v>
      </c>
      <c r="C29" s="3517">
        <v>2413.5100000000002</v>
      </c>
      <c r="D29" s="3517" t="s">
        <v>4225</v>
      </c>
      <c r="E29" s="3516"/>
      <c r="F29" s="3516"/>
      <c r="G29" s="3516"/>
      <c r="H29" s="3516"/>
      <c r="I29" s="3516"/>
      <c r="J29" s="3516"/>
      <c r="K29" s="3516"/>
      <c r="L29" s="3516"/>
      <c r="M29" s="3516"/>
      <c r="N29" s="3516"/>
      <c r="O29" s="3516"/>
    </row>
    <row r="30" spans="2:15">
      <c r="B30" s="3517" t="s">
        <v>4238</v>
      </c>
      <c r="C30" s="3517">
        <v>3925.21</v>
      </c>
      <c r="D30" s="3517" t="s">
        <v>4225</v>
      </c>
      <c r="E30" s="3516"/>
      <c r="F30" s="3516"/>
      <c r="G30" s="3516"/>
      <c r="H30" s="3516"/>
      <c r="I30" s="3516"/>
      <c r="J30" s="3516"/>
      <c r="K30" s="3516"/>
      <c r="L30" s="3516"/>
      <c r="M30" s="3516"/>
      <c r="N30" s="3516"/>
      <c r="O30" s="3516"/>
    </row>
    <row r="31" spans="2:15">
      <c r="B31" s="3517" t="s">
        <v>4239</v>
      </c>
      <c r="C31" s="3517">
        <f>SUM(C12:C30)</f>
        <v>53779.260000000024</v>
      </c>
      <c r="D31" s="3517"/>
      <c r="E31" s="3516"/>
      <c r="F31" s="3516"/>
      <c r="G31" s="3516"/>
      <c r="H31" s="3516"/>
      <c r="I31" s="3516"/>
      <c r="J31" s="3516"/>
      <c r="K31" s="3516"/>
      <c r="L31" s="3516"/>
      <c r="M31" s="3516"/>
      <c r="N31" s="3516"/>
      <c r="O31" s="3516"/>
    </row>
    <row r="32" spans="2:15">
      <c r="B32" s="3518"/>
      <c r="C32" s="3518"/>
      <c r="D32" s="3518"/>
      <c r="E32" s="3516"/>
      <c r="F32" s="3516"/>
      <c r="G32" s="3516"/>
      <c r="H32" s="3516"/>
      <c r="I32" s="3516"/>
      <c r="J32" s="3516"/>
      <c r="K32" s="3516"/>
      <c r="L32" s="3516"/>
      <c r="M32" s="3516"/>
      <c r="N32" s="3516"/>
      <c r="O32" s="3516"/>
    </row>
    <row r="33" spans="2:15">
      <c r="B33" s="3517" t="s">
        <v>4240</v>
      </c>
      <c r="C33" s="3517">
        <v>6877.51</v>
      </c>
      <c r="D33" s="3517" t="s">
        <v>4241</v>
      </c>
      <c r="E33" s="3516"/>
      <c r="F33" s="3516"/>
      <c r="G33" s="3516"/>
      <c r="H33" s="3516"/>
      <c r="I33" s="3516"/>
      <c r="J33" s="3516"/>
      <c r="K33" s="3516"/>
      <c r="L33" s="3516"/>
      <c r="M33" s="3516"/>
      <c r="N33" s="3516"/>
      <c r="O33" s="3516"/>
    </row>
    <row r="34" spans="2:15">
      <c r="B34" s="3517" t="s">
        <v>4242</v>
      </c>
      <c r="C34" s="3517">
        <v>7475.14</v>
      </c>
      <c r="D34" s="3517" t="s">
        <v>4243</v>
      </c>
      <c r="E34" s="3516"/>
      <c r="F34" s="3516"/>
      <c r="G34" s="3516"/>
      <c r="H34" s="3516"/>
      <c r="I34" s="3516"/>
      <c r="J34" s="3516"/>
      <c r="K34" s="3516"/>
      <c r="L34" s="3516"/>
      <c r="M34" s="3516"/>
      <c r="N34" s="3516"/>
      <c r="O34" s="3516"/>
    </row>
    <row r="35" spans="2:15">
      <c r="B35" s="3517" t="s">
        <v>4244</v>
      </c>
      <c r="C35" s="3517">
        <v>7125.95</v>
      </c>
      <c r="D35" s="3517" t="s">
        <v>4243</v>
      </c>
      <c r="E35" s="3516"/>
      <c r="F35" s="3516"/>
      <c r="G35" s="3516"/>
      <c r="H35" s="3516"/>
      <c r="I35" s="3516"/>
      <c r="J35" s="3516"/>
      <c r="K35" s="3516"/>
      <c r="L35" s="3516"/>
      <c r="M35" s="3516"/>
      <c r="N35" s="3516"/>
      <c r="O35" s="3516"/>
    </row>
    <row r="36" spans="2:15">
      <c r="B36" s="3518" t="s">
        <v>4245</v>
      </c>
      <c r="C36" s="3518">
        <f>SUM(C33:C35)</f>
        <v>21478.600000000002</v>
      </c>
      <c r="D36" s="3518"/>
      <c r="E36" s="3516"/>
      <c r="F36" s="3516"/>
      <c r="G36" s="3516"/>
      <c r="H36" s="3516"/>
      <c r="I36" s="3516"/>
      <c r="J36" s="3516"/>
      <c r="K36" s="3516"/>
      <c r="L36" s="3516"/>
      <c r="M36" s="3516"/>
      <c r="N36" s="3516"/>
      <c r="O36" s="3516"/>
    </row>
    <row r="37" spans="2:15">
      <c r="B37" s="3518"/>
      <c r="C37" s="3519"/>
      <c r="D37" s="3518"/>
      <c r="E37" s="3516"/>
      <c r="F37" s="3516"/>
      <c r="G37" s="3516"/>
      <c r="H37" s="3516"/>
      <c r="I37" s="3516"/>
      <c r="J37" s="3516"/>
      <c r="K37" s="3516"/>
      <c r="L37" s="3516"/>
      <c r="M37" s="3516"/>
      <c r="N37" s="3516"/>
      <c r="O37" s="3516"/>
    </row>
    <row r="38" spans="2:15">
      <c r="B38" s="3520" t="s">
        <v>4246</v>
      </c>
      <c r="C38" s="3520">
        <f>SUM(C9,C31,C36)</f>
        <v>84373.10000000002</v>
      </c>
      <c r="D38" s="3520"/>
      <c r="E38" s="3516"/>
      <c r="F38" s="3516"/>
      <c r="G38" s="3516"/>
      <c r="H38" s="3516"/>
      <c r="I38" s="3516"/>
      <c r="J38" s="3516"/>
      <c r="K38" s="3516"/>
      <c r="L38" s="3516"/>
      <c r="M38" s="3516"/>
      <c r="N38" s="3516"/>
      <c r="O38" s="3516"/>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41" sqref="M41"/>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3367</v>
      </c>
      <c r="J9" s="805"/>
      <c r="K9" s="1598" t="s">
        <v>3367</v>
      </c>
      <c r="L9" s="805"/>
      <c r="M9" s="1598" t="s">
        <v>4248</v>
      </c>
      <c r="N9" s="805"/>
      <c r="O9" s="1598" t="s">
        <v>4248</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673</v>
      </c>
      <c r="J11" s="1610"/>
      <c r="K11" s="1609" t="s">
        <v>4247</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t="s">
        <v>4249</v>
      </c>
      <c r="D13" s="1620" t="s">
        <v>3368</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047" t="s">
        <v>4250</v>
      </c>
      <c r="D14" s="1620" t="s">
        <v>3368</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047" t="s">
        <v>4251</v>
      </c>
      <c r="D15" s="1620" t="s">
        <v>3368</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047" t="s">
        <v>4252</v>
      </c>
      <c r="D16" s="1620" t="s">
        <v>3368</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047" t="s">
        <v>4253</v>
      </c>
      <c r="D17" s="1620" t="s">
        <v>3368</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4254</v>
      </c>
      <c r="D19" s="1620" t="s">
        <v>3368</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4255</v>
      </c>
      <c r="D20" s="1620" t="s">
        <v>3368</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4256</v>
      </c>
      <c r="D21" s="1620" t="s">
        <v>3368</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4257</v>
      </c>
      <c r="D22" s="1620" t="s">
        <v>3368</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4258</v>
      </c>
      <c r="D23" s="1620" t="s">
        <v>3368</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4259</v>
      </c>
      <c r="D24" s="1620" t="s">
        <v>3368</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4260</v>
      </c>
      <c r="D25" s="1620" t="s">
        <v>3368</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4261</v>
      </c>
      <c r="D26" s="1620" t="s">
        <v>3368</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4262</v>
      </c>
      <c r="D27" s="1620" t="s">
        <v>3368</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4263</v>
      </c>
      <c r="D28" s="1620" t="s">
        <v>3368</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4264</v>
      </c>
      <c r="D29" s="1620" t="s">
        <v>3368</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4265</v>
      </c>
      <c r="D30" s="1620" t="s">
        <v>3368</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4266</v>
      </c>
      <c r="D31" s="1620" t="s">
        <v>3368</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4267</v>
      </c>
      <c r="D32" s="1620" t="s">
        <v>3368</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4268</v>
      </c>
      <c r="D33" s="1620" t="s">
        <v>3368</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4269</v>
      </c>
      <c r="D34" s="1620" t="s">
        <v>3368</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4270</v>
      </c>
      <c r="D35" s="1620" t="s">
        <v>3368</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4271</v>
      </c>
      <c r="D36" s="1620" t="s">
        <v>3368</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4272</v>
      </c>
      <c r="D37" s="1620" t="s">
        <v>3368</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3368</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3368</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3368</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A16" zoomScale="90" zoomScaleNormal="100" zoomScaleSheetLayoutView="90" workbookViewId="0">
      <selection activeCell="N41" sqref="N41"/>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42" t="s">
        <v>1131</v>
      </c>
      <c r="B2" s="3642"/>
      <c r="C2" s="3642"/>
      <c r="D2" s="792" t="s">
        <v>1107</v>
      </c>
      <c r="E2" s="1634" t="s">
        <v>1108</v>
      </c>
      <c r="F2" s="2631"/>
      <c r="G2" s="2622"/>
      <c r="H2" s="2623"/>
      <c r="I2" s="2320" t="s">
        <v>1132</v>
      </c>
      <c r="J2" s="2631"/>
      <c r="K2" s="2631"/>
      <c r="L2" s="2631"/>
      <c r="M2" s="2631"/>
      <c r="N2" s="2633"/>
      <c r="O2" s="2631"/>
      <c r="P2" s="2631"/>
    </row>
    <row r="3" spans="1:16" ht="15.75" thickBot="1">
      <c r="A3" s="3643" t="s">
        <v>1105</v>
      </c>
      <c r="B3" s="3643"/>
      <c r="C3" s="3643"/>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5">
      <c r="A4" s="3644"/>
      <c r="B4" s="3645"/>
      <c r="C4" s="3646"/>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c r="A5" s="44" t="s">
        <v>1109</v>
      </c>
      <c r="B5" s="3647" t="s">
        <v>1110</v>
      </c>
      <c r="C5" s="3647"/>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47" t="s">
        <v>1111</v>
      </c>
      <c r="C6" s="3647"/>
      <c r="D6" s="45">
        <f>ROUND($D$3*E6/$E$3,2)</f>
        <v>10591.91</v>
      </c>
      <c r="E6" s="46">
        <f>E3-E5</f>
        <v>84373.10000000002</v>
      </c>
      <c r="F6" s="2631"/>
      <c r="G6" s="2625" t="s">
        <v>1112</v>
      </c>
      <c r="H6" s="1142" t="s">
        <v>1113</v>
      </c>
      <c r="I6" s="2626">
        <f>ROUND(F31/D31,2)</f>
        <v>5.94</v>
      </c>
      <c r="J6" s="2631"/>
      <c r="K6" s="2631"/>
      <c r="L6" s="2631"/>
      <c r="M6" s="2631"/>
      <c r="N6" s="2631"/>
      <c r="O6" s="2631"/>
      <c r="P6" s="2631"/>
    </row>
    <row r="7" spans="1:16" ht="15.75" thickBot="1">
      <c r="A7" s="3639"/>
      <c r="B7" s="3640"/>
      <c r="C7" s="3641"/>
      <c r="D7" s="1636" t="s">
        <v>1107</v>
      </c>
      <c r="E7" s="1640" t="s">
        <v>1114</v>
      </c>
      <c r="F7" s="2631"/>
      <c r="G7" s="2627" t="s">
        <v>1115</v>
      </c>
      <c r="H7" s="2628"/>
      <c r="I7" s="2629">
        <f>I6</f>
        <v>5.94</v>
      </c>
      <c r="J7" s="2631"/>
      <c r="K7" s="2631"/>
      <c r="L7" s="2631"/>
      <c r="M7" s="2631"/>
      <c r="N7" s="2631"/>
      <c r="O7" s="2631"/>
      <c r="P7" s="2631"/>
    </row>
    <row r="8" spans="1:16">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c r="A9" s="1641"/>
      <c r="B9" s="1642"/>
      <c r="C9" s="45" t="s">
        <v>1119</v>
      </c>
      <c r="D9" s="45">
        <f t="shared" si="0"/>
        <v>0</v>
      </c>
      <c r="E9" s="49">
        <v>0</v>
      </c>
      <c r="F9" s="2631"/>
      <c r="G9" s="2632"/>
      <c r="H9" s="2632"/>
      <c r="I9" s="2631"/>
      <c r="J9" s="2631"/>
      <c r="K9" s="2631"/>
      <c r="L9" s="2631"/>
      <c r="M9" s="2631"/>
      <c r="N9" s="2631"/>
      <c r="O9" s="2631"/>
      <c r="P9" s="2631"/>
    </row>
    <row r="10" spans="1:16">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1123</v>
      </c>
      <c r="D16" s="47">
        <f>SUM(D8:D15)</f>
        <v>10591.91</v>
      </c>
      <c r="E16" s="50">
        <f>SUM(E8:E15)</f>
        <v>84373.1</v>
      </c>
      <c r="F16" s="2631"/>
      <c r="G16" s="2632"/>
      <c r="H16" s="1643" t="s">
        <v>1135</v>
      </c>
      <c r="I16" s="1644"/>
      <c r="J16" s="1135"/>
      <c r="K16" s="3636" t="s">
        <v>1135</v>
      </c>
      <c r="L16" s="3637"/>
      <c r="M16" s="3637"/>
      <c r="N16" s="3637"/>
      <c r="O16" s="3637"/>
      <c r="P16" s="3638"/>
    </row>
    <row r="17" spans="1:19" ht="15">
      <c r="A17" s="1645" t="s">
        <v>1136</v>
      </c>
      <c r="B17" s="1646" t="s">
        <v>1137</v>
      </c>
      <c r="C17" s="1647" t="s">
        <v>1138</v>
      </c>
      <c r="D17" s="1648" t="s">
        <v>1126</v>
      </c>
      <c r="E17" s="1649" t="s">
        <v>1127</v>
      </c>
      <c r="F17" s="1650"/>
      <c r="G17" s="1651"/>
      <c r="H17" s="1652" t="s">
        <v>1139</v>
      </c>
      <c r="I17" s="1653" t="s">
        <v>1124</v>
      </c>
      <c r="J17" s="1135"/>
      <c r="K17" s="3633" t="s">
        <v>1140</v>
      </c>
      <c r="L17" s="3634"/>
      <c r="M17" s="3635"/>
      <c r="N17" s="3633" t="s">
        <v>1141</v>
      </c>
      <c r="O17" s="3634"/>
      <c r="P17" s="3635"/>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388" t="s">
        <v>3427</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c r="A20" s="1665"/>
      <c r="B20" s="47" t="s">
        <v>1153</v>
      </c>
      <c r="C20" s="3388" t="s">
        <v>4273</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c r="A21" s="1665"/>
      <c r="B21" s="47" t="s">
        <v>1153</v>
      </c>
      <c r="C21" s="3388" t="s">
        <v>4275</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c r="A32" s="1638"/>
      <c r="B32" s="1638" t="s">
        <v>1159</v>
      </c>
      <c r="C32" s="1638"/>
      <c r="D32" s="1638"/>
      <c r="E32" s="1049">
        <f>SUMIF(C19:C26,"*住宅*",E19:E26)</f>
        <v>0</v>
      </c>
      <c r="F32" s="1638"/>
      <c r="G32" s="1638"/>
      <c r="H32" s="2631"/>
      <c r="I32" s="2631"/>
      <c r="J32" s="2631"/>
      <c r="K32" s="2631"/>
      <c r="L32" s="2631"/>
      <c r="M32" s="2631"/>
      <c r="N32" s="2631"/>
      <c r="O32" s="2631"/>
      <c r="P32" s="2631"/>
    </row>
    <row r="33" spans="4:11">
      <c r="D33" s="1673"/>
    </row>
    <row r="38" spans="4:11">
      <c r="E38" s="3538" t="s">
        <v>4316</v>
      </c>
      <c r="F38" s="3534">
        <f>F31</f>
        <v>62894.500000000007</v>
      </c>
      <c r="G38" s="3535">
        <f ca="1">(结果表!G19-(F39*G39+F40*G40)/10000)/'数据-汇总表'!F38*10000</f>
        <v>81365.560581608879</v>
      </c>
      <c r="K38" s="1633">
        <f>F27*90000/10000</f>
        <v>566050.50000000012</v>
      </c>
    </row>
    <row r="39" spans="4:11">
      <c r="E39" s="3538" t="s">
        <v>4317</v>
      </c>
      <c r="F39" s="3534">
        <f>G19</f>
        <v>6877.51</v>
      </c>
      <c r="G39" s="1633">
        <v>35000</v>
      </c>
    </row>
    <row r="40" spans="4:11">
      <c r="E40" s="3538" t="s">
        <v>4318</v>
      </c>
      <c r="F40" s="1633">
        <f>G21</f>
        <v>14601.09</v>
      </c>
      <c r="G40" s="1633">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5" sqref="H25"/>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75" thickBot="1">
      <c r="A2" s="1678" t="s">
        <v>1161</v>
      </c>
      <c r="B2" s="1041">
        <f>项目基本情况!D3</f>
        <v>45309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3369</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20.64</v>
      </c>
      <c r="G6" s="65">
        <f>IF(ISERROR(ROUND(POWER(1+H6,D6-F6)*(POWER(1+H6,F6)-1)/(POWER(1+H6,D6)-1),3)),0,ROUND(POWER(1+H6,D6-F6)*(POWER(1+H6,F6)-1)/(POWER(1+H6,D6)-1),3))</f>
        <v>0.74</v>
      </c>
      <c r="H6" s="731">
        <v>0.05</v>
      </c>
      <c r="I6" s="731">
        <v>5.5E-2</v>
      </c>
      <c r="J6" s="66">
        <v>7.0000000000000007E-2</v>
      </c>
      <c r="K6" s="1026">
        <f>SUMIF('数据-汇总表'!C$19:C$33,A6,'数据-汇总表'!E$19:E$33)</f>
        <v>34471.17</v>
      </c>
      <c r="L6" s="3560">
        <v>6000</v>
      </c>
      <c r="M6" s="67">
        <f t="shared" ref="M6:M14" si="0">ROUND(K6*L6/10000,0)</f>
        <v>20683</v>
      </c>
      <c r="N6" s="730">
        <v>0.98</v>
      </c>
      <c r="O6" s="67" t="str">
        <f>IF($N$5="成新度","——",ROUND(M6*N6,0))</f>
        <v>——</v>
      </c>
      <c r="P6" s="68" t="str">
        <f>IF($N$5="成新度","——",M6-O6)</f>
        <v>——</v>
      </c>
      <c r="Q6" s="733">
        <v>0.15</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11</v>
      </c>
      <c r="V6" s="70">
        <v>2.5000000000000001E-2</v>
      </c>
      <c r="W6" s="70">
        <v>0.1</v>
      </c>
      <c r="X6" s="1036"/>
      <c r="Y6" s="71">
        <f>N6</f>
        <v>0.98</v>
      </c>
      <c r="Z6" s="72"/>
      <c r="AA6" s="66"/>
      <c r="AB6" s="66"/>
      <c r="AC6" s="1036"/>
      <c r="AD6" s="73"/>
      <c r="AE6" s="1037">
        <f ca="1">IF(AN6="",0,SUMIF(INDIRECT("'"&amp;AN6&amp;"'"&amp;"!E:E"),$AE$5,INDIRECT("'"&amp;AN6&amp;"'"&amp;"!F:F")))</f>
        <v>20.64</v>
      </c>
      <c r="AF6" s="1343"/>
      <c r="AG6" s="138">
        <f>IF(AF6="",0,AE6-AF6)</f>
        <v>0</v>
      </c>
      <c r="AH6" s="74"/>
      <c r="AI6" s="76">
        <v>365</v>
      </c>
      <c r="AJ6" s="77"/>
      <c r="AK6" s="78">
        <v>5.0000000000000001E-3</v>
      </c>
      <c r="AL6" s="79">
        <v>1E-3</v>
      </c>
      <c r="AM6" s="80">
        <v>5.0000000000000001E-3</v>
      </c>
      <c r="AN6" s="1710" t="s">
        <v>4304</v>
      </c>
      <c r="AO6" s="52">
        <f ca="1">SUMIF(INDIRECT("'"&amp;AN6&amp;"'"&amp;"!A:A"),"总价",INDIRECT("'"&amp;AN6&amp;"'"&amp;"!B:B"))</f>
        <v>155833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30.64</v>
      </c>
      <c r="G7" s="65">
        <f t="shared" ref="G7:G11" si="2">IF(ISERROR(ROUND(POWER(1+H7,D7-F7)*(POWER(1+H7,F7)-1)/(POWER(1+H7,D7)-1),3)),0,ROUND(POWER(1+H7,D7-F7)*(POWER(1+H7,F7)-1)/(POWER(1+H7,D7)-1),3))</f>
        <v>0.85</v>
      </c>
      <c r="H7" s="731">
        <v>0.05</v>
      </c>
      <c r="I7" s="731">
        <v>5.5E-2</v>
      </c>
      <c r="J7" s="66">
        <v>7.0000000000000007E-2</v>
      </c>
      <c r="K7" s="1026">
        <f>SUMIF('数据-汇总表'!C$19:C$33,A7,'数据-汇总表'!E$19:E$33)</f>
        <v>35300.840000000011</v>
      </c>
      <c r="L7" s="3560">
        <f>L6</f>
        <v>6000</v>
      </c>
      <c r="M7" s="67">
        <f t="shared" si="0"/>
        <v>21181</v>
      </c>
      <c r="N7" s="730">
        <f>N6</f>
        <v>0.98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399">
        <v>16</v>
      </c>
      <c r="V7" s="734">
        <v>2.5000000000000001E-2</v>
      </c>
      <c r="W7" s="734">
        <f>W6</f>
        <v>0.1</v>
      </c>
      <c r="X7" s="1036"/>
      <c r="Y7" s="71">
        <f t="shared" ref="Y7:Y8" si="6">N7</f>
        <v>0.98</v>
      </c>
      <c r="Z7" s="72"/>
      <c r="AA7" s="66"/>
      <c r="AB7" s="66"/>
      <c r="AC7" s="1036"/>
      <c r="AD7" s="73"/>
      <c r="AE7" s="1037">
        <f t="shared" ref="AE7:AE13" ca="1" si="7">IF(AN7="",0,SUMIF(INDIRECT("'"&amp;AN7&amp;"'"&amp;"!E:E"),$AE$5,INDIRECT("'"&amp;AN7&amp;"'"&amp;"!F:F")))</f>
        <v>30.64</v>
      </c>
      <c r="AF7" s="1343"/>
      <c r="AG7" s="138">
        <f t="shared" ref="AG7:AG13" si="8">IF(AF7="",0,AE7-AF7)</f>
        <v>0</v>
      </c>
      <c r="AH7" s="735"/>
      <c r="AI7" s="76">
        <v>365</v>
      </c>
      <c r="AJ7" s="77"/>
      <c r="AK7" s="78">
        <f>AK6</f>
        <v>5.0000000000000001E-3</v>
      </c>
      <c r="AL7" s="79">
        <v>1E-3</v>
      </c>
      <c r="AM7" s="80">
        <v>5.0000000000000001E-3</v>
      </c>
      <c r="AN7" s="1710" t="s">
        <v>4305</v>
      </c>
      <c r="AO7" s="52">
        <f t="shared" ref="AO7:AO13" ca="1" si="9">SUMIF(INDIRECT("'"&amp;AN7&amp;"'"&amp;"!A:A"),"总价",INDIRECT("'"&amp;AN7&amp;"'"&amp;"!B:B"))</f>
        <v>298529</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30.64</v>
      </c>
      <c r="G8" s="65">
        <f t="shared" si="2"/>
        <v>0.83299999999999996</v>
      </c>
      <c r="H8" s="731">
        <v>4.4999999999999998E-2</v>
      </c>
      <c r="I8" s="731">
        <v>0.05</v>
      </c>
      <c r="J8" s="66">
        <v>7.0000000000000007E-2</v>
      </c>
      <c r="K8" s="1026">
        <f>SUMIF('数据-汇总表'!C$19:C$33,A8,'数据-汇总表'!E$19:E$33)</f>
        <v>14601.09</v>
      </c>
      <c r="L8" s="3560">
        <f>L6</f>
        <v>6000</v>
      </c>
      <c r="M8" s="67">
        <f>ROUND(K8*L8/10000,0)</f>
        <v>8761</v>
      </c>
      <c r="N8" s="730">
        <f>N7</f>
        <v>0.98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399">
        <v>1500</v>
      </c>
      <c r="V8" s="734">
        <v>2.5000000000000001E-2</v>
      </c>
      <c r="W8" s="734">
        <f>W7</f>
        <v>0.1</v>
      </c>
      <c r="X8" s="1036"/>
      <c r="Y8" s="71">
        <f t="shared" si="6"/>
        <v>0.98</v>
      </c>
      <c r="Z8" s="72"/>
      <c r="AA8" s="66"/>
      <c r="AB8" s="66"/>
      <c r="AC8" s="1036"/>
      <c r="AD8" s="73"/>
      <c r="AE8" s="1037">
        <f t="shared" ca="1" si="7"/>
        <v>30.64</v>
      </c>
      <c r="AF8" s="1343"/>
      <c r="AG8" s="138">
        <f t="shared" si="8"/>
        <v>0</v>
      </c>
      <c r="AH8" s="735">
        <v>287</v>
      </c>
      <c r="AI8" s="76">
        <v>12</v>
      </c>
      <c r="AJ8" s="77"/>
      <c r="AK8" s="78">
        <f>AK6</f>
        <v>5.0000000000000001E-3</v>
      </c>
      <c r="AL8" s="79">
        <v>1E-3</v>
      </c>
      <c r="AM8" s="80">
        <v>5.0000000000000001E-3</v>
      </c>
      <c r="AN8" s="1710" t="s">
        <v>4307</v>
      </c>
      <c r="AO8" s="52">
        <f t="shared" ca="1" si="9"/>
        <v>7110</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00"/>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0.80200000000000005</v>
      </c>
      <c r="H16" s="90">
        <f>ROUND(SUMPRODUCT(H6:H13,K6:K13)/SUMPRODUCT((H6:H13&gt;0)*(K6:K13)),3)</f>
        <v>4.9000000000000002E-2</v>
      </c>
      <c r="I16" s="91"/>
      <c r="J16" s="91"/>
      <c r="K16" s="92">
        <f>SUM(K6:K15)</f>
        <v>84373.1</v>
      </c>
      <c r="L16" s="93">
        <f>ROUND(M16*10000/SUM(K6:K14),0)</f>
        <v>6000</v>
      </c>
      <c r="M16" s="93">
        <f>SUM(M6:M14)</f>
        <v>50625</v>
      </c>
      <c r="N16" s="94">
        <f>ROUND(SUMPRODUCT(M6:M14,N6:N14)/M16,3)</f>
        <v>0.98</v>
      </c>
      <c r="O16" s="93">
        <f>SUM(O6:O14)</f>
        <v>0</v>
      </c>
      <c r="P16" s="93">
        <f>SUM(P6:P14)</f>
        <v>0</v>
      </c>
      <c r="Q16" s="95">
        <f>ROUND(SUMPRODUCT(Q6:Q13,K6:K13)/SUMPRODUCT((Q6:Q13&gt;0)*(K6:K13)),2)</f>
        <v>0.13</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25">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19" t="s">
        <v>1213</v>
      </c>
      <c r="B21" s="104">
        <f>B20</f>
        <v>2</v>
      </c>
      <c r="C21" s="2644"/>
      <c r="D21" s="2647"/>
      <c r="E21" s="2644"/>
      <c r="F21" s="2644"/>
      <c r="G21" s="2644"/>
      <c r="H21" s="2644"/>
      <c r="I21" s="2644"/>
      <c r="J21" s="2644"/>
      <c r="K21" s="2643"/>
      <c r="L21" s="2643"/>
      <c r="M21" s="3431"/>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8" t="s">
        <v>1214</v>
      </c>
      <c r="B22" s="105">
        <f>B19+B20</f>
        <v>2</v>
      </c>
      <c r="C22" s="2644"/>
      <c r="D22" s="2647"/>
      <c r="E22" s="2644"/>
      <c r="F22" s="2644"/>
      <c r="G22" s="2644"/>
      <c r="H22" s="2644"/>
      <c r="I22" s="2644"/>
      <c r="J22" s="2644"/>
      <c r="K22" s="2643"/>
      <c r="L22" s="2643"/>
      <c r="M22" s="3431"/>
      <c r="N22" s="343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7.75">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6" t="s">
        <v>1230</v>
      </c>
      <c r="B37" s="115">
        <v>0.02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4" t="s">
        <v>1231</v>
      </c>
      <c r="B38" s="113">
        <v>0.02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5"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51" customFormat="1" ht="18.75" thickBot="1">
      <c r="A1" s="3648" t="s">
        <v>2264</v>
      </c>
      <c r="B1" s="3649"/>
      <c r="C1" s="3649"/>
      <c r="D1" s="3649"/>
      <c r="E1" s="3649"/>
      <c r="F1" s="3649"/>
      <c r="G1" s="3649"/>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2260</v>
      </c>
      <c r="D2" s="2455"/>
      <c r="E2" s="2452"/>
      <c r="F2" s="2456"/>
      <c r="G2" s="2454" t="s">
        <v>2261</v>
      </c>
      <c r="H2" s="795"/>
      <c r="I2" s="795"/>
      <c r="J2" s="795"/>
      <c r="K2" s="795"/>
      <c r="L2" s="795"/>
      <c r="M2" s="795"/>
      <c r="N2" s="795"/>
      <c r="O2" s="795"/>
      <c r="P2" s="795"/>
      <c r="Q2" s="795"/>
      <c r="R2" s="795"/>
    </row>
    <row r="3" spans="1:29" ht="25.5">
      <c r="A3" s="2435" t="s">
        <v>2262</v>
      </c>
      <c r="B3" s="2457" t="s">
        <v>2234</v>
      </c>
      <c r="C3" s="3433" t="s">
        <v>3396</v>
      </c>
      <c r="D3" s="2458"/>
      <c r="E3" s="2436" t="s">
        <v>2262</v>
      </c>
      <c r="F3" s="2459" t="s">
        <v>2235</v>
      </c>
      <c r="G3" s="2460" t="s">
        <v>2263</v>
      </c>
      <c r="H3" s="795"/>
      <c r="I3" s="795"/>
      <c r="J3" s="795"/>
      <c r="K3" s="795"/>
      <c r="L3" s="795"/>
      <c r="M3" s="795"/>
      <c r="N3" s="795"/>
      <c r="O3" s="795"/>
      <c r="P3" s="795"/>
      <c r="Q3" s="795"/>
      <c r="R3" s="795"/>
    </row>
    <row r="4" spans="1:29" ht="36">
      <c r="A4" s="2436"/>
      <c r="B4" s="323" t="s">
        <v>2236</v>
      </c>
      <c r="C4" s="3434" t="s">
        <v>4149</v>
      </c>
      <c r="D4" s="2458"/>
      <c r="E4" s="2461"/>
      <c r="F4" s="1368" t="s">
        <v>2237</v>
      </c>
      <c r="G4" s="2462" t="s">
        <v>2238</v>
      </c>
      <c r="H4" s="795"/>
      <c r="I4" s="795"/>
      <c r="J4" s="795"/>
      <c r="K4" s="795"/>
      <c r="L4" s="795"/>
      <c r="M4" s="795"/>
      <c r="N4" s="795"/>
      <c r="O4" s="795"/>
      <c r="P4" s="795"/>
      <c r="Q4" s="795"/>
      <c r="R4" s="795"/>
    </row>
    <row r="5" spans="1:29" ht="24">
      <c r="A5" s="2436"/>
      <c r="B5" s="323" t="s">
        <v>2239</v>
      </c>
      <c r="C5" s="3435" t="s">
        <v>3396</v>
      </c>
      <c r="D5" s="2458"/>
      <c r="E5" s="2461"/>
      <c r="F5" s="323" t="s">
        <v>2240</v>
      </c>
      <c r="G5" s="2462" t="s">
        <v>2241</v>
      </c>
      <c r="H5" s="795"/>
      <c r="I5" s="795"/>
      <c r="J5" s="795"/>
      <c r="K5" s="795"/>
      <c r="L5" s="795"/>
      <c r="M5" s="795"/>
      <c r="N5" s="795"/>
      <c r="O5" s="795"/>
      <c r="P5" s="795"/>
      <c r="Q5" s="795"/>
      <c r="R5" s="795"/>
    </row>
    <row r="6" spans="1:29">
      <c r="A6" s="2436"/>
      <c r="B6" s="323" t="s">
        <v>2242</v>
      </c>
      <c r="C6" s="3435" t="s">
        <v>3397</v>
      </c>
      <c r="D6" s="2458"/>
      <c r="E6" s="2461"/>
      <c r="F6" s="323" t="s">
        <v>2243</v>
      </c>
      <c r="G6" s="2462" t="s">
        <v>2244</v>
      </c>
      <c r="H6" s="795"/>
      <c r="I6" s="795"/>
      <c r="J6" s="795"/>
      <c r="K6" s="795"/>
      <c r="L6" s="795"/>
      <c r="M6" s="795"/>
      <c r="N6" s="795"/>
      <c r="O6" s="795"/>
      <c r="P6" s="795"/>
      <c r="Q6" s="795"/>
      <c r="R6" s="795"/>
    </row>
    <row r="7" spans="1:29" ht="24.75" thickBot="1">
      <c r="A7" s="2436"/>
      <c r="B7" s="323" t="s">
        <v>2240</v>
      </c>
      <c r="C7" s="3435" t="s">
        <v>3397</v>
      </c>
      <c r="D7" s="2463"/>
      <c r="E7" s="2464"/>
      <c r="F7" s="2465" t="s">
        <v>2245</v>
      </c>
      <c r="G7" s="2466" t="s">
        <v>2246</v>
      </c>
      <c r="H7" s="795"/>
      <c r="I7" s="795"/>
      <c r="J7" s="795"/>
      <c r="K7" s="795"/>
      <c r="L7" s="795"/>
      <c r="M7" s="795"/>
      <c r="N7" s="795"/>
      <c r="O7" s="795"/>
      <c r="P7" s="795"/>
      <c r="Q7" s="795"/>
      <c r="R7" s="795"/>
    </row>
    <row r="8" spans="1:29">
      <c r="A8" s="2436"/>
      <c r="B8" s="323" t="s">
        <v>2243</v>
      </c>
      <c r="C8" s="3435" t="s">
        <v>3398</v>
      </c>
      <c r="D8" s="2463"/>
      <c r="E8" s="2463"/>
      <c r="F8" s="2467"/>
      <c r="G8" s="2467"/>
      <c r="H8" s="795"/>
      <c r="I8" s="795"/>
      <c r="J8" s="795"/>
      <c r="K8" s="795"/>
      <c r="L8" s="795"/>
      <c r="M8" s="795"/>
      <c r="N8" s="795"/>
      <c r="O8" s="795"/>
      <c r="P8" s="795"/>
      <c r="Q8" s="795"/>
      <c r="R8" s="795"/>
    </row>
    <row r="9" spans="1:29">
      <c r="A9" s="2436"/>
      <c r="B9" s="323" t="s">
        <v>2247</v>
      </c>
      <c r="C9" s="3435" t="s">
        <v>3397</v>
      </c>
      <c r="D9" s="2458"/>
      <c r="E9" s="2463"/>
      <c r="F9" s="2467"/>
      <c r="G9" s="2467"/>
      <c r="H9" s="795"/>
      <c r="I9" s="795"/>
      <c r="J9" s="795"/>
      <c r="K9" s="795"/>
      <c r="L9" s="795"/>
      <c r="M9" s="795"/>
      <c r="N9" s="795"/>
      <c r="O9" s="795"/>
      <c r="P9" s="795"/>
      <c r="Q9" s="795"/>
      <c r="R9" s="795"/>
    </row>
    <row r="10" spans="1:29" s="2473" customFormat="1" ht="15"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8">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75" thickBot="1">
      <c r="A13" s="2482" t="s">
        <v>2265</v>
      </c>
      <c r="B13" s="2476"/>
      <c r="C13" s="2476"/>
      <c r="D13" s="2474"/>
      <c r="E13" s="2476"/>
      <c r="F13" s="2476"/>
      <c r="G13" s="2476"/>
    </row>
    <row r="14" spans="1:29" ht="15" thickBot="1">
      <c r="A14" s="2486"/>
      <c r="B14" s="2486"/>
      <c r="C14" s="2487" t="s">
        <v>2249</v>
      </c>
      <c r="D14" s="2458"/>
      <c r="E14" s="2488"/>
      <c r="F14" s="2488"/>
      <c r="G14" s="2454" t="s">
        <v>2250</v>
      </c>
    </row>
    <row r="15" spans="1:29" ht="25.5">
      <c r="A15" s="2438" t="s">
        <v>2251</v>
      </c>
      <c r="B15" s="2489" t="s">
        <v>2234</v>
      </c>
      <c r="C15" s="2490" t="str">
        <f>C3</f>
        <v>较好</v>
      </c>
      <c r="D15" s="2458"/>
      <c r="E15" s="2439" t="s">
        <v>2252</v>
      </c>
      <c r="F15" s="2489" t="s">
        <v>2253</v>
      </c>
      <c r="G15" s="2491" t="str">
        <f>G3</f>
        <v>估价对象位于XX开发区，园区建设成熟度XX，产业集聚程度XX</v>
      </c>
    </row>
    <row r="16" spans="1:29" ht="38.25">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25.5">
      <c r="A18" s="2440"/>
      <c r="B18" s="2494" t="s">
        <v>2242</v>
      </c>
      <c r="C18" s="2495" t="str">
        <f>C6</f>
        <v>较好</v>
      </c>
      <c r="D18" s="2463"/>
      <c r="E18" s="2441"/>
      <c r="F18" s="2494" t="s">
        <v>2245</v>
      </c>
      <c r="G18" s="2495" t="str">
        <f>G7</f>
        <v>该园区内是否有污染型企业，绿化情况，卫生条件，整体环境状况判断</v>
      </c>
    </row>
    <row r="19" spans="1:18" ht="25.5">
      <c r="A19" s="2440"/>
      <c r="B19" s="2494" t="s">
        <v>2255</v>
      </c>
      <c r="C19" s="2496"/>
      <c r="D19" s="2458"/>
      <c r="E19" s="2441"/>
      <c r="F19" s="323" t="s">
        <v>2240</v>
      </c>
      <c r="G19" s="2495" t="str">
        <f>G5</f>
        <v>估价对象所在区域公共配套设施齐备情况</v>
      </c>
    </row>
    <row r="20" spans="1:18">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5"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5"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3" sqref="L23"/>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84373.10000000002</v>
      </c>
      <c r="C1" s="2657"/>
      <c r="D1" s="2657"/>
      <c r="E1" s="2657"/>
      <c r="F1" s="2657"/>
      <c r="G1" s="2658"/>
      <c r="H1" s="2659"/>
      <c r="I1" s="2659"/>
      <c r="J1" s="2659"/>
      <c r="K1" s="2659"/>
    </row>
    <row r="2" spans="1:11" ht="16.5">
      <c r="A2" s="2504" t="s">
        <v>653</v>
      </c>
      <c r="B2" s="2504">
        <f>SUM(C14:C23)</f>
        <v>10591.91</v>
      </c>
      <c r="C2" s="2657"/>
      <c r="D2" s="2657"/>
      <c r="E2" s="2657"/>
      <c r="F2" s="2657"/>
      <c r="G2" s="2658"/>
      <c r="H2" s="2659"/>
      <c r="I2" s="2659"/>
      <c r="J2" s="2659"/>
      <c r="K2" s="2659"/>
    </row>
    <row r="3" spans="1:11" ht="16.5">
      <c r="A3" s="2504" t="s">
        <v>662</v>
      </c>
      <c r="B3" s="2506">
        <f>项目基本情况!D3</f>
        <v>45309</v>
      </c>
      <c r="C3" s="2657"/>
      <c r="D3" s="2657"/>
      <c r="E3" s="2657"/>
      <c r="F3" s="2657"/>
      <c r="G3" s="2658"/>
      <c r="H3" s="2659"/>
      <c r="I3" s="2659"/>
      <c r="J3" s="2659"/>
      <c r="K3" s="2659"/>
    </row>
    <row r="4" spans="1:11" ht="33">
      <c r="A4" s="2504" t="s">
        <v>661</v>
      </c>
      <c r="B4" s="2504" t="s">
        <v>660</v>
      </c>
      <c r="C4" s="2504" t="s">
        <v>659</v>
      </c>
      <c r="D4" s="2504" t="s">
        <v>658</v>
      </c>
      <c r="E4" s="2657"/>
      <c r="F4" s="2658"/>
      <c r="G4" s="2658"/>
      <c r="H4" s="2659"/>
      <c r="I4" s="2659"/>
      <c r="J4" s="2659"/>
      <c r="K4" s="2659"/>
    </row>
    <row r="5" spans="1:11" ht="16.5">
      <c r="A5" s="2504" t="s">
        <v>657</v>
      </c>
      <c r="B5" s="2504">
        <f ca="1">SUM(D14:D23)</f>
        <v>550417</v>
      </c>
      <c r="C5" s="2504">
        <f ca="1">IF(B5=D14,结果表!H102,ROUND(B5*10000/$B$1,0))</f>
        <v>65236</v>
      </c>
      <c r="D5" s="2504">
        <f ca="1">ROUND(B5*10000/$B$2,0)</f>
        <v>519658</v>
      </c>
      <c r="E5" s="2657"/>
      <c r="F5" s="2658"/>
      <c r="G5" s="2658"/>
      <c r="H5" s="2659"/>
      <c r="I5" s="2659"/>
      <c r="J5" s="2659"/>
      <c r="K5" s="2659"/>
    </row>
    <row r="6" spans="1:11" ht="16.5">
      <c r="A6" s="2504" t="s">
        <v>656</v>
      </c>
      <c r="B6" s="2504">
        <f ca="1">SUM(G14:G23)</f>
        <v>550417</v>
      </c>
      <c r="C6" s="2504">
        <f ca="1">IF(B6=G14,结果表!H108,ROUND(B6*10000/$B$1,0))</f>
        <v>65236</v>
      </c>
      <c r="D6" s="2504">
        <f ca="1">ROUND(B6*10000/$B$2,0)</f>
        <v>519658</v>
      </c>
      <c r="E6" s="2657"/>
      <c r="F6" s="2658"/>
      <c r="G6" s="2658"/>
      <c r="H6" s="2659"/>
      <c r="I6" s="2659"/>
      <c r="J6" s="2659"/>
      <c r="K6" s="2659"/>
    </row>
    <row r="7" spans="1:11" ht="16.5">
      <c r="A7" s="2504" t="s">
        <v>664</v>
      </c>
      <c r="B7" s="2504">
        <f>SUM(H14:H23)</f>
        <v>0</v>
      </c>
      <c r="C7" s="2504" t="str">
        <f>IF(B7=H14,结果表!H110,ROUND(B7*10000/$B$1,0))</f>
        <v>——</v>
      </c>
      <c r="D7" s="2504">
        <f>ROUND(B7*10000/$B$2,0)</f>
        <v>0</v>
      </c>
      <c r="E7" s="2657"/>
      <c r="F7" s="2658"/>
      <c r="G7" s="2658"/>
      <c r="H7" s="2659"/>
      <c r="I7" s="2659"/>
      <c r="J7" s="2659"/>
      <c r="K7" s="2659"/>
    </row>
    <row r="8" spans="1:11" ht="16.5">
      <c r="A8" s="2504" t="s">
        <v>587</v>
      </c>
      <c r="B8" s="2504">
        <f>SUM(I14:I23)</f>
        <v>0</v>
      </c>
      <c r="C8" s="2504">
        <f ca="1">IF(B8=I14,结果表!H112,ROUND(B8*10000/$B$1,0))</f>
        <v>63269</v>
      </c>
      <c r="D8" s="2504">
        <f>ROUND(B8*10000/$B$2,0)</f>
        <v>0</v>
      </c>
      <c r="E8" s="2657"/>
      <c r="F8" s="2658"/>
      <c r="G8" s="2658"/>
      <c r="H8" s="2659"/>
      <c r="I8" s="2659"/>
      <c r="J8" s="2659"/>
      <c r="K8" s="2659"/>
    </row>
    <row r="9" spans="1:11" ht="16.5">
      <c r="A9" s="2504" t="s">
        <v>655</v>
      </c>
      <c r="B9" s="2512"/>
      <c r="C9" s="2657"/>
      <c r="D9" s="2657"/>
      <c r="E9" s="2657"/>
      <c r="F9" s="2658"/>
      <c r="G9" s="2658"/>
      <c r="H9" s="2659"/>
      <c r="I9" s="2659"/>
      <c r="J9" s="2659"/>
      <c r="K9" s="2659"/>
    </row>
    <row r="10" spans="1:11" ht="16.5">
      <c r="A10" s="2504" t="s">
        <v>654</v>
      </c>
      <c r="B10" s="2504">
        <f>IF(E10="",0,ROUND(B1*(E10*365/G10)/10000,0))</f>
        <v>0</v>
      </c>
      <c r="C10" s="2504" t="s">
        <v>3337</v>
      </c>
      <c r="D10" s="2504" t="s">
        <v>3338</v>
      </c>
      <c r="E10" s="3411"/>
      <c r="F10" s="3415" t="s">
        <v>3339</v>
      </c>
      <c r="G10" s="3412"/>
      <c r="H10" s="2659"/>
      <c r="I10" s="2659"/>
      <c r="J10" s="2659"/>
      <c r="K10" s="2659"/>
    </row>
    <row r="11" spans="1:11" ht="16.5">
      <c r="A11" s="2504" t="s">
        <v>670</v>
      </c>
      <c r="B11" s="2512"/>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507" t="s">
        <v>669</v>
      </c>
      <c r="B13" s="2508" t="s">
        <v>666</v>
      </c>
      <c r="C13" s="2508" t="s">
        <v>668</v>
      </c>
      <c r="D13" s="2508" t="s">
        <v>667</v>
      </c>
      <c r="E13" s="2504" t="s">
        <v>659</v>
      </c>
      <c r="F13" s="2504" t="s">
        <v>658</v>
      </c>
      <c r="G13" s="2508" t="s">
        <v>652</v>
      </c>
      <c r="H13" s="2508" t="s">
        <v>663</v>
      </c>
      <c r="I13" s="2508" t="s">
        <v>651</v>
      </c>
      <c r="J13" s="2658"/>
      <c r="K13" s="2659"/>
    </row>
    <row r="14" spans="1:11" ht="16.5">
      <c r="A14" s="2509" t="s">
        <v>650</v>
      </c>
      <c r="B14" s="2510">
        <f>'数据-汇总表'!E3</f>
        <v>84373.10000000002</v>
      </c>
      <c r="C14" s="2510">
        <f>'数据-汇总表'!D3</f>
        <v>10591.91</v>
      </c>
      <c r="D14" s="2510">
        <f ca="1">结果表!H101</f>
        <v>550417</v>
      </c>
      <c r="E14" s="2510">
        <f ca="1">ROUND(D14*10000/B14,0)</f>
        <v>65236</v>
      </c>
      <c r="F14" s="2510">
        <f ca="1">ROUND(D14*10000/C14,0)</f>
        <v>519658</v>
      </c>
      <c r="G14" s="2510">
        <f ca="1">D14</f>
        <v>550417</v>
      </c>
      <c r="H14" s="2510"/>
      <c r="I14" s="2510"/>
      <c r="J14" s="2658"/>
      <c r="K14" s="2659"/>
    </row>
    <row r="15" spans="1:11" ht="16.5">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6.5">
      <c r="A16" s="2509" t="s">
        <v>648</v>
      </c>
      <c r="B16" s="2511"/>
      <c r="C16" s="2511"/>
      <c r="D16" s="2511"/>
      <c r="E16" s="2510" t="e">
        <f t="shared" si="0"/>
        <v>#DIV/0!</v>
      </c>
      <c r="F16" s="2510" t="e">
        <f t="shared" si="1"/>
        <v>#DIV/0!</v>
      </c>
      <c r="G16" s="1326"/>
      <c r="H16" s="1326"/>
      <c r="I16" s="2511"/>
      <c r="J16" s="2659"/>
      <c r="K16" s="2659"/>
    </row>
    <row r="17" spans="1:11" ht="16.5">
      <c r="A17" s="2509" t="s">
        <v>647</v>
      </c>
      <c r="B17" s="2511"/>
      <c r="C17" s="2511"/>
      <c r="D17" s="2511"/>
      <c r="E17" s="2510" t="e">
        <f t="shared" si="0"/>
        <v>#DIV/0!</v>
      </c>
      <c r="F17" s="2510" t="e">
        <f t="shared" si="1"/>
        <v>#DIV/0!</v>
      </c>
      <c r="G17" s="1326"/>
      <c r="H17" s="1326"/>
      <c r="I17" s="2511"/>
      <c r="J17" s="2659"/>
      <c r="K17" s="2659"/>
    </row>
    <row r="18" spans="1:11" ht="16.5">
      <c r="A18" s="2509" t="s">
        <v>646</v>
      </c>
      <c r="B18" s="2511"/>
      <c r="C18" s="2511"/>
      <c r="D18" s="2511"/>
      <c r="E18" s="2510" t="e">
        <f t="shared" si="0"/>
        <v>#DIV/0!</v>
      </c>
      <c r="F18" s="2510" t="e">
        <f t="shared" si="1"/>
        <v>#DIV/0!</v>
      </c>
      <c r="G18" s="2511"/>
      <c r="H18" s="2511"/>
      <c r="I18" s="2511"/>
      <c r="J18" s="2659"/>
      <c r="K18" s="2659"/>
    </row>
    <row r="19" spans="1:11" ht="16.5">
      <c r="A19" s="2509" t="s">
        <v>645</v>
      </c>
      <c r="B19" s="2511"/>
      <c r="C19" s="2511"/>
      <c r="D19" s="2511"/>
      <c r="E19" s="2510" t="e">
        <f t="shared" si="0"/>
        <v>#DIV/0!</v>
      </c>
      <c r="F19" s="2510" t="e">
        <f t="shared" si="1"/>
        <v>#DIV/0!</v>
      </c>
      <c r="G19" s="2511"/>
      <c r="H19" s="2511"/>
      <c r="I19" s="2511"/>
      <c r="J19" s="2659"/>
      <c r="K19" s="2659"/>
    </row>
    <row r="20" spans="1:11" ht="16.5">
      <c r="A20" s="2509" t="s">
        <v>644</v>
      </c>
      <c r="B20" s="2511"/>
      <c r="C20" s="2511"/>
      <c r="D20" s="2511"/>
      <c r="E20" s="2510" t="e">
        <f t="shared" si="0"/>
        <v>#DIV/0!</v>
      </c>
      <c r="F20" s="2510" t="e">
        <f t="shared" si="1"/>
        <v>#DIV/0!</v>
      </c>
      <c r="G20" s="2511"/>
      <c r="H20" s="2511"/>
      <c r="I20" s="2511"/>
      <c r="J20" s="2659"/>
      <c r="K20" s="2659"/>
    </row>
    <row r="21" spans="1:11" ht="16.5">
      <c r="A21" s="2509" t="s">
        <v>643</v>
      </c>
      <c r="B21" s="2511"/>
      <c r="C21" s="2511"/>
      <c r="D21" s="2511"/>
      <c r="E21" s="2510" t="e">
        <f t="shared" si="0"/>
        <v>#DIV/0!</v>
      </c>
      <c r="F21" s="2510" t="e">
        <f t="shared" si="1"/>
        <v>#DIV/0!</v>
      </c>
      <c r="G21" s="2511"/>
      <c r="H21" s="2511"/>
      <c r="I21" s="2511"/>
      <c r="J21" s="2659"/>
      <c r="K21" s="2659"/>
    </row>
    <row r="22" spans="1:11" ht="16.5">
      <c r="A22" s="2509" t="s">
        <v>642</v>
      </c>
      <c r="B22" s="2511"/>
      <c r="C22" s="2511"/>
      <c r="D22" s="2511"/>
      <c r="E22" s="2510" t="e">
        <f t="shared" si="0"/>
        <v>#DIV/0!</v>
      </c>
      <c r="F22" s="2510" t="e">
        <f t="shared" si="1"/>
        <v>#DIV/0!</v>
      </c>
      <c r="G22" s="2511"/>
      <c r="H22" s="2511"/>
      <c r="I22" s="2511"/>
      <c r="J22" s="2659"/>
      <c r="K22" s="2659"/>
    </row>
    <row r="23" spans="1:11" ht="16.5">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61" t="str">
        <f>项目基本情况!B1</f>
        <v>北京市西城区西直门外大街南路甲28号房地产市场价值预评估</v>
      </c>
      <c r="C37" s="3561"/>
      <c r="D37" s="3561"/>
      <c r="E37" s="3561"/>
      <c r="F37" s="3561"/>
      <c r="G37" s="3561"/>
      <c r="H37" s="3561"/>
      <c r="I37" s="3561"/>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J28" sqref="J28"/>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4201</v>
      </c>
      <c r="H1" s="1745" t="str">
        <f>IF(G1="现房","——","估价对象范围")</f>
        <v>——</v>
      </c>
      <c r="I1" s="1746" t="s">
        <v>4202</v>
      </c>
    </row>
    <row r="2" spans="1:12" ht="21.75" customHeight="1" thickBot="1">
      <c r="A2" s="3718" t="str">
        <f>项目基本情况!S2</f>
        <v>北京市西城区西直门外大街南路甲28号房地产</v>
      </c>
      <c r="B2" s="3719"/>
      <c r="C2" s="3719"/>
      <c r="D2" s="3719"/>
      <c r="E2" s="3719"/>
      <c r="F2" s="3719"/>
      <c r="G2" s="3719"/>
      <c r="H2" s="3719"/>
      <c r="I2" s="3720"/>
    </row>
    <row r="3" spans="1:12" ht="12.75">
      <c r="A3" s="3722" t="s">
        <v>1264</v>
      </c>
      <c r="B3" s="3723"/>
      <c r="C3" s="3723"/>
      <c r="D3" s="3723"/>
      <c r="E3" s="3723"/>
      <c r="F3" s="3723"/>
      <c r="G3" s="3723"/>
      <c r="H3" s="3723"/>
      <c r="I3" s="3723"/>
    </row>
    <row r="4" spans="1:12" ht="14.25">
      <c r="A4" s="1749" t="s">
        <v>1265</v>
      </c>
      <c r="B4" s="1750" t="s">
        <v>1266</v>
      </c>
      <c r="C4" s="1751" t="s">
        <v>4310</v>
      </c>
      <c r="D4" s="1751" t="s">
        <v>4309</v>
      </c>
      <c r="E4" s="3727" t="s">
        <v>1267</v>
      </c>
      <c r="F4" s="3728"/>
      <c r="G4" s="3728"/>
      <c r="H4" s="3728"/>
      <c r="I4" s="37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6" t="s">
        <v>1268</v>
      </c>
      <c r="B5" s="3721">
        <v>25</v>
      </c>
      <c r="C5" s="3724"/>
      <c r="D5" s="3712"/>
      <c r="E5" s="131" t="s">
        <v>1269</v>
      </c>
      <c r="F5" s="1752"/>
      <c r="G5" s="1752"/>
      <c r="H5" s="1752"/>
      <c r="I5" s="1368"/>
    </row>
    <row r="6" spans="1:12" ht="12.75">
      <c r="A6" s="3666"/>
      <c r="B6" s="3721"/>
      <c r="C6" s="3726"/>
      <c r="D6" s="3712"/>
      <c r="E6" s="131" t="s">
        <v>1270</v>
      </c>
      <c r="F6" s="1752"/>
      <c r="G6" s="1752"/>
      <c r="H6" s="1752"/>
      <c r="I6" s="1368"/>
    </row>
    <row r="7" spans="1:12" ht="12.75">
      <c r="A7" s="3666"/>
      <c r="B7" s="3721"/>
      <c r="C7" s="3725"/>
      <c r="D7" s="3712"/>
      <c r="E7" s="131" t="s">
        <v>1271</v>
      </c>
      <c r="F7" s="1752"/>
      <c r="G7" s="1752"/>
      <c r="H7" s="1752"/>
      <c r="I7" s="1368"/>
    </row>
    <row r="8" spans="1:12" ht="12.75">
      <c r="A8" s="3666" t="s">
        <v>1272</v>
      </c>
      <c r="B8" s="3721">
        <v>15</v>
      </c>
      <c r="C8" s="3724"/>
      <c r="D8" s="3712"/>
      <c r="E8" s="131" t="s">
        <v>1273</v>
      </c>
      <c r="F8" s="1752"/>
      <c r="G8" s="1752"/>
      <c r="H8" s="1752"/>
      <c r="I8" s="1368"/>
    </row>
    <row r="9" spans="1:12" ht="12.75">
      <c r="A9" s="3666"/>
      <c r="B9" s="3721"/>
      <c r="C9" s="3725"/>
      <c r="D9" s="3712"/>
      <c r="E9" s="131" t="s">
        <v>1274</v>
      </c>
      <c r="F9" s="1752"/>
      <c r="G9" s="1752"/>
      <c r="H9" s="1752"/>
      <c r="I9" s="1368"/>
    </row>
    <row r="10" spans="1:12" ht="12.75">
      <c r="A10" s="3666" t="s">
        <v>1275</v>
      </c>
      <c r="B10" s="3721">
        <v>15</v>
      </c>
      <c r="C10" s="3724"/>
      <c r="D10" s="3712"/>
      <c r="E10" s="131" t="s">
        <v>1276</v>
      </c>
      <c r="F10" s="1752"/>
      <c r="G10" s="1752"/>
      <c r="H10" s="1752"/>
      <c r="I10" s="1368"/>
    </row>
    <row r="11" spans="1:12" ht="12.75">
      <c r="A11" s="3666"/>
      <c r="B11" s="3721"/>
      <c r="C11" s="3725"/>
      <c r="D11" s="3712"/>
      <c r="E11" s="131" t="s">
        <v>1277</v>
      </c>
      <c r="F11" s="1752"/>
      <c r="G11" s="1752"/>
      <c r="H11" s="1752"/>
      <c r="I11" s="1368"/>
    </row>
    <row r="12" spans="1:12" ht="12.75">
      <c r="A12" s="3666" t="s">
        <v>1278</v>
      </c>
      <c r="B12" s="3721">
        <v>15</v>
      </c>
      <c r="C12" s="3724"/>
      <c r="D12" s="3712"/>
      <c r="E12" s="131" t="s">
        <v>1279</v>
      </c>
      <c r="F12" s="1752"/>
      <c r="G12" s="1752"/>
      <c r="H12" s="1752"/>
      <c r="I12" s="1368"/>
    </row>
    <row r="13" spans="1:12" ht="12.75">
      <c r="A13" s="3666"/>
      <c r="B13" s="3721"/>
      <c r="C13" s="3725"/>
      <c r="D13" s="3712"/>
      <c r="E13" s="131" t="s">
        <v>1280</v>
      </c>
      <c r="F13" s="1752"/>
      <c r="G13" s="1752"/>
      <c r="H13" s="1752"/>
      <c r="I13" s="1368"/>
    </row>
    <row r="14" spans="1:12" ht="12.75">
      <c r="A14" s="3666" t="s">
        <v>1281</v>
      </c>
      <c r="B14" s="3721">
        <v>30</v>
      </c>
      <c r="C14" s="3724">
        <v>7</v>
      </c>
      <c r="D14" s="3712">
        <v>3</v>
      </c>
      <c r="E14" s="131" t="s">
        <v>1282</v>
      </c>
      <c r="F14" s="1752"/>
      <c r="G14" s="1752"/>
      <c r="H14" s="1752"/>
      <c r="I14" s="1368"/>
    </row>
    <row r="15" spans="1:12" ht="12.75">
      <c r="A15" s="3666"/>
      <c r="B15" s="3721"/>
      <c r="C15" s="3726"/>
      <c r="D15" s="3712"/>
      <c r="E15" s="131" t="s">
        <v>1283</v>
      </c>
      <c r="F15" s="1752"/>
      <c r="G15" s="1752"/>
      <c r="H15" s="1752"/>
      <c r="I15" s="1368"/>
    </row>
    <row r="16" spans="1:12" ht="12.75">
      <c r="A16" s="3666"/>
      <c r="B16" s="3721"/>
      <c r="C16" s="3725"/>
      <c r="D16" s="3712"/>
      <c r="E16" s="131" t="s">
        <v>1284</v>
      </c>
      <c r="F16" s="1752"/>
      <c r="G16" s="1752"/>
      <c r="H16" s="1752"/>
      <c r="I16" s="1368"/>
    </row>
    <row r="17" spans="1:36" ht="15">
      <c r="A17" s="1753" t="s">
        <v>1285</v>
      </c>
      <c r="B17" s="56"/>
      <c r="C17" s="132">
        <f>SUM(C5:C16)</f>
        <v>7</v>
      </c>
      <c r="D17" s="132">
        <f>SUM(D5:D16)</f>
        <v>3</v>
      </c>
      <c r="E17" s="129"/>
      <c r="F17" s="129"/>
      <c r="G17" s="129"/>
      <c r="H17" s="129"/>
      <c r="I17" s="129"/>
      <c r="K17" s="302"/>
      <c r="L17" s="302" t="s">
        <v>1286</v>
      </c>
      <c r="M17" s="302" t="s">
        <v>1287</v>
      </c>
    </row>
    <row r="18" spans="1:36" ht="31.9" customHeight="1" thickBot="1">
      <c r="A18" s="1754" t="s">
        <v>1288</v>
      </c>
      <c r="B18" s="1755"/>
      <c r="C18" s="133">
        <f>ROUND(C17/SUM(C17:D17),2)</f>
        <v>0.7</v>
      </c>
      <c r="D18" s="133">
        <f>1-C18</f>
        <v>0.30000000000000004</v>
      </c>
      <c r="E18" s="3743" t="s">
        <v>2113</v>
      </c>
      <c r="F18" s="3744"/>
      <c r="G18" s="3744"/>
      <c r="H18" s="3744"/>
      <c r="I18" s="3744"/>
      <c r="J18" s="3470" t="s">
        <v>4147</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5">
      <c r="A19" s="1756" t="s">
        <v>1290</v>
      </c>
      <c r="B19" s="1757" t="s">
        <v>1291</v>
      </c>
      <c r="C19" s="134">
        <f ca="1">SUMIF(INDIRECT("'"&amp;C4&amp;"'"&amp;"!A:A"),结果表!B19,INDIRECT("'"&amp;C4&amp;"'"&amp;"!B:B"))</f>
        <v>588536</v>
      </c>
      <c r="D19" s="135">
        <f ca="1">SUMIF(INDIRECT("'"&amp;D4&amp;"'"&amp;"!A:A"),结果表!B19,INDIRECT("'"&amp;D4&amp;"'"&amp;"!B:B"))</f>
        <v>461472</v>
      </c>
      <c r="E19" s="1756" t="s">
        <v>1292</v>
      </c>
      <c r="F19" s="1757" t="s">
        <v>1291</v>
      </c>
      <c r="G19" s="136">
        <f ca="1">ROUND(C19*$C$18+D19*$D$18,0)</f>
        <v>550417</v>
      </c>
      <c r="H19" s="1758" t="s">
        <v>1293</v>
      </c>
      <c r="I19" s="129"/>
      <c r="J19" s="3463">
        <f ca="1">N59</f>
        <v>533824</v>
      </c>
      <c r="K19" s="302" t="s">
        <v>1294</v>
      </c>
      <c r="L19" s="302">
        <f>IF(C1="",'数据-汇总表'!D3,SUMIF(项目类型,C1,'数据-汇总表'!D17:D26)+SUMIF(项目类型,C1,'数据-汇总表'!H17:H27))</f>
        <v>10591.91</v>
      </c>
      <c r="M19" s="302">
        <f>IF(C1="",'数据-汇总表'!D3,SUMIF(项目类型,C1,'数据-汇总表'!D17:D26))</f>
        <v>10591.91</v>
      </c>
    </row>
    <row r="20" spans="1:36" ht="15">
      <c r="A20" s="1759"/>
      <c r="B20" s="1022" t="s">
        <v>1295</v>
      </c>
      <c r="C20" s="137">
        <f ca="1">SUMIF(INDIRECT("'"&amp;C4&amp;"'"&amp;"!A:A"),结果表!B20,INDIRECT("'"&amp;C4&amp;"'"&amp;"!B:B"))</f>
        <v>69754</v>
      </c>
      <c r="D20" s="138">
        <f ca="1">SUMIF(INDIRECT("'"&amp;D4&amp;"'"&amp;"!A:A"),结果表!B20,INDIRECT("'"&amp;D4&amp;"'"&amp;"!B:B"))</f>
        <v>54694</v>
      </c>
      <c r="E20" s="1759"/>
      <c r="F20" s="1022" t="s">
        <v>1295</v>
      </c>
      <c r="G20" s="139">
        <f ca="1">ROUND(C20*$C$18+D20*$D$18,0)</f>
        <v>65236</v>
      </c>
      <c r="H20" s="804" t="s">
        <v>1296</v>
      </c>
      <c r="I20" s="129"/>
      <c r="J20" s="3463" t="s">
        <v>4173</v>
      </c>
    </row>
    <row r="21" spans="1:36" ht="15" customHeight="1" thickBot="1">
      <c r="A21" s="824"/>
      <c r="B21" s="1760" t="s">
        <v>1297</v>
      </c>
      <c r="C21" s="718">
        <f ca="1">ROUND(C19*10000/L19,0)</f>
        <v>555647</v>
      </c>
      <c r="D21" s="719">
        <f ca="1">ROUND(D19*10000/L19,0)</f>
        <v>435683</v>
      </c>
      <c r="E21" s="824"/>
      <c r="F21" s="1760" t="s">
        <v>1297</v>
      </c>
      <c r="G21" s="140">
        <f ca="1">ROUND(G19*10000/L19,0)</f>
        <v>519658</v>
      </c>
      <c r="H21" s="1761" t="s">
        <v>1296</v>
      </c>
      <c r="I21" s="129"/>
      <c r="J21" s="3463"/>
    </row>
    <row r="22" spans="1:36" ht="15" thickBot="1">
      <c r="A22" s="1683" t="s">
        <v>1298</v>
      </c>
      <c r="B22" s="1762"/>
      <c r="C22" s="1763"/>
      <c r="D22" s="720">
        <f ca="1">IF(C19&lt;D19,D19/C19-1,C19/D19-1)</f>
        <v>0.27534498301088695</v>
      </c>
      <c r="E22" s="129"/>
      <c r="F22" s="129"/>
      <c r="G22" s="129"/>
      <c r="H22" s="129"/>
      <c r="I22" s="129"/>
      <c r="J22" s="3461" t="s">
        <v>4142</v>
      </c>
      <c r="K22" s="3462" t="s">
        <v>4143</v>
      </c>
      <c r="L22" s="3463"/>
    </row>
    <row r="23" spans="1:36" ht="13.5" thickBot="1">
      <c r="A23" s="1742"/>
      <c r="B23" s="1742"/>
      <c r="C23" s="1742"/>
      <c r="D23" s="1742"/>
      <c r="E23" s="129"/>
      <c r="F23" s="129"/>
      <c r="G23" s="129"/>
      <c r="H23" s="129"/>
      <c r="I23" s="129"/>
      <c r="J23" s="3464" t="s">
        <v>4144</v>
      </c>
      <c r="K23" s="3465" t="s">
        <v>4145</v>
      </c>
      <c r="L23" s="3465" t="s">
        <v>4146</v>
      </c>
    </row>
    <row r="24" spans="1:36" ht="14.25">
      <c r="A24" s="3736" t="s">
        <v>1299</v>
      </c>
      <c r="B24" s="1757" t="s">
        <v>1291</v>
      </c>
      <c r="C24" s="136">
        <f>IF(B30=0,0,D30)</f>
        <v>0</v>
      </c>
      <c r="D24" s="1764"/>
      <c r="E24" s="129"/>
      <c r="F24" s="129"/>
      <c r="G24" s="129"/>
      <c r="H24" s="129"/>
      <c r="I24" s="129"/>
      <c r="J24" s="3466">
        <v>40000</v>
      </c>
      <c r="K24" s="3467">
        <v>45000</v>
      </c>
      <c r="L24" s="3467">
        <v>48000</v>
      </c>
    </row>
    <row r="25" spans="1:36" ht="14.25">
      <c r="A25" s="3737"/>
      <c r="B25" s="1022" t="s">
        <v>1295</v>
      </c>
      <c r="C25" s="141">
        <f>IF(B30=0,0,C30)</f>
        <v>0</v>
      </c>
      <c r="D25" s="1765"/>
      <c r="E25" s="129"/>
      <c r="F25" s="129"/>
      <c r="G25" s="129"/>
      <c r="H25" s="129"/>
      <c r="I25" s="129"/>
      <c r="J25" s="3468">
        <f>ROUND(J24*L18/10000,0)</f>
        <v>337492</v>
      </c>
      <c r="K25" s="3469">
        <f>ROUND(K24*M18/10000,0)</f>
        <v>379679</v>
      </c>
      <c r="L25" s="3469">
        <f>ROUND(L24*M18/10000,0)</f>
        <v>404991</v>
      </c>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2114</v>
      </c>
      <c r="F30" s="129"/>
      <c r="G30" s="129"/>
      <c r="H30" s="129"/>
      <c r="I30" s="129"/>
    </row>
    <row r="31" spans="1:36" s="2304" customFormat="1" ht="26.45"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550417</v>
      </c>
      <c r="D32" s="1770" t="s">
        <v>3390</v>
      </c>
      <c r="E32" s="129"/>
      <c r="F32" s="129"/>
      <c r="G32" s="129"/>
      <c r="H32" s="129"/>
      <c r="I32" s="129"/>
    </row>
    <row r="33" spans="1:16" ht="15">
      <c r="A33" s="782" t="s">
        <v>1306</v>
      </c>
      <c r="B33" s="1771"/>
      <c r="C33" s="1772" t="s">
        <v>4358</v>
      </c>
      <c r="D33" s="1773" t="s">
        <v>4304</v>
      </c>
      <c r="E33" s="1774" t="s">
        <v>1307</v>
      </c>
      <c r="F33" s="1775" t="str">
        <f>IF(D32="楼面单价","取值（单价）","取值（总价）")</f>
        <v>取值（总价）</v>
      </c>
      <c r="G33" s="129"/>
      <c r="H33" s="129"/>
      <c r="I33" s="129"/>
    </row>
    <row r="34" spans="1:16" ht="15">
      <c r="A34" s="1776"/>
      <c r="B34" s="1777" t="s">
        <v>1308</v>
      </c>
      <c r="C34" s="148">
        <f ca="1">IF(C33="自定义",F34,C32-C35)</f>
        <v>439783</v>
      </c>
      <c r="D34" s="857">
        <f ca="1">IF(C33="自定义",ROUND(C34/C32,3),IF(C33="收益比率",SUMIF(INDIRECT("'"&amp;D33&amp;"'"&amp;"!b:b"),"土地收益比率",INDIRECT("'"&amp;D33&amp;"'"&amp;"!c:c")),SUMIF(INDIRECT("'"&amp;D33&amp;"'"&amp;"!b:b"),"土地成本比率",INDIRECT("'"&amp;D33&amp;"'"&amp;"!c:c"))))</f>
        <v>0.79899999999999993</v>
      </c>
      <c r="E34" s="1778" t="s">
        <v>1309</v>
      </c>
      <c r="F34" s="1325"/>
      <c r="G34" s="129"/>
      <c r="H34" s="129"/>
      <c r="I34" s="129"/>
      <c r="M34" s="3470"/>
      <c r="N34" s="3463"/>
      <c r="O34" s="3463"/>
      <c r="P34" s="3463">
        <f ca="1">ROUND(P36*10000/L18,0)</f>
        <v>65236</v>
      </c>
    </row>
    <row r="35" spans="1:16" ht="15.75" thickBot="1">
      <c r="A35" s="1779"/>
      <c r="B35" s="1780" t="s">
        <v>1310</v>
      </c>
      <c r="C35" s="1166">
        <f ca="1">IF(C33="自定义",F35,ROUND(C32*D35,0))</f>
        <v>110634</v>
      </c>
      <c r="D35" s="1167">
        <f ca="1">IF(C33="自定义",ROUND(C35/C32,3),IF(C33="收益比率",SUMIF(INDIRECT("'"&amp;D33&amp;"'"&amp;"!b:b"),"建筑物收益比率",INDIRECT("'"&amp;D33&amp;"'"&amp;"!c:c")),SUMIF(INDIRECT("'"&amp;D33&amp;"'"&amp;"!b:b"),"建筑物成本比率",INDIRECT("'"&amp;D33&amp;"'"&amp;"!c:c"))))</f>
        <v>0.20100000000000001</v>
      </c>
      <c r="E35" s="1781" t="s">
        <v>1311</v>
      </c>
      <c r="F35" s="154"/>
      <c r="G35" s="129"/>
      <c r="H35" s="129"/>
      <c r="I35" s="129"/>
      <c r="M35" s="3471"/>
      <c r="N35" s="3472"/>
      <c r="O35" s="3472"/>
      <c r="P35" s="3473" t="s">
        <v>4148</v>
      </c>
    </row>
    <row r="36" spans="1:16" ht="15.75" thickBot="1">
      <c r="A36" s="3713" t="s">
        <v>1312</v>
      </c>
      <c r="B36" s="1782" t="s">
        <v>1313</v>
      </c>
      <c r="C36" s="145"/>
      <c r="D36" s="1783"/>
      <c r="E36" s="1784"/>
      <c r="F36" s="1785"/>
      <c r="G36" s="129"/>
      <c r="H36" s="129"/>
      <c r="I36" s="129"/>
      <c r="M36" s="3472"/>
      <c r="N36" s="3471"/>
      <c r="O36" s="3471"/>
      <c r="P36" s="3474">
        <f ca="1">G19</f>
        <v>550417</v>
      </c>
    </row>
    <row r="37" spans="1:16" ht="15.75" thickBot="1">
      <c r="A37" s="3714"/>
      <c r="B37" s="1669" t="s">
        <v>1314</v>
      </c>
      <c r="C37" s="147"/>
      <c r="D37" s="1135"/>
      <c r="E37" s="1135"/>
      <c r="F37" s="1785"/>
      <c r="G37" s="129"/>
      <c r="H37" s="129"/>
      <c r="I37" s="129"/>
      <c r="M37" s="3472"/>
      <c r="N37" s="3471"/>
      <c r="O37" s="3471"/>
      <c r="P37" s="3474">
        <f ca="1">N59</f>
        <v>533824</v>
      </c>
    </row>
    <row r="38" spans="1:16" ht="15.75" thickBot="1">
      <c r="A38" s="3715"/>
      <c r="B38" s="1786" t="s">
        <v>1315</v>
      </c>
      <c r="C38" s="673"/>
      <c r="D38" s="1787" t="s">
        <v>1316</v>
      </c>
      <c r="E38" s="1135"/>
      <c r="F38" s="1785"/>
      <c r="G38" s="129"/>
      <c r="H38" s="129"/>
      <c r="I38" s="129"/>
      <c r="M38" s="3472"/>
      <c r="N38" s="3471"/>
      <c r="O38" s="3471"/>
      <c r="P38" s="3474">
        <f ca="1">P36-P37</f>
        <v>16593</v>
      </c>
    </row>
    <row r="39" spans="1:16" ht="15">
      <c r="A39" s="1759" t="s">
        <v>1317</v>
      </c>
      <c r="B39" s="1788" t="s">
        <v>1318</v>
      </c>
      <c r="C39" s="1789" t="s">
        <v>1319</v>
      </c>
      <c r="D39" s="1789" t="s">
        <v>1320</v>
      </c>
      <c r="E39" s="1790" t="s">
        <v>1321</v>
      </c>
      <c r="F39" s="1785"/>
      <c r="G39" s="129"/>
      <c r="H39" s="129"/>
      <c r="I39" s="129"/>
      <c r="M39" s="3472"/>
      <c r="N39" s="3471"/>
      <c r="O39" s="3471"/>
      <c r="P39" s="3474">
        <f ca="1">P38/P36</f>
        <v>3.0146234582144084E-2</v>
      </c>
    </row>
    <row r="40" spans="1:16" ht="14.25">
      <c r="A40" s="1791" t="s">
        <v>1322</v>
      </c>
      <c r="B40" s="149"/>
      <c r="C40" s="150"/>
      <c r="D40" s="150"/>
      <c r="E40" s="151"/>
      <c r="F40" s="1785"/>
      <c r="G40" s="129"/>
      <c r="H40" s="129"/>
      <c r="I40" s="129"/>
    </row>
    <row r="41" spans="1:16" ht="14.25">
      <c r="A41" s="1791" t="s">
        <v>1323</v>
      </c>
      <c r="B41" s="149"/>
      <c r="C41" s="150"/>
      <c r="D41" s="150"/>
      <c r="E41" s="151"/>
      <c r="F41" s="1785"/>
      <c r="G41" s="129"/>
      <c r="H41" s="129"/>
      <c r="I41" s="129"/>
    </row>
    <row r="42" spans="1:16" ht="15" thickBot="1">
      <c r="A42" s="1792"/>
      <c r="B42" s="152"/>
      <c r="C42" s="153"/>
      <c r="D42" s="153"/>
      <c r="E42" s="154"/>
      <c r="F42" s="1785"/>
      <c r="G42" s="129"/>
      <c r="H42" s="129"/>
      <c r="I42" s="129"/>
    </row>
    <row r="43" spans="1:16" ht="12.75">
      <c r="A43" s="1572"/>
      <c r="B43" s="1572"/>
      <c r="C43" s="1572"/>
      <c r="D43" s="1572"/>
      <c r="E43" s="1572"/>
      <c r="F43" s="1793"/>
      <c r="G43" s="1793"/>
      <c r="H43" s="1793"/>
      <c r="I43" s="1794"/>
    </row>
    <row r="44" spans="1:16" ht="18.75">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733" t="s">
        <v>1326</v>
      </c>
      <c r="B45" s="3734"/>
      <c r="C45" s="3735"/>
      <c r="D45" s="155">
        <f ca="1">ROUND(H101*F45,0)</f>
        <v>308234</v>
      </c>
      <c r="E45" s="156" t="s">
        <v>1327</v>
      </c>
      <c r="F45" s="157">
        <v>0.56000000000000005</v>
      </c>
      <c r="G45" s="158" t="s">
        <v>1328</v>
      </c>
      <c r="H45" s="129"/>
      <c r="I45" s="129"/>
      <c r="J45" s="3652" t="s">
        <v>1329</v>
      </c>
      <c r="K45" s="3652"/>
      <c r="L45" s="3652"/>
      <c r="M45" s="3652"/>
      <c r="N45" s="3652"/>
      <c r="O45" s="3652"/>
    </row>
    <row r="46" spans="1:16" ht="14.25" customHeight="1">
      <c r="A46" s="3730" t="s">
        <v>1330</v>
      </c>
      <c r="B46" s="3731"/>
      <c r="C46" s="3731"/>
      <c r="D46" s="3731"/>
      <c r="E46" s="3731"/>
      <c r="F46" s="3731"/>
      <c r="G46" s="3732"/>
      <c r="H46" s="1801"/>
      <c r="I46" s="159"/>
      <c r="J46" s="2515">
        <v>1</v>
      </c>
      <c r="K46" s="3653" t="s">
        <v>1331</v>
      </c>
      <c r="L46" s="3653"/>
      <c r="M46" s="3654"/>
      <c r="N46" s="3654"/>
      <c r="O46" s="3654"/>
    </row>
    <row r="47" spans="1:16" ht="12" customHeight="1">
      <c r="A47" s="160" t="s">
        <v>1332</v>
      </c>
      <c r="B47" s="161"/>
      <c r="C47" s="162"/>
      <c r="D47" s="1083" t="s">
        <v>1333</v>
      </c>
      <c r="E47" s="302" t="s">
        <v>1334</v>
      </c>
      <c r="F47" s="163" t="s">
        <v>1335</v>
      </c>
      <c r="G47" s="2519" t="s">
        <v>1336</v>
      </c>
      <c r="H47" s="2520"/>
      <c r="I47" s="159"/>
      <c r="J47" s="170">
        <v>2</v>
      </c>
      <c r="K47" s="3655" t="s">
        <v>3406</v>
      </c>
      <c r="L47" s="3655"/>
      <c r="M47" s="3656">
        <f>'数据-取费表'!B2</f>
        <v>45309</v>
      </c>
      <c r="N47" s="3656"/>
      <c r="O47" s="3656"/>
    </row>
    <row r="48" spans="1:16" ht="25.5">
      <c r="A48" s="3716" t="s">
        <v>1337</v>
      </c>
      <c r="B48" s="3717"/>
      <c r="C48" s="3717"/>
      <c r="D48" s="2319">
        <f ca="1">IF(H48="情况1",0,IF(H48="情况2",D52,IF(H48="情况3",D53,IF(H48="情况4",D54))))</f>
        <v>16439</v>
      </c>
      <c r="E48" s="2329" t="str">
        <f>IF(H48="情况4","(销售额-原购置价)×税（费）率","销售额×税（费）率")</f>
        <v>(销售额-原购置价)×税（费）率</v>
      </c>
      <c r="F48" s="2521">
        <f>IF(H48="情况1","免征",'数据-取费表'!B41)</f>
        <v>5.6000000000000001E-2</v>
      </c>
      <c r="G48" s="2522" t="s">
        <v>1338</v>
      </c>
      <c r="H48" s="2523" t="s">
        <v>4359</v>
      </c>
      <c r="I48" s="1801"/>
      <c r="J48" s="170">
        <v>3</v>
      </c>
      <c r="K48" s="3655" t="s">
        <v>3414</v>
      </c>
      <c r="L48" s="3655"/>
      <c r="M48" s="3657">
        <f ca="1">H101</f>
        <v>550417</v>
      </c>
      <c r="N48" s="3657"/>
      <c r="O48" s="3657"/>
    </row>
    <row r="49" spans="1:35" ht="25.5" customHeight="1">
      <c r="A49" s="2328" t="s">
        <v>1339</v>
      </c>
      <c r="B49" s="3702" t="s">
        <v>1340</v>
      </c>
      <c r="C49" s="3702"/>
      <c r="D49" s="1585">
        <v>0</v>
      </c>
      <c r="E49" s="324" t="s">
        <v>1341</v>
      </c>
      <c r="F49" s="2418" t="s">
        <v>28</v>
      </c>
      <c r="G49" s="3685"/>
      <c r="H49" s="2305" t="s">
        <v>2116</v>
      </c>
      <c r="I49" s="2306"/>
      <c r="J49" s="170">
        <v>4</v>
      </c>
      <c r="K49" s="3655" t="str">
        <f>IF(项目基本情况!E8="房地产抵押价值","房地产抵押价值","抵押担保权已注销时的房地产抵押价值")</f>
        <v>房地产抵押价值</v>
      </c>
      <c r="L49" s="3655"/>
      <c r="M49" s="3657">
        <f ca="1">IF(项目基本情况!E8="房地产抵押价值",H107,H109)</f>
        <v>550417</v>
      </c>
      <c r="N49" s="3657"/>
      <c r="O49" s="3657"/>
    </row>
    <row r="50" spans="1:35" ht="25.5" customHeight="1">
      <c r="A50" s="2524"/>
      <c r="B50" s="3702" t="s">
        <v>1342</v>
      </c>
      <c r="C50" s="3702"/>
      <c r="D50" s="2525"/>
      <c r="E50" s="332"/>
      <c r="F50" s="2418"/>
      <c r="G50" s="3686"/>
      <c r="H50" s="2307" t="s">
        <v>2117</v>
      </c>
      <c r="I50" s="2306"/>
      <c r="J50" s="3657" t="s">
        <v>3407</v>
      </c>
      <c r="K50" s="3657"/>
      <c r="L50" s="3657"/>
      <c r="M50" s="3657"/>
      <c r="N50" s="3657"/>
      <c r="O50" s="3657"/>
    </row>
    <row r="51" spans="1:35" ht="20.45" customHeight="1">
      <c r="A51" s="2526"/>
      <c r="B51" s="3702" t="s">
        <v>1343</v>
      </c>
      <c r="C51" s="3702"/>
      <c r="D51" s="1083"/>
      <c r="E51" s="327"/>
      <c r="F51" s="2418"/>
      <c r="G51" s="3687"/>
      <c r="H51" s="2307" t="s">
        <v>2118</v>
      </c>
      <c r="I51" s="2306"/>
      <c r="J51" s="174" t="s">
        <v>3408</v>
      </c>
      <c r="K51" s="3655" t="s">
        <v>3409</v>
      </c>
      <c r="L51" s="3655"/>
      <c r="M51" s="174" t="s">
        <v>3415</v>
      </c>
      <c r="N51" s="174" t="s">
        <v>3410</v>
      </c>
      <c r="O51" s="174" t="s">
        <v>3411</v>
      </c>
    </row>
    <row r="52" spans="1:35" ht="24" customHeight="1">
      <c r="A52" s="2330" t="s">
        <v>1344</v>
      </c>
      <c r="B52" s="3702" t="s">
        <v>1345</v>
      </c>
      <c r="C52" s="3702"/>
      <c r="D52" s="1083">
        <f ca="1">ROUND(D45*'数据-取费表'!B41/(1+'数据-取费表'!C42),0)</f>
        <v>16439</v>
      </c>
      <c r="E52" s="2329" t="s">
        <v>1346</v>
      </c>
      <c r="F52" s="2527">
        <f>'数据-取费表'!B41</f>
        <v>5.6000000000000001E-2</v>
      </c>
      <c r="G52" s="2528"/>
      <c r="H52" s="2517"/>
      <c r="I52" s="1802"/>
      <c r="J52" s="170">
        <v>1</v>
      </c>
      <c r="K52" s="3679" t="s">
        <v>3416</v>
      </c>
      <c r="L52" s="3679"/>
      <c r="M52" s="170">
        <f ca="1">D48</f>
        <v>16439</v>
      </c>
      <c r="N52" s="170" t="str">
        <f>E48</f>
        <v>(销售额-原购置价)×税（费）率</v>
      </c>
      <c r="O52" s="3442">
        <f>F48</f>
        <v>5.6000000000000001E-2</v>
      </c>
    </row>
    <row r="53" spans="1:35" ht="12" customHeight="1">
      <c r="A53" s="2330" t="s">
        <v>1347</v>
      </c>
      <c r="B53" s="3703" t="s">
        <v>2269</v>
      </c>
      <c r="C53" s="3704"/>
      <c r="D53" s="1083">
        <f ca="1">ROUND(D45*'数据-取费表'!B41/(1+'数据-取费表'!C42),0)</f>
        <v>16439</v>
      </c>
      <c r="E53" s="2329" t="s">
        <v>1346</v>
      </c>
      <c r="F53" s="2527">
        <f>'数据-取费表'!B41</f>
        <v>5.6000000000000001E-2</v>
      </c>
      <c r="G53" s="2528"/>
      <c r="H53" s="2517"/>
      <c r="I53" s="1802"/>
      <c r="J53" s="170">
        <v>2</v>
      </c>
      <c r="K53" s="3679" t="s">
        <v>3417</v>
      </c>
      <c r="L53" s="3679"/>
      <c r="M53" s="170">
        <f t="shared" ref="M53:O54" ca="1" si="0">D55</f>
        <v>154</v>
      </c>
      <c r="N53" s="170" t="str">
        <f t="shared" si="0"/>
        <v>销售额×税（费）率</v>
      </c>
      <c r="O53" s="3442">
        <f t="shared" si="0"/>
        <v>5.0000000000000001E-4</v>
      </c>
    </row>
    <row r="54" spans="1:35" ht="12" customHeight="1">
      <c r="A54" s="2330" t="s">
        <v>1348</v>
      </c>
      <c r="B54" s="3703" t="s">
        <v>2270</v>
      </c>
      <c r="C54" s="3704"/>
      <c r="D54" s="1083">
        <f ca="1">C68</f>
        <v>16439</v>
      </c>
      <c r="E54" s="327" t="s">
        <v>1349</v>
      </c>
      <c r="F54" s="2527">
        <f>'数据-取费表'!B41</f>
        <v>5.6000000000000001E-2</v>
      </c>
      <c r="G54" s="2528"/>
      <c r="H54" s="2529"/>
      <c r="I54" s="1802"/>
      <c r="J54" s="170">
        <v>3</v>
      </c>
      <c r="K54" s="3679" t="s">
        <v>3418</v>
      </c>
      <c r="L54" s="3679"/>
      <c r="M54" s="170">
        <f>D56</f>
        <v>0</v>
      </c>
      <c r="N54" s="170" t="str">
        <f t="shared" si="0"/>
        <v>增值额×税（费）率</v>
      </c>
      <c r="O54" s="3443" t="str">
        <f t="shared" si="0"/>
        <v>——</v>
      </c>
    </row>
    <row r="55" spans="1:35" ht="24" customHeight="1">
      <c r="A55" s="3739" t="s">
        <v>1350</v>
      </c>
      <c r="B55" s="3717"/>
      <c r="C55" s="3717"/>
      <c r="D55" s="2319">
        <f ca="1">IF(H55="个人住宅",0,ROUND(D45*I55,0))</f>
        <v>154</v>
      </c>
      <c r="E55" s="2329" t="s">
        <v>1351</v>
      </c>
      <c r="F55" s="2527">
        <f>IF(H55="正常",I55,"免征")</f>
        <v>5.0000000000000001E-4</v>
      </c>
      <c r="G55" s="2528"/>
      <c r="H55" s="2523" t="s">
        <v>3391</v>
      </c>
      <c r="I55" s="165">
        <f>'数据-取费表'!B49</f>
        <v>5.0000000000000001E-4</v>
      </c>
      <c r="J55" s="170" t="str">
        <f>IF(H59="非个人房产","",4)</f>
        <v/>
      </c>
      <c r="K55" s="3679" t="str">
        <f>IF(H59="非个人房产","——","个人所得税")</f>
        <v>——</v>
      </c>
      <c r="L55" s="3679"/>
      <c r="M55" s="2025" t="str">
        <f>D59</f>
        <v>——</v>
      </c>
      <c r="N55" s="2025" t="str">
        <f>E59</f>
        <v>——</v>
      </c>
      <c r="O55" s="3444" t="str">
        <f>F59</f>
        <v>——</v>
      </c>
    </row>
    <row r="56" spans="1:35" ht="24.75">
      <c r="A56" s="3739" t="s">
        <v>1352</v>
      </c>
      <c r="B56" s="3717"/>
      <c r="C56" s="3717"/>
      <c r="D56" s="2319">
        <f>IF(H56="个人住宅",D57,D58)</f>
        <v>0</v>
      </c>
      <c r="E56" s="2329" t="s">
        <v>1353</v>
      </c>
      <c r="F56" s="2527" t="str">
        <f>IF(H56="正常",F58,"免征")</f>
        <v>——</v>
      </c>
      <c r="G56" s="2530" t="s">
        <v>1354</v>
      </c>
      <c r="H56" s="2531" t="s">
        <v>3391</v>
      </c>
      <c r="I56" s="1803"/>
      <c r="J56" s="170" t="str">
        <f>IF(项目基本情况!K6="上海银行",IF(J55="",4,J55+1),"")</f>
        <v/>
      </c>
      <c r="K56" s="3660" t="str">
        <f>IF(项目基本情况!K6="上海银行","其他处置费用","")</f>
        <v/>
      </c>
      <c r="L56" s="3661"/>
      <c r="M56" s="170" t="str">
        <f>IF(项目基本情况!K6="上海银行",M69,"")</f>
        <v/>
      </c>
      <c r="N56" s="3660" t="str">
        <f>IF(项目基本情况!K6="上海银行","包含处置中涉及的律师、诉讼、拍卖、评估等费用","")</f>
        <v/>
      </c>
      <c r="O56" s="3663"/>
    </row>
    <row r="57" spans="1:35" ht="12.75">
      <c r="A57" s="2330" t="s">
        <v>1339</v>
      </c>
      <c r="B57" s="3703" t="s">
        <v>1355</v>
      </c>
      <c r="C57" s="3704"/>
      <c r="D57" s="1585">
        <v>0</v>
      </c>
      <c r="E57" s="324" t="s">
        <v>1341</v>
      </c>
      <c r="F57" s="302"/>
      <c r="G57" s="2528"/>
      <c r="H57" s="2532"/>
      <c r="I57" s="1803"/>
      <c r="J57" s="3679">
        <f>IF(AND(J55="",J56=""),4,IF(项目基本情况!K6="上海银行",结果表!J56+1,结果表!J55+1))</f>
        <v>4</v>
      </c>
      <c r="K57" s="3679" t="s">
        <v>3419</v>
      </c>
      <c r="L57" s="2553" t="s">
        <v>3412</v>
      </c>
      <c r="M57" s="3445"/>
      <c r="N57" s="3446">
        <f ca="1">SUMIF(M52:M56,"&lt;9e307")</f>
        <v>16593</v>
      </c>
      <c r="O57" s="3447"/>
      <c r="P57" s="2661">
        <f ca="1">N57/M49</f>
        <v>3.0146234582144084E-2</v>
      </c>
    </row>
    <row r="58" spans="1:35" ht="24.75">
      <c r="A58" s="2330" t="s">
        <v>1344</v>
      </c>
      <c r="B58" s="3703" t="s">
        <v>1356</v>
      </c>
      <c r="C58" s="3702"/>
      <c r="D58" s="3481">
        <v>0</v>
      </c>
      <c r="E58" s="2329" t="s">
        <v>1353</v>
      </c>
      <c r="F58" s="302" t="s">
        <v>28</v>
      </c>
      <c r="G58" s="2528"/>
      <c r="H58" s="2531" t="s">
        <v>4174</v>
      </c>
      <c r="I58" s="1803"/>
      <c r="J58" s="3679"/>
      <c r="K58" s="3679"/>
      <c r="L58" s="2553" t="s">
        <v>3413</v>
      </c>
      <c r="M58" s="2553"/>
      <c r="N58" s="3448" t="str">
        <f ca="1">NUMBERSTRING(INT(N57*10000),2)&amp;"元整"</f>
        <v>壹亿陆仟伍佰玖拾叁万元整</v>
      </c>
      <c r="O58" s="2092"/>
    </row>
    <row r="59" spans="1:35" ht="24.75" thickBot="1">
      <c r="A59" s="3683" t="s">
        <v>1357</v>
      </c>
      <c r="B59" s="3684"/>
      <c r="C59" s="3684"/>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3405</v>
      </c>
      <c r="I59" s="2308" t="s">
        <v>2119</v>
      </c>
      <c r="J59" s="3681">
        <f>J57+1</f>
        <v>5</v>
      </c>
      <c r="K59" s="3679" t="s">
        <v>3420</v>
      </c>
      <c r="L59" s="170" t="s">
        <v>3412</v>
      </c>
      <c r="M59" s="3449"/>
      <c r="N59" s="3450">
        <f ca="1">M49-N57</f>
        <v>533824</v>
      </c>
      <c r="O59" s="3451"/>
    </row>
    <row r="60" spans="1:35" ht="12" customHeight="1">
      <c r="A60" s="1804"/>
      <c r="B60" s="1742"/>
      <c r="C60" s="1742"/>
      <c r="D60" s="1742"/>
      <c r="E60" s="1573"/>
      <c r="F60" s="1803"/>
      <c r="G60" s="1803"/>
      <c r="H60" s="1805"/>
      <c r="I60" s="129"/>
      <c r="J60" s="3682"/>
      <c r="K60" s="3679"/>
      <c r="L60" s="2553" t="s">
        <v>3413</v>
      </c>
      <c r="M60" s="2553"/>
      <c r="N60" s="3448" t="str">
        <f ca="1">NUMBERSTRING(INT(N59*10000),2)&amp;"元整"</f>
        <v>伍拾叁亿叁仟捌佰贰拾肆万元整</v>
      </c>
      <c r="O60" s="2092"/>
    </row>
    <row r="61" spans="1:35" ht="13.5" thickBot="1">
      <c r="A61" s="3738" t="s">
        <v>1358</v>
      </c>
      <c r="B61" s="3738"/>
      <c r="C61" s="3738"/>
      <c r="D61" s="3738"/>
      <c r="E61" s="3738"/>
      <c r="F61" s="1803"/>
      <c r="G61" s="1803"/>
      <c r="H61" s="1805"/>
      <c r="I61" s="129"/>
      <c r="J61" s="170">
        <f>J59+1</f>
        <v>6</v>
      </c>
      <c r="K61" s="3679" t="s">
        <v>3421</v>
      </c>
      <c r="L61" s="3679"/>
      <c r="M61" s="3452"/>
      <c r="N61" s="3453">
        <f ca="1">ROUND(N59*10000/'数据-汇总表'!E3,0)</f>
        <v>63269</v>
      </c>
      <c r="O61" s="3454"/>
    </row>
    <row r="62" spans="1:35" ht="12.75">
      <c r="A62" s="3698" t="s">
        <v>1359</v>
      </c>
      <c r="B62" s="3699"/>
      <c r="C62" s="2016"/>
      <c r="D62" s="2016" t="s">
        <v>1360</v>
      </c>
      <c r="E62" s="166" t="s">
        <v>1361</v>
      </c>
      <c r="F62" s="1803"/>
      <c r="G62" s="1803"/>
      <c r="H62" s="1805"/>
      <c r="I62" s="129"/>
    </row>
    <row r="63" spans="1:35" ht="12.75">
      <c r="A63" s="173" t="s">
        <v>330</v>
      </c>
      <c r="B63" s="167" t="s">
        <v>1362</v>
      </c>
      <c r="C63" s="2537">
        <f ca="1">ROUND((C64+C65)/(1+'数据-取费表'!C42),0)</f>
        <v>293556</v>
      </c>
      <c r="D63" s="167"/>
      <c r="E63" s="168"/>
      <c r="F63" s="1803"/>
      <c r="G63" s="1803"/>
      <c r="H63" s="1805"/>
      <c r="I63" s="129"/>
      <c r="J63" s="3662" t="s">
        <v>1363</v>
      </c>
      <c r="K63" s="1327" t="s">
        <v>1364</v>
      </c>
      <c r="L63" s="1327">
        <f ca="1">IF(M49&gt;10000,M49*0.5%,IF(AND(M49&gt;1000,M49&lt;=10000),M49*1%,IF(AND(M49&gt;100,M49&lt;=1000),M49*3%,IF(AND(M49&gt;10,M49&lt;=100),M49*5%,M49*8%))))</f>
        <v>2752.085</v>
      </c>
      <c r="M63" s="302">
        <f ca="1">ROUND(L63,1)</f>
        <v>2752.1</v>
      </c>
      <c r="N63" s="2516"/>
      <c r="Z63" s="1747"/>
      <c r="AI63" s="1748"/>
    </row>
    <row r="64" spans="1:35" ht="14.25" customHeight="1">
      <c r="A64" s="169" t="s">
        <v>325</v>
      </c>
      <c r="B64" s="170" t="s">
        <v>1365</v>
      </c>
      <c r="C64" s="2538">
        <f ca="1">D45</f>
        <v>308234</v>
      </c>
      <c r="D64" s="170" t="s">
        <v>26</v>
      </c>
      <c r="E64" s="172"/>
      <c r="F64" s="1803"/>
      <c r="G64" s="1803"/>
      <c r="H64" s="1805"/>
      <c r="I64" s="129"/>
      <c r="J64" s="3662"/>
      <c r="K64" s="1327" t="s">
        <v>1366</v>
      </c>
      <c r="L64" s="1327">
        <f ca="1">IF(M49&gt;2000,M49*0.5%,IF(AND(M49&gt;1000,M49&lt;=2000),M49*0.6%,IF(AND(M49&gt;500,M49&lt;=1000),M49*0.7%,IF(AND(M49&gt;200,M49&lt;=500),M49*0.8%,IF(AND(M49&gt;100,M49&lt;=200),M49*0.9%,IF(AND(M49&gt;50,M49&lt;=100),M49*1%,IF(AND(M49&gt;20,M49&lt;=50),M49*1.5%,IF(AND(M49&gt;10,M49&lt;=20),M49*2%,IF(AND(M49&gt;1,M49&lt;=10),M49*2.5%)))))))))</f>
        <v>2752.085</v>
      </c>
      <c r="M64" s="302">
        <f t="shared" ref="M64:M65" ca="1" si="1">ROUND(L64,1)</f>
        <v>2752.1</v>
      </c>
      <c r="N64" s="2517" t="s">
        <v>1367</v>
      </c>
      <c r="Z64" s="1747"/>
      <c r="AI64" s="1748"/>
    </row>
    <row r="65" spans="1:35" ht="14.25" customHeight="1">
      <c r="A65" s="169" t="s">
        <v>326</v>
      </c>
      <c r="B65" s="170" t="s">
        <v>1368</v>
      </c>
      <c r="C65" s="2539"/>
      <c r="D65" s="170"/>
      <c r="E65" s="172"/>
      <c r="F65" s="1803"/>
      <c r="G65" s="1803"/>
      <c r="H65" s="1805"/>
      <c r="I65" s="129"/>
      <c r="J65" s="3662"/>
      <c r="K65" s="1327" t="s">
        <v>1369</v>
      </c>
      <c r="L65" s="1327">
        <f ca="1">IF(M49&gt;1000,M49*0.1%,IF(AND(M49&gt;500,M49&lt;=1000),M49*0.5%,IF(AND(M49&gt;50,M49&lt;=500),M49*1%,IF(AND(M49&gt;1,M49&lt;=50),M49*1.5%))))</f>
        <v>550.41700000000003</v>
      </c>
      <c r="M65" s="302">
        <f t="shared" ca="1" si="1"/>
        <v>550.4</v>
      </c>
      <c r="N65" s="2517" t="s">
        <v>1367</v>
      </c>
      <c r="Z65" s="1747"/>
      <c r="AI65" s="1748"/>
    </row>
    <row r="66" spans="1:35" ht="14.25" customHeight="1">
      <c r="A66" s="173" t="s">
        <v>327</v>
      </c>
      <c r="B66" s="174" t="s">
        <v>1370</v>
      </c>
      <c r="C66" s="2540"/>
      <c r="D66" s="174" t="s">
        <v>26</v>
      </c>
      <c r="E66" s="1333" t="s">
        <v>671</v>
      </c>
      <c r="F66" s="1803"/>
      <c r="G66" s="1803"/>
      <c r="H66" s="1805"/>
      <c r="I66" s="129"/>
      <c r="J66" s="3662"/>
      <c r="K66" s="1327" t="s">
        <v>1371</v>
      </c>
      <c r="L66" s="1327">
        <f ca="1">M49*0.5%</f>
        <v>2752.085</v>
      </c>
      <c r="M66" s="302">
        <f ca="1">IF(L66&gt;0.5,0.5,ROUND(L66,0))</f>
        <v>0.5</v>
      </c>
      <c r="N66" s="2517" t="s">
        <v>1372</v>
      </c>
      <c r="Z66" s="1747"/>
      <c r="AI66" s="1748"/>
    </row>
    <row r="67" spans="1:35" ht="14.25" customHeight="1">
      <c r="A67" s="173" t="s">
        <v>328</v>
      </c>
      <c r="B67" s="174" t="s">
        <v>1373</v>
      </c>
      <c r="C67" s="2541">
        <f ca="1">C63-C66</f>
        <v>293556</v>
      </c>
      <c r="D67" s="170" t="s">
        <v>26</v>
      </c>
      <c r="E67" s="172"/>
      <c r="F67" s="1803"/>
      <c r="G67" s="1803"/>
      <c r="H67" s="1805"/>
      <c r="I67" s="129"/>
      <c r="J67" s="3662"/>
      <c r="K67" s="1327" t="s">
        <v>1374</v>
      </c>
      <c r="L67" s="1327">
        <f ca="1">IF(M49&gt;=10000,(8.25+(M49-10000)*0.01%),IF(AND(M49&gt;=8000,M49&lt;10000),(7.85+(M49-8000)*0.02%),IF(AND(M49&gt;=5000,M49&lt;8000),(6.65+(M49-5000)*0.04%),IF(AND(M49&gt;=2000,M49&lt;5000),(4.25+(PM49-2000)*0.08%),IF(AND(M49&gt;=1000,M49&lt;2000),(2.75+(M49-1000)*0.15%),IF(AND(M49&gt;=100,M49&lt;1000),(0.5+(M49-100)*0.25%),IF(AND(M49&gt;0,M49&lt;100),M49*0.5%)))))))</f>
        <v>62.291700000000006</v>
      </c>
      <c r="M67" s="302">
        <f ca="1">ROUND(L67*0.9,1)</f>
        <v>56.1</v>
      </c>
      <c r="N67" s="2516"/>
      <c r="Z67" s="1747"/>
      <c r="AI67" s="1748"/>
    </row>
    <row r="68" spans="1:35" ht="14.25" customHeight="1" thickBot="1">
      <c r="A68" s="176" t="s">
        <v>329</v>
      </c>
      <c r="B68" s="177" t="s">
        <v>1375</v>
      </c>
      <c r="C68" s="2542">
        <f ca="1">IF(C67&lt;=0,0,ROUND(C67*D68,0))</f>
        <v>16439</v>
      </c>
      <c r="D68" s="2543">
        <f>'数据-取费表'!B41</f>
        <v>5.6000000000000001E-2</v>
      </c>
      <c r="E68" s="178"/>
      <c r="F68" s="1803"/>
      <c r="G68" s="1803"/>
      <c r="H68" s="1805"/>
      <c r="I68" s="129"/>
      <c r="J68" s="3662"/>
      <c r="K68" s="1327" t="s">
        <v>1376</v>
      </c>
      <c r="L68" s="1327">
        <f ca="1">IF(M49&gt;10000,M49*0.5%,IF(AND(M49&gt;5000,M49&lt;=10000),M49*1%,IF(AND(M49&gt;1000,M49&lt;=5000),M49*2%,IF(AND(M49&gt;200,M49&lt;=1000),M49*3%,M49*5%))))</f>
        <v>2752.085</v>
      </c>
      <c r="M68" s="302">
        <f ca="1">ROUND(L68,1)</f>
        <v>2752.1</v>
      </c>
      <c r="N68" s="2516"/>
      <c r="Z68" s="1747"/>
      <c r="AI68" s="1748"/>
    </row>
    <row r="69" spans="1:35" s="1767" customFormat="1" ht="16.5" customHeight="1">
      <c r="A69" s="1806"/>
      <c r="B69" s="1807"/>
      <c r="C69" s="1808"/>
      <c r="D69" s="1809"/>
      <c r="E69" s="1810"/>
      <c r="F69" s="1573"/>
      <c r="G69" s="1573"/>
      <c r="H69" s="1572"/>
      <c r="I69" s="1742"/>
      <c r="J69" s="3662"/>
      <c r="K69" s="1327" t="s">
        <v>1377</v>
      </c>
      <c r="L69" s="1327"/>
      <c r="M69" s="302">
        <f ca="1">ROUND(SUM(M63:M68),0)</f>
        <v>8863</v>
      </c>
      <c r="N69" s="2518">
        <f ca="1">M69/M49</f>
        <v>1.6102336955435607E-2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06" t="s">
        <v>1378</v>
      </c>
      <c r="B70" s="3707"/>
      <c r="C70" s="3707"/>
      <c r="D70" s="3707"/>
      <c r="E70" s="3707"/>
      <c r="F70" s="3707"/>
      <c r="G70" s="3707"/>
      <c r="H70" s="3707"/>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8" t="s">
        <v>1359</v>
      </c>
      <c r="B71" s="3699"/>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1379</v>
      </c>
      <c r="C72" s="2541">
        <f ca="1">ROUND(D45/(1+'数据-取费表'!C42),0)</f>
        <v>293556</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1380</v>
      </c>
      <c r="C73" s="2541">
        <f ca="1">C74+C78</f>
        <v>1761</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703" t="s">
        <v>1386</v>
      </c>
      <c r="F76" s="3702"/>
      <c r="G76" s="3702"/>
      <c r="H76" s="3705"/>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1761</v>
      </c>
      <c r="D78" s="2549">
        <f>'数据-取费表'!B43</f>
        <v>6.000000000000001E-3</v>
      </c>
      <c r="E78" s="3695" t="s">
        <v>1390</v>
      </c>
      <c r="F78" s="3696"/>
      <c r="G78" s="3696"/>
      <c r="H78" s="369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1391</v>
      </c>
      <c r="C79" s="2541">
        <f ca="1">C72-C73</f>
        <v>291795</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165.6984667802385</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1393</v>
      </c>
      <c r="C81" s="2551">
        <f ca="1">ROUND(IF(C79&lt;=0,0,IF(C80&gt;=200%,C79*60%-C73*35%,IF(C80&gt;=100%,C79*50%-C73*15%,IF(C80&gt;=50%,C79*40%-C73*5%,IF(C80&lt;50%,C79*30%,0))))),0)</f>
        <v>174461</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6" t="s">
        <v>1394</v>
      </c>
      <c r="B83" s="3707"/>
      <c r="C83" s="3707"/>
      <c r="D83" s="3707"/>
      <c r="E83" s="3707"/>
      <c r="F83" s="3707"/>
      <c r="G83" s="3707"/>
      <c r="H83" s="3707"/>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8" t="s">
        <v>1359</v>
      </c>
      <c r="B84" s="3699"/>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1379</v>
      </c>
      <c r="C85" s="2541">
        <f ca="1">ROUND(D45/(1+'数据-取费表'!C42),0)</f>
        <v>293556</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1380</v>
      </c>
      <c r="C86" s="2541">
        <f ca="1">IF(H88="仅含出让金",C87+C90+C91+C92+C93+C94,C87+C91+C92+C93+C94)</f>
        <v>789691</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1396</v>
      </c>
      <c r="C88" s="2554">
        <v>200000</v>
      </c>
      <c r="D88" s="2549"/>
      <c r="E88" s="193" t="s">
        <v>1397</v>
      </c>
      <c r="F88" s="2322"/>
      <c r="G88" s="194" t="s">
        <v>1398</v>
      </c>
      <c r="H88" s="1819" t="s">
        <v>4207</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1400</v>
      </c>
      <c r="C90" s="2554"/>
      <c r="D90" s="2549"/>
      <c r="E90" s="193" t="str">
        <f>IF(H88="-","土地取得成本中已包含该笔费用"," ")</f>
        <v xml:space="preserve"> </v>
      </c>
      <c r="F90" s="2322"/>
      <c r="G90" s="3664" t="s">
        <v>2111</v>
      </c>
      <c r="H90" s="3665"/>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400000</v>
      </c>
      <c r="D91" s="2549"/>
      <c r="E91" s="3695" t="s">
        <v>1403</v>
      </c>
      <c r="F91" s="3696"/>
      <c r="G91" s="3696"/>
      <c r="H91" s="1820" t="s">
        <v>4312</v>
      </c>
      <c r="I91" s="1821">
        <v>400000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60610</v>
      </c>
      <c r="D92" s="2555">
        <v>0.1</v>
      </c>
      <c r="E92" s="3695" t="s">
        <v>1406</v>
      </c>
      <c r="F92" s="3696"/>
      <c r="G92" s="3696"/>
      <c r="H92" s="3697"/>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1761</v>
      </c>
      <c r="D93" s="2549">
        <f>'数据-取费表'!B43</f>
        <v>6.000000000000001E-3</v>
      </c>
      <c r="E93" s="3695" t="s">
        <v>1390</v>
      </c>
      <c r="F93" s="3696"/>
      <c r="G93" s="3696"/>
      <c r="H93" s="369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121220</v>
      </c>
      <c r="D94" s="2549">
        <v>0.2</v>
      </c>
      <c r="E94" s="3740" t="s">
        <v>1410</v>
      </c>
      <c r="F94" s="3741"/>
      <c r="G94" s="3741"/>
      <c r="H94" s="374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1391</v>
      </c>
      <c r="C95" s="2541">
        <f ca="1">ROUND(C85-C86,0)</f>
        <v>-496135</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44" t="s">
        <v>1412</v>
      </c>
      <c r="B100" s="3645"/>
      <c r="C100" s="3645"/>
      <c r="D100" s="3680"/>
      <c r="E100" s="3645" t="s">
        <v>1413</v>
      </c>
      <c r="F100" s="3645"/>
      <c r="G100" s="3645"/>
      <c r="H100" s="3680"/>
      <c r="I100" s="129"/>
    </row>
    <row r="101" spans="1:35" ht="18.75" customHeight="1">
      <c r="A101" s="3688" t="s">
        <v>1414</v>
      </c>
      <c r="B101" s="3689"/>
      <c r="C101" s="2557" t="str">
        <f>C4</f>
        <v>比较法-办公（大宗）</v>
      </c>
      <c r="D101" s="2558" t="str">
        <f>D4</f>
        <v>收益法（汇总）</v>
      </c>
      <c r="E101" s="3658" t="s">
        <v>1415</v>
      </c>
      <c r="F101" s="3659"/>
      <c r="G101" s="1822" t="s">
        <v>1416</v>
      </c>
      <c r="H101" s="2567">
        <f ca="1">H118</f>
        <v>550417</v>
      </c>
      <c r="I101" s="129"/>
    </row>
    <row r="102" spans="1:35" ht="18.75" customHeight="1">
      <c r="A102" s="3690" t="s">
        <v>1417</v>
      </c>
      <c r="B102" s="2556" t="s">
        <v>1416</v>
      </c>
      <c r="C102" s="2557">
        <f ca="1">IF(D32="楼面单价",ROUND(C19,0),C19)</f>
        <v>588536</v>
      </c>
      <c r="D102" s="2558">
        <f ca="1">IF(D32="楼面单价",ROUND(D19,0),D19)</f>
        <v>461472</v>
      </c>
      <c r="E102" s="3658"/>
      <c r="F102" s="3659"/>
      <c r="G102" s="1822" t="s">
        <v>1418</v>
      </c>
      <c r="H102" s="2528">
        <f ca="1">I118</f>
        <v>65236</v>
      </c>
      <c r="I102" s="129"/>
    </row>
    <row r="103" spans="1:35" ht="42.75" customHeight="1">
      <c r="A103" s="3690"/>
      <c r="B103" s="2556" t="s">
        <v>1418</v>
      </c>
      <c r="C103" s="2559">
        <f ca="1">C20</f>
        <v>69754</v>
      </c>
      <c r="D103" s="2560">
        <f ca="1">D20</f>
        <v>54694</v>
      </c>
      <c r="E103" s="3650" t="s">
        <v>1419</v>
      </c>
      <c r="F103" s="3651"/>
      <c r="G103" s="1823" t="s">
        <v>1420</v>
      </c>
      <c r="H103" s="2567">
        <f>IF(D36="正常操作",H104+H105+H106,H105+H106)</f>
        <v>0</v>
      </c>
      <c r="I103" s="129"/>
    </row>
    <row r="104" spans="1:35" ht="18.75" customHeight="1">
      <c r="A104" s="3690" t="s">
        <v>1421</v>
      </c>
      <c r="B104" s="2561" t="s">
        <v>1416</v>
      </c>
      <c r="C104" s="2562">
        <f ca="1">H118</f>
        <v>550417</v>
      </c>
      <c r="D104" s="2563"/>
      <c r="E104" s="1669" t="s">
        <v>1422</v>
      </c>
      <c r="F104" s="1661"/>
      <c r="G104" s="1823" t="s">
        <v>1420</v>
      </c>
      <c r="H104" s="2568">
        <f>IF(D36="同一抵押权人同一抵押物续贷",C36&amp;"（续贷，未扣减，详见特别提示）",C36)</f>
        <v>0</v>
      </c>
      <c r="I104" s="129"/>
    </row>
    <row r="105" spans="1:35" ht="18.75" customHeight="1" thickBot="1">
      <c r="A105" s="3700"/>
      <c r="B105" s="2564" t="s">
        <v>1418</v>
      </c>
      <c r="C105" s="2565">
        <f ca="1">I118</f>
        <v>65236</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691" t="str">
        <f>IF(项目基本情况!E8="已注销","——","3.房地产抵押价值")</f>
        <v>3.房地产抵押价值</v>
      </c>
      <c r="F107" s="3659"/>
      <c r="G107" s="1822" t="s">
        <v>1416</v>
      </c>
      <c r="H107" s="2567">
        <f ca="1">IF(E107="——","——",H101-H103)</f>
        <v>550417</v>
      </c>
      <c r="I107" s="129"/>
    </row>
    <row r="108" spans="1:35" ht="18.75" customHeight="1">
      <c r="A108" s="129"/>
      <c r="B108" s="129"/>
      <c r="C108" s="129"/>
      <c r="D108" s="129"/>
      <c r="E108" s="3691"/>
      <c r="F108" s="3659"/>
      <c r="G108" s="1822" t="s">
        <v>1418</v>
      </c>
      <c r="H108" s="2528">
        <f ca="1">IF(H107=H101,H102,ROUND(H107*10000/'数据-汇总表'!E3,0))</f>
        <v>65236</v>
      </c>
      <c r="I108" s="129"/>
    </row>
    <row r="109" spans="1:35" ht="18.75" customHeight="1">
      <c r="A109" s="129"/>
      <c r="B109" s="129"/>
      <c r="C109" s="129"/>
      <c r="D109" s="129"/>
      <c r="E109" s="3691" t="str">
        <f>IF(项目基本情况!E8="已注销及未注销","4.抵押担保权已注销时的房地产抵押价值",IF(项目基本情况!E8="已注销","3.抵押担保权已注销时的房地产抵押价值","——"))</f>
        <v>——</v>
      </c>
      <c r="F109" s="3659"/>
      <c r="G109" s="1822" t="s">
        <v>1416</v>
      </c>
      <c r="H109" s="2570" t="str">
        <f>IF(E109="——","——",H101-H105-H106)</f>
        <v>——</v>
      </c>
      <c r="I109" s="129"/>
    </row>
    <row r="110" spans="1:35" ht="18.75" customHeight="1">
      <c r="A110" s="129"/>
      <c r="B110" s="129"/>
      <c r="C110" s="129"/>
      <c r="D110" s="129"/>
      <c r="E110" s="3691"/>
      <c r="F110" s="3659"/>
      <c r="G110" s="1822" t="s">
        <v>1418</v>
      </c>
      <c r="H110" s="2528" t="str">
        <f>IF(H109="——","——",ROUND(H109*10000/'数据-汇总表'!E3,0))</f>
        <v>——</v>
      </c>
      <c r="I110" s="129"/>
    </row>
    <row r="111" spans="1:35" ht="18.75" customHeight="1">
      <c r="A111" s="129"/>
      <c r="B111" s="129"/>
      <c r="C111" s="129"/>
      <c r="D111" s="129"/>
      <c r="E111" s="3692" t="str">
        <f>IF(项目基本情况!E9="抵押净值",IF(OR(项目基本情况!E8="已注销",项目基本情况!E8="房地产抵押价值"),"4.抵押净值","5.抵押净值"),"——")</f>
        <v>4.抵押净值</v>
      </c>
      <c r="F111" s="3678"/>
      <c r="G111" s="1822" t="s">
        <v>1416</v>
      </c>
      <c r="H111" s="2567">
        <f ca="1">IF(E111="——","——",N59)</f>
        <v>533824</v>
      </c>
      <c r="I111" s="129"/>
    </row>
    <row r="112" spans="1:35" ht="18.75" customHeight="1" thickBot="1">
      <c r="A112" s="129"/>
      <c r="B112" s="129"/>
      <c r="C112" s="129"/>
      <c r="D112" s="129"/>
      <c r="E112" s="3693"/>
      <c r="F112" s="3694"/>
      <c r="G112" s="1825" t="s">
        <v>1418</v>
      </c>
      <c r="H112" s="2571">
        <f ca="1">IF(E111="——","——",N61)</f>
        <v>63269</v>
      </c>
      <c r="I112" s="129"/>
    </row>
    <row r="113" spans="1:27" ht="18.75" customHeight="1">
      <c r="A113" s="129"/>
      <c r="B113" s="129"/>
      <c r="C113" s="129"/>
      <c r="D113" s="129"/>
      <c r="E113" s="3701" t="s">
        <v>1424</v>
      </c>
      <c r="F113" s="3701"/>
      <c r="G113" s="3701"/>
      <c r="H113" s="3701"/>
      <c r="I113" s="129"/>
    </row>
    <row r="114" spans="1:27" ht="3.75" customHeight="1">
      <c r="A114" s="1742"/>
      <c r="B114" s="1742"/>
      <c r="C114" s="1742"/>
      <c r="D114" s="1742"/>
      <c r="E114" s="1804"/>
      <c r="F114" s="1804"/>
      <c r="G114" s="1804"/>
      <c r="H114" s="1804"/>
      <c r="I114" s="1742"/>
    </row>
    <row r="115" spans="1:27" ht="18.75" customHeight="1">
      <c r="A115" s="3709" t="s">
        <v>1426</v>
      </c>
      <c r="B115" s="3710"/>
      <c r="C115" s="3710"/>
      <c r="D115" s="3710"/>
      <c r="E115" s="3710"/>
      <c r="F115" s="3710"/>
      <c r="G115" s="3710"/>
      <c r="H115" s="3710"/>
      <c r="I115" s="3711"/>
    </row>
    <row r="116" spans="1:27" ht="27" customHeight="1">
      <c r="A116" s="3666" t="s">
        <v>1427</v>
      </c>
      <c r="B116" s="3670" t="s">
        <v>1428</v>
      </c>
      <c r="C116" s="3670" t="s">
        <v>1429</v>
      </c>
      <c r="D116" s="3676" t="s">
        <v>1430</v>
      </c>
      <c r="E116" s="3677"/>
      <c r="F116" s="3708" t="s">
        <v>1431</v>
      </c>
      <c r="G116" s="3708"/>
      <c r="H116" s="3666" t="s">
        <v>1432</v>
      </c>
      <c r="I116" s="3666"/>
    </row>
    <row r="117" spans="1:27" ht="18.75" customHeight="1">
      <c r="A117" s="3666"/>
      <c r="B117" s="3671"/>
      <c r="C117" s="3671"/>
      <c r="D117" s="2324" t="s">
        <v>1433</v>
      </c>
      <c r="E117" s="2324" t="s">
        <v>1434</v>
      </c>
      <c r="F117" s="2324" t="s">
        <v>1433</v>
      </c>
      <c r="G117" s="2324" t="s">
        <v>1435</v>
      </c>
      <c r="H117" s="2324" t="s">
        <v>1433</v>
      </c>
      <c r="I117" s="2324" t="s">
        <v>1435</v>
      </c>
    </row>
    <row r="118" spans="1:27" ht="24.75" customHeight="1">
      <c r="A118" s="2572" t="str">
        <f>项目基本情况!S2</f>
        <v>北京市西城区西直门外大街南路甲28号房地产</v>
      </c>
      <c r="B118" s="2324">
        <f>M18</f>
        <v>84373.10000000002</v>
      </c>
      <c r="C118" s="2324">
        <f>M19</f>
        <v>10591.91</v>
      </c>
      <c r="D118" s="2324">
        <f ca="1">ROUND(IF(D32="总价",C34,E118*B118/10000),0)</f>
        <v>439783</v>
      </c>
      <c r="E118" s="2324">
        <f ca="1">ROUND(IF(C33="自定义",IF(D32="楼面单价",C34,D118*10000/B118),I118-G118),0)</f>
        <v>52124</v>
      </c>
      <c r="F118" s="2324">
        <f ca="1">ROUND(IF(D32="总价",C35,G118*B118/10000),0)</f>
        <v>110634</v>
      </c>
      <c r="G118" s="2324">
        <f ca="1">ROUND(IF(D32="楼面单价",C35,F118*10000/B118),0)</f>
        <v>13112</v>
      </c>
      <c r="H118" s="2324">
        <f ca="1">ROUND(IF(D32="总价",C32,I118*B118/10000),0)</f>
        <v>550417</v>
      </c>
      <c r="I118" s="2324">
        <f ca="1">ROUND(IF(D32="楼面单价",C32,H118*10000/B118),0)</f>
        <v>65236</v>
      </c>
    </row>
    <row r="119" spans="1:27" ht="18.75" customHeight="1">
      <c r="A119" s="3666" t="s">
        <v>1436</v>
      </c>
      <c r="B119" s="3666"/>
      <c r="C119" s="3666"/>
      <c r="D119" s="3672" t="str">
        <f ca="1">NUMBERSTRING(INT(D118*10000),2)&amp;"元整"</f>
        <v>肆拾叁亿玖仟柒佰捌拾叁万元整</v>
      </c>
      <c r="E119" s="3673"/>
      <c r="F119" s="3672" t="str">
        <f ca="1">NUMBERSTRING(INT(F118*10000),2)&amp;"元整"</f>
        <v>壹拾壹亿零陆佰叁拾肆万元整</v>
      </c>
      <c r="G119" s="3673"/>
      <c r="H119" s="3672" t="str">
        <f ca="1">NUMBERSTRING(INT(H118*10000),2)&amp;"元整"</f>
        <v>伍拾伍亿零肆佰壹拾柒万元整</v>
      </c>
      <c r="I119" s="3673"/>
    </row>
    <row r="120" spans="1:27" ht="18.75" customHeight="1">
      <c r="A120" s="3667" t="str">
        <f>IF(项目基本情况!B9="房地产市场价值","",MID(E103,3,LEN(E103)-2))</f>
        <v/>
      </c>
      <c r="B120" s="3668"/>
      <c r="C120" s="3669"/>
      <c r="D120" s="3667">
        <f>H103</f>
        <v>0</v>
      </c>
      <c r="E120" s="3668"/>
      <c r="F120" s="3668"/>
      <c r="G120" s="3668"/>
      <c r="H120" s="3668"/>
      <c r="I120" s="3669"/>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72" t="s">
        <v>1436</v>
      </c>
      <c r="B121" s="3674"/>
      <c r="C121" s="3673"/>
      <c r="D121" s="3672" t="str">
        <f>IF(D120=0,"零元整",NUMBERSTRING(INT(D120*10000),2)&amp;"元整")</f>
        <v>零元整</v>
      </c>
      <c r="E121" s="3674"/>
      <c r="F121" s="3674"/>
      <c r="G121" s="3674"/>
      <c r="H121" s="3674"/>
      <c r="I121" s="3673"/>
      <c r="AA121" s="724"/>
    </row>
    <row r="122" spans="1:27" ht="18.75" customHeight="1">
      <c r="A122" s="3678" t="str">
        <f>IF(项目基本情况!B9="房地产市场价值","",MID(E107,3,LEN(E107)-2))</f>
        <v/>
      </c>
      <c r="B122" s="3678"/>
      <c r="C122" s="3678"/>
      <c r="D122" s="3667">
        <f ca="1">H107</f>
        <v>550417</v>
      </c>
      <c r="E122" s="3668"/>
      <c r="F122" s="3668"/>
      <c r="G122" s="3668"/>
      <c r="H122" s="3668"/>
      <c r="I122" s="3669"/>
      <c r="AA122" s="724"/>
    </row>
    <row r="123" spans="1:27" ht="18.75" customHeight="1">
      <c r="A123" s="3666" t="s">
        <v>1436</v>
      </c>
      <c r="B123" s="3666"/>
      <c r="C123" s="3666"/>
      <c r="D123" s="3672" t="str">
        <f ca="1">NUMBERSTRING(INT(D122*10000),2)&amp;"元整"</f>
        <v>伍拾伍亿零肆佰壹拾柒万元整</v>
      </c>
      <c r="E123" s="3674"/>
      <c r="F123" s="3674"/>
      <c r="G123" s="3674"/>
      <c r="H123" s="3674"/>
      <c r="I123" s="3673"/>
      <c r="AA123" s="724"/>
    </row>
    <row r="124" spans="1:27" ht="18.75" customHeight="1">
      <c r="A124" s="3678" t="str">
        <f>IF(项目基本情况!B9="房地产市场价值","",MID(E109,3,LEN(E109)-2))</f>
        <v/>
      </c>
      <c r="B124" s="3678"/>
      <c r="C124" s="3678"/>
      <c r="D124" s="3667" t="str">
        <f>H109</f>
        <v>——</v>
      </c>
      <c r="E124" s="3668"/>
      <c r="F124" s="3668"/>
      <c r="G124" s="3668"/>
      <c r="H124" s="3668"/>
      <c r="I124" s="3669"/>
      <c r="AA124" s="724"/>
    </row>
    <row r="125" spans="1:27" ht="18.75" customHeight="1">
      <c r="A125" s="3666" t="s">
        <v>1436</v>
      </c>
      <c r="B125" s="3666"/>
      <c r="C125" s="3666"/>
      <c r="D125" s="3672" t="e">
        <f>NUMBERSTRING(INT(D124*10000),2)&amp;"元整"</f>
        <v>#VALUE!</v>
      </c>
      <c r="E125" s="3674"/>
      <c r="F125" s="3674"/>
      <c r="G125" s="3674"/>
      <c r="H125" s="3674"/>
      <c r="I125" s="3673"/>
      <c r="AA125" s="724"/>
    </row>
    <row r="126" spans="1:27" ht="18.75" customHeight="1">
      <c r="A126" s="3678" t="str">
        <f>IF(项目基本情况!B9="房地产市场价值","",MID(E111,3,LEN(E111)-2))</f>
        <v/>
      </c>
      <c r="B126" s="3678"/>
      <c r="C126" s="3678"/>
      <c r="D126" s="3667">
        <f ca="1">H111</f>
        <v>533824</v>
      </c>
      <c r="E126" s="3668"/>
      <c r="F126" s="3668"/>
      <c r="G126" s="3668"/>
      <c r="H126" s="3668"/>
      <c r="I126" s="3669"/>
      <c r="AA126" s="724"/>
    </row>
    <row r="127" spans="1:27" ht="18.75" customHeight="1">
      <c r="A127" s="3666" t="s">
        <v>1436</v>
      </c>
      <c r="B127" s="3666"/>
      <c r="C127" s="3666"/>
      <c r="D127" s="3672" t="str">
        <f ca="1">NUMBERSTRING(INT(D126*10000),2)&amp;"元整"</f>
        <v>伍拾叁亿叁仟捌佰贰拾肆万元整</v>
      </c>
      <c r="E127" s="3674"/>
      <c r="F127" s="3674"/>
      <c r="G127" s="3674"/>
      <c r="H127" s="3674"/>
      <c r="I127" s="3673"/>
      <c r="AA127" s="724"/>
    </row>
    <row r="128" spans="1:27" ht="21.75" customHeight="1">
      <c r="A128" s="3675" t="s">
        <v>1437</v>
      </c>
      <c r="B128" s="3675"/>
      <c r="C128" s="3675"/>
      <c r="D128" s="3675"/>
      <c r="E128" s="3675"/>
      <c r="F128" s="3675"/>
      <c r="G128" s="3675"/>
      <c r="H128" s="3675"/>
      <c r="I128" s="3675"/>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74563.173699999999</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8837</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674985</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3">
        <f ca="1">ROUND(SUM(C23:C25),0)</f>
        <v>2392155</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23287</v>
      </c>
      <c r="D25" s="238"/>
      <c r="E25" s="241"/>
      <c r="F25" s="239"/>
      <c r="G25" s="242" t="s">
        <v>1572</v>
      </c>
    </row>
    <row r="26" spans="1:7" s="214" customFormat="1">
      <c r="A26" s="776"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4475149</v>
      </c>
      <c r="D27" s="235">
        <f ca="1">C29</f>
        <v>2.5999999999999999E-3</v>
      </c>
      <c r="E27" s="236" t="s">
        <v>1498</v>
      </c>
      <c r="F27" s="246">
        <f ca="1">IF(B1="",'数据-取费表'!Q16,INDIRECT("'数据-取费表'!q"&amp;$G$1))</f>
        <v>0.13</v>
      </c>
      <c r="G27" s="247" t="s">
        <v>1499</v>
      </c>
    </row>
    <row r="28" spans="1:7" s="214" customFormat="1" ht="13.5" customHeight="1">
      <c r="A28" s="776" t="s">
        <v>346</v>
      </c>
      <c r="B28" s="248" t="s">
        <v>1500</v>
      </c>
      <c r="C28" s="249">
        <f ca="1">ROUND((C5+C19+C20)*F27,0)</f>
        <v>4475149</v>
      </c>
      <c r="D28" s="235"/>
      <c r="E28" s="236"/>
      <c r="F28" s="246"/>
      <c r="G28" s="247"/>
    </row>
    <row r="29" spans="1:7" s="214" customFormat="1" ht="13.5" customHeight="1">
      <c r="A29" s="776" t="s">
        <v>347</v>
      </c>
      <c r="B29" s="248" t="s">
        <v>1501</v>
      </c>
      <c r="C29" s="238">
        <f ca="1">ROUND(C21*F27,4)</f>
        <v>2.5999999999999999E-3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44716839</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11120375</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19566299</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45" t="s">
        <v>1575</v>
      </c>
    </row>
    <row r="43" spans="1:7" ht="13.5" customHeight="1">
      <c r="A43" s="776" t="s">
        <v>347</v>
      </c>
      <c r="B43" s="215" t="s">
        <v>1529</v>
      </c>
      <c r="C43" s="238">
        <f ca="1">ROUND(IF('数据-取费表'!B22&lt;=1,C39*F22*'数据-取费表'!B20/2,C39*(POWER((1+F22),'数据-取费表'!B20/2)-1)),0)</f>
        <v>383653</v>
      </c>
      <c r="D43" s="238"/>
      <c r="E43" s="238"/>
      <c r="F43" s="239"/>
      <c r="G43" s="3746"/>
    </row>
    <row r="44" spans="1:7" ht="13.5" customHeight="1">
      <c r="A44" s="776" t="s">
        <v>348</v>
      </c>
      <c r="B44" s="215" t="s">
        <v>1530</v>
      </c>
      <c r="C44" s="238">
        <f ca="1">ROUND(IF('数据-取费表'!B22&lt;=1,C40*F22*'数据-取费表'!B20/2,C40*(POWER((1+F22),'数据-取费表'!B20/2)-1)),4)</f>
        <v>6.9999999999999999E-4</v>
      </c>
      <c r="D44" s="238"/>
      <c r="E44" s="238"/>
      <c r="F44" s="239"/>
      <c r="G44" s="3747"/>
    </row>
    <row r="45" spans="1:7" s="214" customFormat="1" ht="13.5" customHeight="1">
      <c r="A45" s="255" t="s">
        <v>1531</v>
      </c>
      <c r="B45" s="244" t="s">
        <v>1497</v>
      </c>
      <c r="C45" s="245">
        <f ca="1">C46</f>
        <v>73728084</v>
      </c>
      <c r="D45" s="235">
        <f ca="1">C47</f>
        <v>2.5999999999999999E-3</v>
      </c>
      <c r="E45" s="236" t="s">
        <v>1523</v>
      </c>
      <c r="F45" s="246">
        <f ca="1">F27</f>
        <v>0.13</v>
      </c>
      <c r="G45" s="247" t="s">
        <v>1532</v>
      </c>
    </row>
    <row r="46" spans="1:7" s="214" customFormat="1" ht="13.5" customHeight="1">
      <c r="A46" s="776" t="s">
        <v>346</v>
      </c>
      <c r="B46" s="248" t="s">
        <v>1533</v>
      </c>
      <c r="C46" s="249">
        <f ca="1">ROUND((C33+C39)*F27,0)</f>
        <v>73728084</v>
      </c>
      <c r="D46" s="263"/>
      <c r="E46" s="236"/>
      <c r="F46" s="246"/>
      <c r="G46" s="247"/>
    </row>
    <row r="47" spans="1:7" s="214" customFormat="1" ht="13.5" customHeight="1">
      <c r="A47" s="776" t="s">
        <v>347</v>
      </c>
      <c r="B47" s="248" t="s">
        <v>1534</v>
      </c>
      <c r="C47" s="238">
        <f ca="1">ROUND(C40*F27,4)</f>
        <v>2.5999999999999999E-3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715219284</v>
      </c>
      <c r="D49" s="232"/>
      <c r="E49" s="232"/>
      <c r="F49" s="264"/>
      <c r="G49" s="234" t="s">
        <v>1538</v>
      </c>
    </row>
    <row r="50" spans="1:7" s="258" customFormat="1">
      <c r="A50" s="255" t="s">
        <v>1539</v>
      </c>
      <c r="B50" s="210" t="s">
        <v>1540</v>
      </c>
      <c r="C50" s="232"/>
      <c r="D50" s="232"/>
      <c r="E50" s="232"/>
      <c r="F50" s="264">
        <f>IF('数据-取费表'!B24=0,'数据-取费表'!N16,1)</f>
        <v>0.98</v>
      </c>
      <c r="G50" s="247"/>
    </row>
    <row r="51" spans="1:7" ht="16.5" customHeight="1">
      <c r="A51" s="255" t="s">
        <v>1542</v>
      </c>
      <c r="B51" s="210" t="s">
        <v>1577</v>
      </c>
      <c r="C51" s="232">
        <f ca="1">ROUND(C49*F50,0)</f>
        <v>700914898</v>
      </c>
      <c r="D51" s="232"/>
      <c r="E51" s="232"/>
      <c r="F51" s="264"/>
      <c r="G51" s="234" t="s">
        <v>1544</v>
      </c>
    </row>
    <row r="52" spans="1:7" s="208" customFormat="1" ht="16.5" thickBot="1">
      <c r="A52" s="265" t="s">
        <v>1545</v>
      </c>
      <c r="B52" s="266"/>
      <c r="C52" s="267">
        <f ca="1">C31+C51</f>
        <v>745631737</v>
      </c>
      <c r="D52" s="266"/>
      <c r="E52" s="266"/>
      <c r="F52" s="266"/>
      <c r="G52" s="268"/>
    </row>
    <row r="55" spans="1:7" ht="15">
      <c r="B55" s="270" t="s">
        <v>1546</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5">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0.02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0.02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0.13</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748" t="s">
        <v>694</v>
      </c>
      <c r="C6" s="1070">
        <f ca="1">ROUND(F6*F8*F7*(1-F9),0)</f>
        <v>0</v>
      </c>
      <c r="D6" s="155" t="s">
        <v>2088</v>
      </c>
      <c r="E6" s="302" t="s">
        <v>696</v>
      </c>
      <c r="F6" s="303">
        <f ca="1">INDIRECT("'数据-取费表'!u"&amp;$G$1)</f>
        <v>0</v>
      </c>
      <c r="G6" s="1379"/>
      <c r="H6" s="1065" t="s">
        <v>398</v>
      </c>
      <c r="I6" s="3748" t="s">
        <v>694</v>
      </c>
      <c r="J6" s="301">
        <f ca="1">ROUND(M6*M8*M7*(1-M9),0)</f>
        <v>0</v>
      </c>
      <c r="K6" s="1371" t="s">
        <v>2089</v>
      </c>
      <c r="L6" s="302" t="s">
        <v>696</v>
      </c>
      <c r="M6" s="303">
        <f ca="1">INDIRECT("'数据-取费表'!z"&amp;$G$1)</f>
        <v>0</v>
      </c>
    </row>
    <row r="7" spans="1:37" ht="18" customHeight="1">
      <c r="A7" s="1069"/>
      <c r="B7" s="3749"/>
      <c r="C7" s="1071"/>
      <c r="D7" s="307"/>
      <c r="E7" s="1072" t="s">
        <v>697</v>
      </c>
      <c r="F7" s="303">
        <f ca="1">IF(INDIRECT("'数据-取费表'!ah"&amp;$G$1)="",INDIRECT("'数据-取费表'!k"&amp;$G$1),INDIRECT("'数据-取费表'!ah"&amp;$G$1))</f>
        <v>0</v>
      </c>
      <c r="G7" s="1379"/>
      <c r="H7" s="304"/>
      <c r="I7" s="3749"/>
      <c r="J7" s="306"/>
      <c r="K7" s="307"/>
      <c r="L7" s="302" t="s">
        <v>697</v>
      </c>
      <c r="M7" s="303">
        <f ca="1">F7</f>
        <v>0</v>
      </c>
    </row>
    <row r="8" spans="1:37" ht="18" customHeight="1">
      <c r="A8" s="304"/>
      <c r="B8" s="3749"/>
      <c r="C8" s="306"/>
      <c r="D8" s="307"/>
      <c r="E8" s="302" t="s">
        <v>698</v>
      </c>
      <c r="F8" s="303">
        <f ca="1">INDIRECT("'数据-取费表'!ai"&amp;$G$1)</f>
        <v>0</v>
      </c>
      <c r="G8" s="1379"/>
      <c r="H8" s="304"/>
      <c r="I8" s="3749"/>
      <c r="J8" s="306"/>
      <c r="K8" s="307"/>
      <c r="L8" s="302" t="s">
        <v>698</v>
      </c>
      <c r="M8" s="303">
        <f ca="1">INDIRECT("'数据-取费表'!ai"&amp;$G$1)</f>
        <v>0</v>
      </c>
    </row>
    <row r="9" spans="1:37" ht="18" customHeight="1">
      <c r="A9" s="304"/>
      <c r="B9" s="3750"/>
      <c r="C9" s="306"/>
      <c r="D9" s="307"/>
      <c r="E9" s="302" t="s">
        <v>699</v>
      </c>
      <c r="F9" s="312">
        <f ca="1">INDIRECT("'数据-取费表'!w"&amp;$G$1)</f>
        <v>0</v>
      </c>
      <c r="G9" s="1379"/>
      <c r="H9" s="304"/>
      <c r="I9" s="3750"/>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0.02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1" t="s">
        <v>3333</v>
      </c>
      <c r="B45" s="1395"/>
      <c r="C45" s="1467" t="e">
        <f ca="1">ROUND((C68-C40)/10000,4)</f>
        <v>#DIV/0!</v>
      </c>
      <c r="D45" s="3402" t="s">
        <v>3334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751" t="s">
        <v>837</v>
      </c>
      <c r="L53" s="3752"/>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3" customWidth="1"/>
    <col min="2" max="2" width="8.875" style="2813"/>
    <col min="3" max="5" width="12.875" style="2813" customWidth="1"/>
    <col min="6" max="6" width="47.5" style="2813" customWidth="1"/>
    <col min="7" max="7" width="13" style="2972" customWidth="1"/>
    <col min="8" max="8" width="8.875" style="2807"/>
    <col min="9" max="9" width="8.875" style="2808"/>
    <col min="10" max="10" width="5.75" style="2973" customWidth="1"/>
    <col min="11" max="11" width="11.75" style="2973" customWidth="1"/>
    <col min="12" max="13" width="10.75" style="2973" customWidth="1"/>
    <col min="14" max="14" width="10" style="2973" customWidth="1"/>
    <col min="15" max="16" width="10.5" style="2973" bestFit="1" customWidth="1"/>
    <col min="17" max="17" width="10" style="2973" customWidth="1"/>
    <col min="18" max="18" width="10.125" style="2973" customWidth="1"/>
    <col min="19" max="19" width="10" style="2973" customWidth="1"/>
    <col min="20" max="20" width="26.125" style="2973" customWidth="1"/>
    <col min="21" max="21" width="8.875" style="2973"/>
    <col min="22" max="22" width="8.875" style="2808"/>
    <col min="23" max="256" width="8.875" style="2813"/>
    <col min="257" max="257" width="9.5" style="2813" customWidth="1"/>
    <col min="258" max="258" width="8.875" style="2813"/>
    <col min="259" max="261" width="12.875" style="2813" customWidth="1"/>
    <col min="262" max="262" width="47.5" style="2813" customWidth="1"/>
    <col min="263" max="263" width="13" style="2813" customWidth="1"/>
    <col min="264" max="265" width="8.875" style="2813"/>
    <col min="266" max="266" width="5.75" style="2813" customWidth="1"/>
    <col min="267" max="267" width="11.75" style="2813" customWidth="1"/>
    <col min="268" max="269" width="10.75" style="2813" customWidth="1"/>
    <col min="270" max="270" width="10" style="2813" customWidth="1"/>
    <col min="271" max="272" width="10.5" style="2813" bestFit="1" customWidth="1"/>
    <col min="273" max="273" width="10" style="2813" customWidth="1"/>
    <col min="274" max="274" width="10.125" style="2813" customWidth="1"/>
    <col min="275" max="275" width="10" style="2813" customWidth="1"/>
    <col min="276" max="276" width="26.125" style="2813" customWidth="1"/>
    <col min="277" max="512" width="8.875" style="2813"/>
    <col min="513" max="513" width="9.5" style="2813" customWidth="1"/>
    <col min="514" max="514" width="8.875" style="2813"/>
    <col min="515" max="517" width="12.875" style="2813" customWidth="1"/>
    <col min="518" max="518" width="47.5" style="2813" customWidth="1"/>
    <col min="519" max="519" width="13" style="2813" customWidth="1"/>
    <col min="520" max="521" width="8.875" style="2813"/>
    <col min="522" max="522" width="5.75" style="2813" customWidth="1"/>
    <col min="523" max="523" width="11.75" style="2813" customWidth="1"/>
    <col min="524" max="525" width="10.75" style="2813" customWidth="1"/>
    <col min="526" max="526" width="10" style="2813" customWidth="1"/>
    <col min="527" max="528" width="10.5" style="2813" bestFit="1" customWidth="1"/>
    <col min="529" max="529" width="10" style="2813" customWidth="1"/>
    <col min="530" max="530" width="10.125" style="2813" customWidth="1"/>
    <col min="531" max="531" width="10" style="2813" customWidth="1"/>
    <col min="532" max="532" width="26.125" style="2813" customWidth="1"/>
    <col min="533" max="768" width="8.875" style="2813"/>
    <col min="769" max="769" width="9.5" style="2813" customWidth="1"/>
    <col min="770" max="770" width="8.875" style="2813"/>
    <col min="771" max="773" width="12.875" style="2813" customWidth="1"/>
    <col min="774" max="774" width="47.5" style="2813" customWidth="1"/>
    <col min="775" max="775" width="13" style="2813" customWidth="1"/>
    <col min="776" max="777" width="8.875" style="2813"/>
    <col min="778" max="778" width="5.75" style="2813" customWidth="1"/>
    <col min="779" max="779" width="11.75" style="2813" customWidth="1"/>
    <col min="780" max="781" width="10.75" style="2813" customWidth="1"/>
    <col min="782" max="782" width="10" style="2813" customWidth="1"/>
    <col min="783" max="784" width="10.5" style="2813" bestFit="1" customWidth="1"/>
    <col min="785" max="785" width="10" style="2813" customWidth="1"/>
    <col min="786" max="786" width="10.125" style="2813" customWidth="1"/>
    <col min="787" max="787" width="10" style="2813" customWidth="1"/>
    <col min="788" max="788" width="26.125" style="2813" customWidth="1"/>
    <col min="789" max="1024" width="8.875" style="2813"/>
    <col min="1025" max="1025" width="9.5" style="2813" customWidth="1"/>
    <col min="1026" max="1026" width="8.875" style="2813"/>
    <col min="1027" max="1029" width="12.875" style="2813" customWidth="1"/>
    <col min="1030" max="1030" width="47.5" style="2813" customWidth="1"/>
    <col min="1031" max="1031" width="13" style="2813" customWidth="1"/>
    <col min="1032" max="1033" width="8.875" style="2813"/>
    <col min="1034" max="1034" width="5.75" style="2813" customWidth="1"/>
    <col min="1035" max="1035" width="11.75" style="2813" customWidth="1"/>
    <col min="1036" max="1037" width="10.75" style="2813" customWidth="1"/>
    <col min="1038" max="1038" width="10" style="2813" customWidth="1"/>
    <col min="1039" max="1040" width="10.5" style="2813" bestFit="1" customWidth="1"/>
    <col min="1041" max="1041" width="10" style="2813" customWidth="1"/>
    <col min="1042" max="1042" width="10.125" style="2813" customWidth="1"/>
    <col min="1043" max="1043" width="10" style="2813" customWidth="1"/>
    <col min="1044" max="1044" width="26.125" style="2813" customWidth="1"/>
    <col min="1045" max="1280" width="8.875" style="2813"/>
    <col min="1281" max="1281" width="9.5" style="2813" customWidth="1"/>
    <col min="1282" max="1282" width="8.875" style="2813"/>
    <col min="1283" max="1285" width="12.875" style="2813" customWidth="1"/>
    <col min="1286" max="1286" width="47.5" style="2813" customWidth="1"/>
    <col min="1287" max="1287" width="13" style="2813" customWidth="1"/>
    <col min="1288" max="1289" width="8.875" style="2813"/>
    <col min="1290" max="1290" width="5.75" style="2813" customWidth="1"/>
    <col min="1291" max="1291" width="11.75" style="2813" customWidth="1"/>
    <col min="1292" max="1293" width="10.75" style="2813" customWidth="1"/>
    <col min="1294" max="1294" width="10" style="2813" customWidth="1"/>
    <col min="1295" max="1296" width="10.5" style="2813" bestFit="1" customWidth="1"/>
    <col min="1297" max="1297" width="10" style="2813" customWidth="1"/>
    <col min="1298" max="1298" width="10.125" style="2813" customWidth="1"/>
    <col min="1299" max="1299" width="10" style="2813" customWidth="1"/>
    <col min="1300" max="1300" width="26.125" style="2813" customWidth="1"/>
    <col min="1301" max="1536" width="8.875" style="2813"/>
    <col min="1537" max="1537" width="9.5" style="2813" customWidth="1"/>
    <col min="1538" max="1538" width="8.875" style="2813"/>
    <col min="1539" max="1541" width="12.875" style="2813" customWidth="1"/>
    <col min="1542" max="1542" width="47.5" style="2813" customWidth="1"/>
    <col min="1543" max="1543" width="13" style="2813" customWidth="1"/>
    <col min="1544" max="1545" width="8.875" style="2813"/>
    <col min="1546" max="1546" width="5.75" style="2813" customWidth="1"/>
    <col min="1547" max="1547" width="11.75" style="2813" customWidth="1"/>
    <col min="1548" max="1549" width="10.75" style="2813" customWidth="1"/>
    <col min="1550" max="1550" width="10" style="2813" customWidth="1"/>
    <col min="1551" max="1552" width="10.5" style="2813" bestFit="1" customWidth="1"/>
    <col min="1553" max="1553" width="10" style="2813" customWidth="1"/>
    <col min="1554" max="1554" width="10.125" style="2813" customWidth="1"/>
    <col min="1555" max="1555" width="10" style="2813" customWidth="1"/>
    <col min="1556" max="1556" width="26.125" style="2813" customWidth="1"/>
    <col min="1557" max="1792" width="8.875" style="2813"/>
    <col min="1793" max="1793" width="9.5" style="2813" customWidth="1"/>
    <col min="1794" max="1794" width="8.875" style="2813"/>
    <col min="1795" max="1797" width="12.875" style="2813" customWidth="1"/>
    <col min="1798" max="1798" width="47.5" style="2813" customWidth="1"/>
    <col min="1799" max="1799" width="13" style="2813" customWidth="1"/>
    <col min="1800" max="1801" width="8.875" style="2813"/>
    <col min="1802" max="1802" width="5.75" style="2813" customWidth="1"/>
    <col min="1803" max="1803" width="11.75" style="2813" customWidth="1"/>
    <col min="1804" max="1805" width="10.75" style="2813" customWidth="1"/>
    <col min="1806" max="1806" width="10" style="2813" customWidth="1"/>
    <col min="1807" max="1808" width="10.5" style="2813" bestFit="1" customWidth="1"/>
    <col min="1809" max="1809" width="10" style="2813" customWidth="1"/>
    <col min="1810" max="1810" width="10.125" style="2813" customWidth="1"/>
    <col min="1811" max="1811" width="10" style="2813" customWidth="1"/>
    <col min="1812" max="1812" width="26.125" style="2813" customWidth="1"/>
    <col min="1813" max="2048" width="8.875" style="2813"/>
    <col min="2049" max="2049" width="9.5" style="2813" customWidth="1"/>
    <col min="2050" max="2050" width="8.875" style="2813"/>
    <col min="2051" max="2053" width="12.875" style="2813" customWidth="1"/>
    <col min="2054" max="2054" width="47.5" style="2813" customWidth="1"/>
    <col min="2055" max="2055" width="13" style="2813" customWidth="1"/>
    <col min="2056" max="2057" width="8.875" style="2813"/>
    <col min="2058" max="2058" width="5.75" style="2813" customWidth="1"/>
    <col min="2059" max="2059" width="11.75" style="2813" customWidth="1"/>
    <col min="2060" max="2061" width="10.75" style="2813" customWidth="1"/>
    <col min="2062" max="2062" width="10" style="2813" customWidth="1"/>
    <col min="2063" max="2064" width="10.5" style="2813" bestFit="1" customWidth="1"/>
    <col min="2065" max="2065" width="10" style="2813" customWidth="1"/>
    <col min="2066" max="2066" width="10.125" style="2813" customWidth="1"/>
    <col min="2067" max="2067" width="10" style="2813" customWidth="1"/>
    <col min="2068" max="2068" width="26.125" style="2813" customWidth="1"/>
    <col min="2069" max="2304" width="8.875" style="2813"/>
    <col min="2305" max="2305" width="9.5" style="2813" customWidth="1"/>
    <col min="2306" max="2306" width="8.875" style="2813"/>
    <col min="2307" max="2309" width="12.875" style="2813" customWidth="1"/>
    <col min="2310" max="2310" width="47.5" style="2813" customWidth="1"/>
    <col min="2311" max="2311" width="13" style="2813" customWidth="1"/>
    <col min="2312" max="2313" width="8.875" style="2813"/>
    <col min="2314" max="2314" width="5.75" style="2813" customWidth="1"/>
    <col min="2315" max="2315" width="11.75" style="2813" customWidth="1"/>
    <col min="2316" max="2317" width="10.75" style="2813" customWidth="1"/>
    <col min="2318" max="2318" width="10" style="2813" customWidth="1"/>
    <col min="2319" max="2320" width="10.5" style="2813" bestFit="1" customWidth="1"/>
    <col min="2321" max="2321" width="10" style="2813" customWidth="1"/>
    <col min="2322" max="2322" width="10.125" style="2813" customWidth="1"/>
    <col min="2323" max="2323" width="10" style="2813" customWidth="1"/>
    <col min="2324" max="2324" width="26.125" style="2813" customWidth="1"/>
    <col min="2325" max="2560" width="8.875" style="2813"/>
    <col min="2561" max="2561" width="9.5" style="2813" customWidth="1"/>
    <col min="2562" max="2562" width="8.875" style="2813"/>
    <col min="2563" max="2565" width="12.875" style="2813" customWidth="1"/>
    <col min="2566" max="2566" width="47.5" style="2813" customWidth="1"/>
    <col min="2567" max="2567" width="13" style="2813" customWidth="1"/>
    <col min="2568" max="2569" width="8.875" style="2813"/>
    <col min="2570" max="2570" width="5.75" style="2813" customWidth="1"/>
    <col min="2571" max="2571" width="11.75" style="2813" customWidth="1"/>
    <col min="2572" max="2573" width="10.75" style="2813" customWidth="1"/>
    <col min="2574" max="2574" width="10" style="2813" customWidth="1"/>
    <col min="2575" max="2576" width="10.5" style="2813" bestFit="1" customWidth="1"/>
    <col min="2577" max="2577" width="10" style="2813" customWidth="1"/>
    <col min="2578" max="2578" width="10.125" style="2813" customWidth="1"/>
    <col min="2579" max="2579" width="10" style="2813" customWidth="1"/>
    <col min="2580" max="2580" width="26.125" style="2813" customWidth="1"/>
    <col min="2581" max="2816" width="8.875" style="2813"/>
    <col min="2817" max="2817" width="9.5" style="2813" customWidth="1"/>
    <col min="2818" max="2818" width="8.875" style="2813"/>
    <col min="2819" max="2821" width="12.875" style="2813" customWidth="1"/>
    <col min="2822" max="2822" width="47.5" style="2813" customWidth="1"/>
    <col min="2823" max="2823" width="13" style="2813" customWidth="1"/>
    <col min="2824" max="2825" width="8.875" style="2813"/>
    <col min="2826" max="2826" width="5.75" style="2813" customWidth="1"/>
    <col min="2827" max="2827" width="11.75" style="2813" customWidth="1"/>
    <col min="2828" max="2829" width="10.75" style="2813" customWidth="1"/>
    <col min="2830" max="2830" width="10" style="2813" customWidth="1"/>
    <col min="2831" max="2832" width="10.5" style="2813" bestFit="1" customWidth="1"/>
    <col min="2833" max="2833" width="10" style="2813" customWidth="1"/>
    <col min="2834" max="2834" width="10.125" style="2813" customWidth="1"/>
    <col min="2835" max="2835" width="10" style="2813" customWidth="1"/>
    <col min="2836" max="2836" width="26.125" style="2813" customWidth="1"/>
    <col min="2837" max="3072" width="8.875" style="2813"/>
    <col min="3073" max="3073" width="9.5" style="2813" customWidth="1"/>
    <col min="3074" max="3074" width="8.875" style="2813"/>
    <col min="3075" max="3077" width="12.875" style="2813" customWidth="1"/>
    <col min="3078" max="3078" width="47.5" style="2813" customWidth="1"/>
    <col min="3079" max="3079" width="13" style="2813" customWidth="1"/>
    <col min="3080" max="3081" width="8.875" style="2813"/>
    <col min="3082" max="3082" width="5.75" style="2813" customWidth="1"/>
    <col min="3083" max="3083" width="11.75" style="2813" customWidth="1"/>
    <col min="3084" max="3085" width="10.75" style="2813" customWidth="1"/>
    <col min="3086" max="3086" width="10" style="2813" customWidth="1"/>
    <col min="3087" max="3088" width="10.5" style="2813" bestFit="1" customWidth="1"/>
    <col min="3089" max="3089" width="10" style="2813" customWidth="1"/>
    <col min="3090" max="3090" width="10.125" style="2813" customWidth="1"/>
    <col min="3091" max="3091" width="10" style="2813" customWidth="1"/>
    <col min="3092" max="3092" width="26.125" style="2813" customWidth="1"/>
    <col min="3093" max="3328" width="8.875" style="2813"/>
    <col min="3329" max="3329" width="9.5" style="2813" customWidth="1"/>
    <col min="3330" max="3330" width="8.875" style="2813"/>
    <col min="3331" max="3333" width="12.875" style="2813" customWidth="1"/>
    <col min="3334" max="3334" width="47.5" style="2813" customWidth="1"/>
    <col min="3335" max="3335" width="13" style="2813" customWidth="1"/>
    <col min="3336" max="3337" width="8.875" style="2813"/>
    <col min="3338" max="3338" width="5.75" style="2813" customWidth="1"/>
    <col min="3339" max="3339" width="11.75" style="2813" customWidth="1"/>
    <col min="3340" max="3341" width="10.75" style="2813" customWidth="1"/>
    <col min="3342" max="3342" width="10" style="2813" customWidth="1"/>
    <col min="3343" max="3344" width="10.5" style="2813" bestFit="1" customWidth="1"/>
    <col min="3345" max="3345" width="10" style="2813" customWidth="1"/>
    <col min="3346" max="3346" width="10.125" style="2813" customWidth="1"/>
    <col min="3347" max="3347" width="10" style="2813" customWidth="1"/>
    <col min="3348" max="3348" width="26.125" style="2813" customWidth="1"/>
    <col min="3349" max="3584" width="8.875" style="2813"/>
    <col min="3585" max="3585" width="9.5" style="2813" customWidth="1"/>
    <col min="3586" max="3586" width="8.875" style="2813"/>
    <col min="3587" max="3589" width="12.875" style="2813" customWidth="1"/>
    <col min="3590" max="3590" width="47.5" style="2813" customWidth="1"/>
    <col min="3591" max="3591" width="13" style="2813" customWidth="1"/>
    <col min="3592" max="3593" width="8.875" style="2813"/>
    <col min="3594" max="3594" width="5.75" style="2813" customWidth="1"/>
    <col min="3595" max="3595" width="11.75" style="2813" customWidth="1"/>
    <col min="3596" max="3597" width="10.75" style="2813" customWidth="1"/>
    <col min="3598" max="3598" width="10" style="2813" customWidth="1"/>
    <col min="3599" max="3600" width="10.5" style="2813" bestFit="1" customWidth="1"/>
    <col min="3601" max="3601" width="10" style="2813" customWidth="1"/>
    <col min="3602" max="3602" width="10.125" style="2813" customWidth="1"/>
    <col min="3603" max="3603" width="10" style="2813" customWidth="1"/>
    <col min="3604" max="3604" width="26.125" style="2813" customWidth="1"/>
    <col min="3605" max="3840" width="8.875" style="2813"/>
    <col min="3841" max="3841" width="9.5" style="2813" customWidth="1"/>
    <col min="3842" max="3842" width="8.875" style="2813"/>
    <col min="3843" max="3845" width="12.875" style="2813" customWidth="1"/>
    <col min="3846" max="3846" width="47.5" style="2813" customWidth="1"/>
    <col min="3847" max="3847" width="13" style="2813" customWidth="1"/>
    <col min="3848" max="3849" width="8.875" style="2813"/>
    <col min="3850" max="3850" width="5.75" style="2813" customWidth="1"/>
    <col min="3851" max="3851" width="11.75" style="2813" customWidth="1"/>
    <col min="3852" max="3853" width="10.75" style="2813" customWidth="1"/>
    <col min="3854" max="3854" width="10" style="2813" customWidth="1"/>
    <col min="3855" max="3856" width="10.5" style="2813" bestFit="1" customWidth="1"/>
    <col min="3857" max="3857" width="10" style="2813" customWidth="1"/>
    <col min="3858" max="3858" width="10.125" style="2813" customWidth="1"/>
    <col min="3859" max="3859" width="10" style="2813" customWidth="1"/>
    <col min="3860" max="3860" width="26.125" style="2813" customWidth="1"/>
    <col min="3861" max="4096" width="8.875" style="2813"/>
    <col min="4097" max="4097" width="9.5" style="2813" customWidth="1"/>
    <col min="4098" max="4098" width="8.875" style="2813"/>
    <col min="4099" max="4101" width="12.875" style="2813" customWidth="1"/>
    <col min="4102" max="4102" width="47.5" style="2813" customWidth="1"/>
    <col min="4103" max="4103" width="13" style="2813" customWidth="1"/>
    <col min="4104" max="4105" width="8.875" style="2813"/>
    <col min="4106" max="4106" width="5.75" style="2813" customWidth="1"/>
    <col min="4107" max="4107" width="11.75" style="2813" customWidth="1"/>
    <col min="4108" max="4109" width="10.75" style="2813" customWidth="1"/>
    <col min="4110" max="4110" width="10" style="2813" customWidth="1"/>
    <col min="4111" max="4112" width="10.5" style="2813" bestFit="1" customWidth="1"/>
    <col min="4113" max="4113" width="10" style="2813" customWidth="1"/>
    <col min="4114" max="4114" width="10.125" style="2813" customWidth="1"/>
    <col min="4115" max="4115" width="10" style="2813" customWidth="1"/>
    <col min="4116" max="4116" width="26.125" style="2813" customWidth="1"/>
    <col min="4117" max="4352" width="8.875" style="2813"/>
    <col min="4353" max="4353" width="9.5" style="2813" customWidth="1"/>
    <col min="4354" max="4354" width="8.875" style="2813"/>
    <col min="4355" max="4357" width="12.875" style="2813" customWidth="1"/>
    <col min="4358" max="4358" width="47.5" style="2813" customWidth="1"/>
    <col min="4359" max="4359" width="13" style="2813" customWidth="1"/>
    <col min="4360" max="4361" width="8.875" style="2813"/>
    <col min="4362" max="4362" width="5.75" style="2813" customWidth="1"/>
    <col min="4363" max="4363" width="11.75" style="2813" customWidth="1"/>
    <col min="4364" max="4365" width="10.75" style="2813" customWidth="1"/>
    <col min="4366" max="4366" width="10" style="2813" customWidth="1"/>
    <col min="4367" max="4368" width="10.5" style="2813" bestFit="1" customWidth="1"/>
    <col min="4369" max="4369" width="10" style="2813" customWidth="1"/>
    <col min="4370" max="4370" width="10.125" style="2813" customWidth="1"/>
    <col min="4371" max="4371" width="10" style="2813" customWidth="1"/>
    <col min="4372" max="4372" width="26.125" style="2813" customWidth="1"/>
    <col min="4373" max="4608" width="8.875" style="2813"/>
    <col min="4609" max="4609" width="9.5" style="2813" customWidth="1"/>
    <col min="4610" max="4610" width="8.875" style="2813"/>
    <col min="4611" max="4613" width="12.875" style="2813" customWidth="1"/>
    <col min="4614" max="4614" width="47.5" style="2813" customWidth="1"/>
    <col min="4615" max="4615" width="13" style="2813" customWidth="1"/>
    <col min="4616" max="4617" width="8.875" style="2813"/>
    <col min="4618" max="4618" width="5.75" style="2813" customWidth="1"/>
    <col min="4619" max="4619" width="11.75" style="2813" customWidth="1"/>
    <col min="4620" max="4621" width="10.75" style="2813" customWidth="1"/>
    <col min="4622" max="4622" width="10" style="2813" customWidth="1"/>
    <col min="4623" max="4624" width="10.5" style="2813" bestFit="1" customWidth="1"/>
    <col min="4625" max="4625" width="10" style="2813" customWidth="1"/>
    <col min="4626" max="4626" width="10.125" style="2813" customWidth="1"/>
    <col min="4627" max="4627" width="10" style="2813" customWidth="1"/>
    <col min="4628" max="4628" width="26.125" style="2813" customWidth="1"/>
    <col min="4629" max="4864" width="8.875" style="2813"/>
    <col min="4865" max="4865" width="9.5" style="2813" customWidth="1"/>
    <col min="4866" max="4866" width="8.875" style="2813"/>
    <col min="4867" max="4869" width="12.875" style="2813" customWidth="1"/>
    <col min="4870" max="4870" width="47.5" style="2813" customWidth="1"/>
    <col min="4871" max="4871" width="13" style="2813" customWidth="1"/>
    <col min="4872" max="4873" width="8.875" style="2813"/>
    <col min="4874" max="4874" width="5.75" style="2813" customWidth="1"/>
    <col min="4875" max="4875" width="11.75" style="2813" customWidth="1"/>
    <col min="4876" max="4877" width="10.75" style="2813" customWidth="1"/>
    <col min="4878" max="4878" width="10" style="2813" customWidth="1"/>
    <col min="4879" max="4880" width="10.5" style="2813" bestFit="1" customWidth="1"/>
    <col min="4881" max="4881" width="10" style="2813" customWidth="1"/>
    <col min="4882" max="4882" width="10.125" style="2813" customWidth="1"/>
    <col min="4883" max="4883" width="10" style="2813" customWidth="1"/>
    <col min="4884" max="4884" width="26.125" style="2813" customWidth="1"/>
    <col min="4885" max="5120" width="8.875" style="2813"/>
    <col min="5121" max="5121" width="9.5" style="2813" customWidth="1"/>
    <col min="5122" max="5122" width="8.875" style="2813"/>
    <col min="5123" max="5125" width="12.875" style="2813" customWidth="1"/>
    <col min="5126" max="5126" width="47.5" style="2813" customWidth="1"/>
    <col min="5127" max="5127" width="13" style="2813" customWidth="1"/>
    <col min="5128" max="5129" width="8.875" style="2813"/>
    <col min="5130" max="5130" width="5.75" style="2813" customWidth="1"/>
    <col min="5131" max="5131" width="11.75" style="2813" customWidth="1"/>
    <col min="5132" max="5133" width="10.75" style="2813" customWidth="1"/>
    <col min="5134" max="5134" width="10" style="2813" customWidth="1"/>
    <col min="5135" max="5136" width="10.5" style="2813" bestFit="1" customWidth="1"/>
    <col min="5137" max="5137" width="10" style="2813" customWidth="1"/>
    <col min="5138" max="5138" width="10.125" style="2813" customWidth="1"/>
    <col min="5139" max="5139" width="10" style="2813" customWidth="1"/>
    <col min="5140" max="5140" width="26.125" style="2813" customWidth="1"/>
    <col min="5141" max="5376" width="8.875" style="2813"/>
    <col min="5377" max="5377" width="9.5" style="2813" customWidth="1"/>
    <col min="5378" max="5378" width="8.875" style="2813"/>
    <col min="5379" max="5381" width="12.875" style="2813" customWidth="1"/>
    <col min="5382" max="5382" width="47.5" style="2813" customWidth="1"/>
    <col min="5383" max="5383" width="13" style="2813" customWidth="1"/>
    <col min="5384" max="5385" width="8.875" style="2813"/>
    <col min="5386" max="5386" width="5.75" style="2813" customWidth="1"/>
    <col min="5387" max="5387" width="11.75" style="2813" customWidth="1"/>
    <col min="5388" max="5389" width="10.75" style="2813" customWidth="1"/>
    <col min="5390" max="5390" width="10" style="2813" customWidth="1"/>
    <col min="5391" max="5392" width="10.5" style="2813" bestFit="1" customWidth="1"/>
    <col min="5393" max="5393" width="10" style="2813" customWidth="1"/>
    <col min="5394" max="5394" width="10.125" style="2813" customWidth="1"/>
    <col min="5395" max="5395" width="10" style="2813" customWidth="1"/>
    <col min="5396" max="5396" width="26.125" style="2813" customWidth="1"/>
    <col min="5397" max="5632" width="8.875" style="2813"/>
    <col min="5633" max="5633" width="9.5" style="2813" customWidth="1"/>
    <col min="5634" max="5634" width="8.875" style="2813"/>
    <col min="5635" max="5637" width="12.875" style="2813" customWidth="1"/>
    <col min="5638" max="5638" width="47.5" style="2813" customWidth="1"/>
    <col min="5639" max="5639" width="13" style="2813" customWidth="1"/>
    <col min="5640" max="5641" width="8.875" style="2813"/>
    <col min="5642" max="5642" width="5.75" style="2813" customWidth="1"/>
    <col min="5643" max="5643" width="11.75" style="2813" customWidth="1"/>
    <col min="5644" max="5645" width="10.75" style="2813" customWidth="1"/>
    <col min="5646" max="5646" width="10" style="2813" customWidth="1"/>
    <col min="5647" max="5648" width="10.5" style="2813" bestFit="1" customWidth="1"/>
    <col min="5649" max="5649" width="10" style="2813" customWidth="1"/>
    <col min="5650" max="5650" width="10.125" style="2813" customWidth="1"/>
    <col min="5651" max="5651" width="10" style="2813" customWidth="1"/>
    <col min="5652" max="5652" width="26.125" style="2813" customWidth="1"/>
    <col min="5653" max="5888" width="8.875" style="2813"/>
    <col min="5889" max="5889" width="9.5" style="2813" customWidth="1"/>
    <col min="5890" max="5890" width="8.875" style="2813"/>
    <col min="5891" max="5893" width="12.875" style="2813" customWidth="1"/>
    <col min="5894" max="5894" width="47.5" style="2813" customWidth="1"/>
    <col min="5895" max="5895" width="13" style="2813" customWidth="1"/>
    <col min="5896" max="5897" width="8.875" style="2813"/>
    <col min="5898" max="5898" width="5.75" style="2813" customWidth="1"/>
    <col min="5899" max="5899" width="11.75" style="2813" customWidth="1"/>
    <col min="5900" max="5901" width="10.75" style="2813" customWidth="1"/>
    <col min="5902" max="5902" width="10" style="2813" customWidth="1"/>
    <col min="5903" max="5904" width="10.5" style="2813" bestFit="1" customWidth="1"/>
    <col min="5905" max="5905" width="10" style="2813" customWidth="1"/>
    <col min="5906" max="5906" width="10.125" style="2813" customWidth="1"/>
    <col min="5907" max="5907" width="10" style="2813" customWidth="1"/>
    <col min="5908" max="5908" width="26.125" style="2813" customWidth="1"/>
    <col min="5909" max="6144" width="8.875" style="2813"/>
    <col min="6145" max="6145" width="9.5" style="2813" customWidth="1"/>
    <col min="6146" max="6146" width="8.875" style="2813"/>
    <col min="6147" max="6149" width="12.875" style="2813" customWidth="1"/>
    <col min="6150" max="6150" width="47.5" style="2813" customWidth="1"/>
    <col min="6151" max="6151" width="13" style="2813" customWidth="1"/>
    <col min="6152" max="6153" width="8.875" style="2813"/>
    <col min="6154" max="6154" width="5.75" style="2813" customWidth="1"/>
    <col min="6155" max="6155" width="11.75" style="2813" customWidth="1"/>
    <col min="6156" max="6157" width="10.75" style="2813" customWidth="1"/>
    <col min="6158" max="6158" width="10" style="2813" customWidth="1"/>
    <col min="6159" max="6160" width="10.5" style="2813" bestFit="1" customWidth="1"/>
    <col min="6161" max="6161" width="10" style="2813" customWidth="1"/>
    <col min="6162" max="6162" width="10.125" style="2813" customWidth="1"/>
    <col min="6163" max="6163" width="10" style="2813" customWidth="1"/>
    <col min="6164" max="6164" width="26.125" style="2813" customWidth="1"/>
    <col min="6165" max="6400" width="8.875" style="2813"/>
    <col min="6401" max="6401" width="9.5" style="2813" customWidth="1"/>
    <col min="6402" max="6402" width="8.875" style="2813"/>
    <col min="6403" max="6405" width="12.875" style="2813" customWidth="1"/>
    <col min="6406" max="6406" width="47.5" style="2813" customWidth="1"/>
    <col min="6407" max="6407" width="13" style="2813" customWidth="1"/>
    <col min="6408" max="6409" width="8.875" style="2813"/>
    <col min="6410" max="6410" width="5.75" style="2813" customWidth="1"/>
    <col min="6411" max="6411" width="11.75" style="2813" customWidth="1"/>
    <col min="6412" max="6413" width="10.75" style="2813" customWidth="1"/>
    <col min="6414" max="6414" width="10" style="2813" customWidth="1"/>
    <col min="6415" max="6416" width="10.5" style="2813" bestFit="1" customWidth="1"/>
    <col min="6417" max="6417" width="10" style="2813" customWidth="1"/>
    <col min="6418" max="6418" width="10.125" style="2813" customWidth="1"/>
    <col min="6419" max="6419" width="10" style="2813" customWidth="1"/>
    <col min="6420" max="6420" width="26.125" style="2813" customWidth="1"/>
    <col min="6421" max="6656" width="8.875" style="2813"/>
    <col min="6657" max="6657" width="9.5" style="2813" customWidth="1"/>
    <col min="6658" max="6658" width="8.875" style="2813"/>
    <col min="6659" max="6661" width="12.875" style="2813" customWidth="1"/>
    <col min="6662" max="6662" width="47.5" style="2813" customWidth="1"/>
    <col min="6663" max="6663" width="13" style="2813" customWidth="1"/>
    <col min="6664" max="6665" width="8.875" style="2813"/>
    <col min="6666" max="6666" width="5.75" style="2813" customWidth="1"/>
    <col min="6667" max="6667" width="11.75" style="2813" customWidth="1"/>
    <col min="6668" max="6669" width="10.75" style="2813" customWidth="1"/>
    <col min="6670" max="6670" width="10" style="2813" customWidth="1"/>
    <col min="6671" max="6672" width="10.5" style="2813" bestFit="1" customWidth="1"/>
    <col min="6673" max="6673" width="10" style="2813" customWidth="1"/>
    <col min="6674" max="6674" width="10.125" style="2813" customWidth="1"/>
    <col min="6675" max="6675" width="10" style="2813" customWidth="1"/>
    <col min="6676" max="6676" width="26.125" style="2813" customWidth="1"/>
    <col min="6677" max="6912" width="8.875" style="2813"/>
    <col min="6913" max="6913" width="9.5" style="2813" customWidth="1"/>
    <col min="6914" max="6914" width="8.875" style="2813"/>
    <col min="6915" max="6917" width="12.875" style="2813" customWidth="1"/>
    <col min="6918" max="6918" width="47.5" style="2813" customWidth="1"/>
    <col min="6919" max="6919" width="13" style="2813" customWidth="1"/>
    <col min="6920" max="6921" width="8.875" style="2813"/>
    <col min="6922" max="6922" width="5.75" style="2813" customWidth="1"/>
    <col min="6923" max="6923" width="11.75" style="2813" customWidth="1"/>
    <col min="6924" max="6925" width="10.75" style="2813" customWidth="1"/>
    <col min="6926" max="6926" width="10" style="2813" customWidth="1"/>
    <col min="6927" max="6928" width="10.5" style="2813" bestFit="1" customWidth="1"/>
    <col min="6929" max="6929" width="10" style="2813" customWidth="1"/>
    <col min="6930" max="6930" width="10.125" style="2813" customWidth="1"/>
    <col min="6931" max="6931" width="10" style="2813" customWidth="1"/>
    <col min="6932" max="6932" width="26.125" style="2813" customWidth="1"/>
    <col min="6933" max="7168" width="8.875" style="2813"/>
    <col min="7169" max="7169" width="9.5" style="2813" customWidth="1"/>
    <col min="7170" max="7170" width="8.875" style="2813"/>
    <col min="7171" max="7173" width="12.875" style="2813" customWidth="1"/>
    <col min="7174" max="7174" width="47.5" style="2813" customWidth="1"/>
    <col min="7175" max="7175" width="13" style="2813" customWidth="1"/>
    <col min="7176" max="7177" width="8.875" style="2813"/>
    <col min="7178" max="7178" width="5.75" style="2813" customWidth="1"/>
    <col min="7179" max="7179" width="11.75" style="2813" customWidth="1"/>
    <col min="7180" max="7181" width="10.75" style="2813" customWidth="1"/>
    <col min="7182" max="7182" width="10" style="2813" customWidth="1"/>
    <col min="7183" max="7184" width="10.5" style="2813" bestFit="1" customWidth="1"/>
    <col min="7185" max="7185" width="10" style="2813" customWidth="1"/>
    <col min="7186" max="7186" width="10.125" style="2813" customWidth="1"/>
    <col min="7187" max="7187" width="10" style="2813" customWidth="1"/>
    <col min="7188" max="7188" width="26.125" style="2813" customWidth="1"/>
    <col min="7189" max="7424" width="8.875" style="2813"/>
    <col min="7425" max="7425" width="9.5" style="2813" customWidth="1"/>
    <col min="7426" max="7426" width="8.875" style="2813"/>
    <col min="7427" max="7429" width="12.875" style="2813" customWidth="1"/>
    <col min="7430" max="7430" width="47.5" style="2813" customWidth="1"/>
    <col min="7431" max="7431" width="13" style="2813" customWidth="1"/>
    <col min="7432" max="7433" width="8.875" style="2813"/>
    <col min="7434" max="7434" width="5.75" style="2813" customWidth="1"/>
    <col min="7435" max="7435" width="11.75" style="2813" customWidth="1"/>
    <col min="7436" max="7437" width="10.75" style="2813" customWidth="1"/>
    <col min="7438" max="7438" width="10" style="2813" customWidth="1"/>
    <col min="7439" max="7440" width="10.5" style="2813" bestFit="1" customWidth="1"/>
    <col min="7441" max="7441" width="10" style="2813" customWidth="1"/>
    <col min="7442" max="7442" width="10.125" style="2813" customWidth="1"/>
    <col min="7443" max="7443" width="10" style="2813" customWidth="1"/>
    <col min="7444" max="7444" width="26.125" style="2813" customWidth="1"/>
    <col min="7445" max="7680" width="8.875" style="2813"/>
    <col min="7681" max="7681" width="9.5" style="2813" customWidth="1"/>
    <col min="7682" max="7682" width="8.875" style="2813"/>
    <col min="7683" max="7685" width="12.875" style="2813" customWidth="1"/>
    <col min="7686" max="7686" width="47.5" style="2813" customWidth="1"/>
    <col min="7687" max="7687" width="13" style="2813" customWidth="1"/>
    <col min="7688" max="7689" width="8.875" style="2813"/>
    <col min="7690" max="7690" width="5.75" style="2813" customWidth="1"/>
    <col min="7691" max="7691" width="11.75" style="2813" customWidth="1"/>
    <col min="7692" max="7693" width="10.75" style="2813" customWidth="1"/>
    <col min="7694" max="7694" width="10" style="2813" customWidth="1"/>
    <col min="7695" max="7696" width="10.5" style="2813" bestFit="1" customWidth="1"/>
    <col min="7697" max="7697" width="10" style="2813" customWidth="1"/>
    <col min="7698" max="7698" width="10.125" style="2813" customWidth="1"/>
    <col min="7699" max="7699" width="10" style="2813" customWidth="1"/>
    <col min="7700" max="7700" width="26.125" style="2813" customWidth="1"/>
    <col min="7701" max="7936" width="8.875" style="2813"/>
    <col min="7937" max="7937" width="9.5" style="2813" customWidth="1"/>
    <col min="7938" max="7938" width="8.875" style="2813"/>
    <col min="7939" max="7941" width="12.875" style="2813" customWidth="1"/>
    <col min="7942" max="7942" width="47.5" style="2813" customWidth="1"/>
    <col min="7943" max="7943" width="13" style="2813" customWidth="1"/>
    <col min="7944" max="7945" width="8.875" style="2813"/>
    <col min="7946" max="7946" width="5.75" style="2813" customWidth="1"/>
    <col min="7947" max="7947" width="11.75" style="2813" customWidth="1"/>
    <col min="7948" max="7949" width="10.75" style="2813" customWidth="1"/>
    <col min="7950" max="7950" width="10" style="2813" customWidth="1"/>
    <col min="7951" max="7952" width="10.5" style="2813" bestFit="1" customWidth="1"/>
    <col min="7953" max="7953" width="10" style="2813" customWidth="1"/>
    <col min="7954" max="7954" width="10.125" style="2813" customWidth="1"/>
    <col min="7955" max="7955" width="10" style="2813" customWidth="1"/>
    <col min="7956" max="7956" width="26.125" style="2813" customWidth="1"/>
    <col min="7957" max="8192" width="8.875" style="2813"/>
    <col min="8193" max="8193" width="9.5" style="2813" customWidth="1"/>
    <col min="8194" max="8194" width="8.875" style="2813"/>
    <col min="8195" max="8197" width="12.875" style="2813" customWidth="1"/>
    <col min="8198" max="8198" width="47.5" style="2813" customWidth="1"/>
    <col min="8199" max="8199" width="13" style="2813" customWidth="1"/>
    <col min="8200" max="8201" width="8.875" style="2813"/>
    <col min="8202" max="8202" width="5.75" style="2813" customWidth="1"/>
    <col min="8203" max="8203" width="11.75" style="2813" customWidth="1"/>
    <col min="8204" max="8205" width="10.75" style="2813" customWidth="1"/>
    <col min="8206" max="8206" width="10" style="2813" customWidth="1"/>
    <col min="8207" max="8208" width="10.5" style="2813" bestFit="1" customWidth="1"/>
    <col min="8209" max="8209" width="10" style="2813" customWidth="1"/>
    <col min="8210" max="8210" width="10.125" style="2813" customWidth="1"/>
    <col min="8211" max="8211" width="10" style="2813" customWidth="1"/>
    <col min="8212" max="8212" width="26.125" style="2813" customWidth="1"/>
    <col min="8213" max="8448" width="8.875" style="2813"/>
    <col min="8449" max="8449" width="9.5" style="2813" customWidth="1"/>
    <col min="8450" max="8450" width="8.875" style="2813"/>
    <col min="8451" max="8453" width="12.875" style="2813" customWidth="1"/>
    <col min="8454" max="8454" width="47.5" style="2813" customWidth="1"/>
    <col min="8455" max="8455" width="13" style="2813" customWidth="1"/>
    <col min="8456" max="8457" width="8.875" style="2813"/>
    <col min="8458" max="8458" width="5.75" style="2813" customWidth="1"/>
    <col min="8459" max="8459" width="11.75" style="2813" customWidth="1"/>
    <col min="8460" max="8461" width="10.75" style="2813" customWidth="1"/>
    <col min="8462" max="8462" width="10" style="2813" customWidth="1"/>
    <col min="8463" max="8464" width="10.5" style="2813" bestFit="1" customWidth="1"/>
    <col min="8465" max="8465" width="10" style="2813" customWidth="1"/>
    <col min="8466" max="8466" width="10.125" style="2813" customWidth="1"/>
    <col min="8467" max="8467" width="10" style="2813" customWidth="1"/>
    <col min="8468" max="8468" width="26.125" style="2813" customWidth="1"/>
    <col min="8469" max="8704" width="8.875" style="2813"/>
    <col min="8705" max="8705" width="9.5" style="2813" customWidth="1"/>
    <col min="8706" max="8706" width="8.875" style="2813"/>
    <col min="8707" max="8709" width="12.875" style="2813" customWidth="1"/>
    <col min="8710" max="8710" width="47.5" style="2813" customWidth="1"/>
    <col min="8711" max="8711" width="13" style="2813" customWidth="1"/>
    <col min="8712" max="8713" width="8.875" style="2813"/>
    <col min="8714" max="8714" width="5.75" style="2813" customWidth="1"/>
    <col min="8715" max="8715" width="11.75" style="2813" customWidth="1"/>
    <col min="8716" max="8717" width="10.75" style="2813" customWidth="1"/>
    <col min="8718" max="8718" width="10" style="2813" customWidth="1"/>
    <col min="8719" max="8720" width="10.5" style="2813" bestFit="1" customWidth="1"/>
    <col min="8721" max="8721" width="10" style="2813" customWidth="1"/>
    <col min="8722" max="8722" width="10.125" style="2813" customWidth="1"/>
    <col min="8723" max="8723" width="10" style="2813" customWidth="1"/>
    <col min="8724" max="8724" width="26.125" style="2813" customWidth="1"/>
    <col min="8725" max="8960" width="8.875" style="2813"/>
    <col min="8961" max="8961" width="9.5" style="2813" customWidth="1"/>
    <col min="8962" max="8962" width="8.875" style="2813"/>
    <col min="8963" max="8965" width="12.875" style="2813" customWidth="1"/>
    <col min="8966" max="8966" width="47.5" style="2813" customWidth="1"/>
    <col min="8967" max="8967" width="13" style="2813" customWidth="1"/>
    <col min="8968" max="8969" width="8.875" style="2813"/>
    <col min="8970" max="8970" width="5.75" style="2813" customWidth="1"/>
    <col min="8971" max="8971" width="11.75" style="2813" customWidth="1"/>
    <col min="8972" max="8973" width="10.75" style="2813" customWidth="1"/>
    <col min="8974" max="8974" width="10" style="2813" customWidth="1"/>
    <col min="8975" max="8976" width="10.5" style="2813" bestFit="1" customWidth="1"/>
    <col min="8977" max="8977" width="10" style="2813" customWidth="1"/>
    <col min="8978" max="8978" width="10.125" style="2813" customWidth="1"/>
    <col min="8979" max="8979" width="10" style="2813" customWidth="1"/>
    <col min="8980" max="8980" width="26.125" style="2813" customWidth="1"/>
    <col min="8981" max="9216" width="8.875" style="2813"/>
    <col min="9217" max="9217" width="9.5" style="2813" customWidth="1"/>
    <col min="9218" max="9218" width="8.875" style="2813"/>
    <col min="9219" max="9221" width="12.875" style="2813" customWidth="1"/>
    <col min="9222" max="9222" width="47.5" style="2813" customWidth="1"/>
    <col min="9223" max="9223" width="13" style="2813" customWidth="1"/>
    <col min="9224" max="9225" width="8.875" style="2813"/>
    <col min="9226" max="9226" width="5.75" style="2813" customWidth="1"/>
    <col min="9227" max="9227" width="11.75" style="2813" customWidth="1"/>
    <col min="9228" max="9229" width="10.75" style="2813" customWidth="1"/>
    <col min="9230" max="9230" width="10" style="2813" customWidth="1"/>
    <col min="9231" max="9232" width="10.5" style="2813" bestFit="1" customWidth="1"/>
    <col min="9233" max="9233" width="10" style="2813" customWidth="1"/>
    <col min="9234" max="9234" width="10.125" style="2813" customWidth="1"/>
    <col min="9235" max="9235" width="10" style="2813" customWidth="1"/>
    <col min="9236" max="9236" width="26.125" style="2813" customWidth="1"/>
    <col min="9237" max="9472" width="8.875" style="2813"/>
    <col min="9473" max="9473" width="9.5" style="2813" customWidth="1"/>
    <col min="9474" max="9474" width="8.875" style="2813"/>
    <col min="9475" max="9477" width="12.875" style="2813" customWidth="1"/>
    <col min="9478" max="9478" width="47.5" style="2813" customWidth="1"/>
    <col min="9479" max="9479" width="13" style="2813" customWidth="1"/>
    <col min="9480" max="9481" width="8.875" style="2813"/>
    <col min="9482" max="9482" width="5.75" style="2813" customWidth="1"/>
    <col min="9483" max="9483" width="11.75" style="2813" customWidth="1"/>
    <col min="9484" max="9485" width="10.75" style="2813" customWidth="1"/>
    <col min="9486" max="9486" width="10" style="2813" customWidth="1"/>
    <col min="9487" max="9488" width="10.5" style="2813" bestFit="1" customWidth="1"/>
    <col min="9489" max="9489" width="10" style="2813" customWidth="1"/>
    <col min="9490" max="9490" width="10.125" style="2813" customWidth="1"/>
    <col min="9491" max="9491" width="10" style="2813" customWidth="1"/>
    <col min="9492" max="9492" width="26.125" style="2813" customWidth="1"/>
    <col min="9493" max="9728" width="8.875" style="2813"/>
    <col min="9729" max="9729" width="9.5" style="2813" customWidth="1"/>
    <col min="9730" max="9730" width="8.875" style="2813"/>
    <col min="9731" max="9733" width="12.875" style="2813" customWidth="1"/>
    <col min="9734" max="9734" width="47.5" style="2813" customWidth="1"/>
    <col min="9735" max="9735" width="13" style="2813" customWidth="1"/>
    <col min="9736" max="9737" width="8.875" style="2813"/>
    <col min="9738" max="9738" width="5.75" style="2813" customWidth="1"/>
    <col min="9739" max="9739" width="11.75" style="2813" customWidth="1"/>
    <col min="9740" max="9741" width="10.75" style="2813" customWidth="1"/>
    <col min="9742" max="9742" width="10" style="2813" customWidth="1"/>
    <col min="9743" max="9744" width="10.5" style="2813" bestFit="1" customWidth="1"/>
    <col min="9745" max="9745" width="10" style="2813" customWidth="1"/>
    <col min="9746" max="9746" width="10.125" style="2813" customWidth="1"/>
    <col min="9747" max="9747" width="10" style="2813" customWidth="1"/>
    <col min="9748" max="9748" width="26.125" style="2813" customWidth="1"/>
    <col min="9749" max="9984" width="8.875" style="2813"/>
    <col min="9985" max="9985" width="9.5" style="2813" customWidth="1"/>
    <col min="9986" max="9986" width="8.875" style="2813"/>
    <col min="9987" max="9989" width="12.875" style="2813" customWidth="1"/>
    <col min="9990" max="9990" width="47.5" style="2813" customWidth="1"/>
    <col min="9991" max="9991" width="13" style="2813" customWidth="1"/>
    <col min="9992" max="9993" width="8.875" style="2813"/>
    <col min="9994" max="9994" width="5.75" style="2813" customWidth="1"/>
    <col min="9995" max="9995" width="11.75" style="2813" customWidth="1"/>
    <col min="9996" max="9997" width="10.75" style="2813" customWidth="1"/>
    <col min="9998" max="9998" width="10" style="2813" customWidth="1"/>
    <col min="9999" max="10000" width="10.5" style="2813" bestFit="1" customWidth="1"/>
    <col min="10001" max="10001" width="10" style="2813" customWidth="1"/>
    <col min="10002" max="10002" width="10.125" style="2813" customWidth="1"/>
    <col min="10003" max="10003" width="10" style="2813" customWidth="1"/>
    <col min="10004" max="10004" width="26.125" style="2813" customWidth="1"/>
    <col min="10005" max="10240" width="8.875" style="2813"/>
    <col min="10241" max="10241" width="9.5" style="2813" customWidth="1"/>
    <col min="10242" max="10242" width="8.875" style="2813"/>
    <col min="10243" max="10245" width="12.875" style="2813" customWidth="1"/>
    <col min="10246" max="10246" width="47.5" style="2813" customWidth="1"/>
    <col min="10247" max="10247" width="13" style="2813" customWidth="1"/>
    <col min="10248" max="10249" width="8.875" style="2813"/>
    <col min="10250" max="10250" width="5.75" style="2813" customWidth="1"/>
    <col min="10251" max="10251" width="11.75" style="2813" customWidth="1"/>
    <col min="10252" max="10253" width="10.75" style="2813" customWidth="1"/>
    <col min="10254" max="10254" width="10" style="2813" customWidth="1"/>
    <col min="10255" max="10256" width="10.5" style="2813" bestFit="1" customWidth="1"/>
    <col min="10257" max="10257" width="10" style="2813" customWidth="1"/>
    <col min="10258" max="10258" width="10.125" style="2813" customWidth="1"/>
    <col min="10259" max="10259" width="10" style="2813" customWidth="1"/>
    <col min="10260" max="10260" width="26.125" style="2813" customWidth="1"/>
    <col min="10261" max="10496" width="8.875" style="2813"/>
    <col min="10497" max="10497" width="9.5" style="2813" customWidth="1"/>
    <col min="10498" max="10498" width="8.875" style="2813"/>
    <col min="10499" max="10501" width="12.875" style="2813" customWidth="1"/>
    <col min="10502" max="10502" width="47.5" style="2813" customWidth="1"/>
    <col min="10503" max="10503" width="13" style="2813" customWidth="1"/>
    <col min="10504" max="10505" width="8.875" style="2813"/>
    <col min="10506" max="10506" width="5.75" style="2813" customWidth="1"/>
    <col min="10507" max="10507" width="11.75" style="2813" customWidth="1"/>
    <col min="10508" max="10509" width="10.75" style="2813" customWidth="1"/>
    <col min="10510" max="10510" width="10" style="2813" customWidth="1"/>
    <col min="10511" max="10512" width="10.5" style="2813" bestFit="1" customWidth="1"/>
    <col min="10513" max="10513" width="10" style="2813" customWidth="1"/>
    <col min="10514" max="10514" width="10.125" style="2813" customWidth="1"/>
    <col min="10515" max="10515" width="10" style="2813" customWidth="1"/>
    <col min="10516" max="10516" width="26.125" style="2813" customWidth="1"/>
    <col min="10517" max="10752" width="8.875" style="2813"/>
    <col min="10753" max="10753" width="9.5" style="2813" customWidth="1"/>
    <col min="10754" max="10754" width="8.875" style="2813"/>
    <col min="10755" max="10757" width="12.875" style="2813" customWidth="1"/>
    <col min="10758" max="10758" width="47.5" style="2813" customWidth="1"/>
    <col min="10759" max="10759" width="13" style="2813" customWidth="1"/>
    <col min="10760" max="10761" width="8.875" style="2813"/>
    <col min="10762" max="10762" width="5.75" style="2813" customWidth="1"/>
    <col min="10763" max="10763" width="11.75" style="2813" customWidth="1"/>
    <col min="10764" max="10765" width="10.75" style="2813" customWidth="1"/>
    <col min="10766" max="10766" width="10" style="2813" customWidth="1"/>
    <col min="10767" max="10768" width="10.5" style="2813" bestFit="1" customWidth="1"/>
    <col min="10769" max="10769" width="10" style="2813" customWidth="1"/>
    <col min="10770" max="10770" width="10.125" style="2813" customWidth="1"/>
    <col min="10771" max="10771" width="10" style="2813" customWidth="1"/>
    <col min="10772" max="10772" width="26.125" style="2813" customWidth="1"/>
    <col min="10773" max="11008" width="8.875" style="2813"/>
    <col min="11009" max="11009" width="9.5" style="2813" customWidth="1"/>
    <col min="11010" max="11010" width="8.875" style="2813"/>
    <col min="11011" max="11013" width="12.875" style="2813" customWidth="1"/>
    <col min="11014" max="11014" width="47.5" style="2813" customWidth="1"/>
    <col min="11015" max="11015" width="13" style="2813" customWidth="1"/>
    <col min="11016" max="11017" width="8.875" style="2813"/>
    <col min="11018" max="11018" width="5.75" style="2813" customWidth="1"/>
    <col min="11019" max="11019" width="11.75" style="2813" customWidth="1"/>
    <col min="11020" max="11021" width="10.75" style="2813" customWidth="1"/>
    <col min="11022" max="11022" width="10" style="2813" customWidth="1"/>
    <col min="11023" max="11024" width="10.5" style="2813" bestFit="1" customWidth="1"/>
    <col min="11025" max="11025" width="10" style="2813" customWidth="1"/>
    <col min="11026" max="11026" width="10.125" style="2813" customWidth="1"/>
    <col min="11027" max="11027" width="10" style="2813" customWidth="1"/>
    <col min="11028" max="11028" width="26.125" style="2813" customWidth="1"/>
    <col min="11029" max="11264" width="8.875" style="2813"/>
    <col min="11265" max="11265" width="9.5" style="2813" customWidth="1"/>
    <col min="11266" max="11266" width="8.875" style="2813"/>
    <col min="11267" max="11269" width="12.875" style="2813" customWidth="1"/>
    <col min="11270" max="11270" width="47.5" style="2813" customWidth="1"/>
    <col min="11271" max="11271" width="13" style="2813" customWidth="1"/>
    <col min="11272" max="11273" width="8.875" style="2813"/>
    <col min="11274" max="11274" width="5.75" style="2813" customWidth="1"/>
    <col min="11275" max="11275" width="11.75" style="2813" customWidth="1"/>
    <col min="11276" max="11277" width="10.75" style="2813" customWidth="1"/>
    <col min="11278" max="11278" width="10" style="2813" customWidth="1"/>
    <col min="11279" max="11280" width="10.5" style="2813" bestFit="1" customWidth="1"/>
    <col min="11281" max="11281" width="10" style="2813" customWidth="1"/>
    <col min="11282" max="11282" width="10.125" style="2813" customWidth="1"/>
    <col min="11283" max="11283" width="10" style="2813" customWidth="1"/>
    <col min="11284" max="11284" width="26.125" style="2813" customWidth="1"/>
    <col min="11285" max="11520" width="8.875" style="2813"/>
    <col min="11521" max="11521" width="9.5" style="2813" customWidth="1"/>
    <col min="11522" max="11522" width="8.875" style="2813"/>
    <col min="11523" max="11525" width="12.875" style="2813" customWidth="1"/>
    <col min="11526" max="11526" width="47.5" style="2813" customWidth="1"/>
    <col min="11527" max="11527" width="13" style="2813" customWidth="1"/>
    <col min="11528" max="11529" width="8.875" style="2813"/>
    <col min="11530" max="11530" width="5.75" style="2813" customWidth="1"/>
    <col min="11531" max="11531" width="11.75" style="2813" customWidth="1"/>
    <col min="11532" max="11533" width="10.75" style="2813" customWidth="1"/>
    <col min="11534" max="11534" width="10" style="2813" customWidth="1"/>
    <col min="11535" max="11536" width="10.5" style="2813" bestFit="1" customWidth="1"/>
    <col min="11537" max="11537" width="10" style="2813" customWidth="1"/>
    <col min="11538" max="11538" width="10.125" style="2813" customWidth="1"/>
    <col min="11539" max="11539" width="10" style="2813" customWidth="1"/>
    <col min="11540" max="11540" width="26.125" style="2813" customWidth="1"/>
    <col min="11541" max="11776" width="8.875" style="2813"/>
    <col min="11777" max="11777" width="9.5" style="2813" customWidth="1"/>
    <col min="11778" max="11778" width="8.875" style="2813"/>
    <col min="11779" max="11781" width="12.875" style="2813" customWidth="1"/>
    <col min="11782" max="11782" width="47.5" style="2813" customWidth="1"/>
    <col min="11783" max="11783" width="13" style="2813" customWidth="1"/>
    <col min="11784" max="11785" width="8.875" style="2813"/>
    <col min="11786" max="11786" width="5.75" style="2813" customWidth="1"/>
    <col min="11787" max="11787" width="11.75" style="2813" customWidth="1"/>
    <col min="11788" max="11789" width="10.75" style="2813" customWidth="1"/>
    <col min="11790" max="11790" width="10" style="2813" customWidth="1"/>
    <col min="11791" max="11792" width="10.5" style="2813" bestFit="1" customWidth="1"/>
    <col min="11793" max="11793" width="10" style="2813" customWidth="1"/>
    <col min="11794" max="11794" width="10.125" style="2813" customWidth="1"/>
    <col min="11795" max="11795" width="10" style="2813" customWidth="1"/>
    <col min="11796" max="11796" width="26.125" style="2813" customWidth="1"/>
    <col min="11797" max="12032" width="8.875" style="2813"/>
    <col min="12033" max="12033" width="9.5" style="2813" customWidth="1"/>
    <col min="12034" max="12034" width="8.875" style="2813"/>
    <col min="12035" max="12037" width="12.875" style="2813" customWidth="1"/>
    <col min="12038" max="12038" width="47.5" style="2813" customWidth="1"/>
    <col min="12039" max="12039" width="13" style="2813" customWidth="1"/>
    <col min="12040" max="12041" width="8.875" style="2813"/>
    <col min="12042" max="12042" width="5.75" style="2813" customWidth="1"/>
    <col min="12043" max="12043" width="11.75" style="2813" customWidth="1"/>
    <col min="12044" max="12045" width="10.75" style="2813" customWidth="1"/>
    <col min="12046" max="12046" width="10" style="2813" customWidth="1"/>
    <col min="12047" max="12048" width="10.5" style="2813" bestFit="1" customWidth="1"/>
    <col min="12049" max="12049" width="10" style="2813" customWidth="1"/>
    <col min="12050" max="12050" width="10.125" style="2813" customWidth="1"/>
    <col min="12051" max="12051" width="10" style="2813" customWidth="1"/>
    <col min="12052" max="12052" width="26.125" style="2813" customWidth="1"/>
    <col min="12053" max="12288" width="8.875" style="2813"/>
    <col min="12289" max="12289" width="9.5" style="2813" customWidth="1"/>
    <col min="12290" max="12290" width="8.875" style="2813"/>
    <col min="12291" max="12293" width="12.875" style="2813" customWidth="1"/>
    <col min="12294" max="12294" width="47.5" style="2813" customWidth="1"/>
    <col min="12295" max="12295" width="13" style="2813" customWidth="1"/>
    <col min="12296" max="12297" width="8.875" style="2813"/>
    <col min="12298" max="12298" width="5.75" style="2813" customWidth="1"/>
    <col min="12299" max="12299" width="11.75" style="2813" customWidth="1"/>
    <col min="12300" max="12301" width="10.75" style="2813" customWidth="1"/>
    <col min="12302" max="12302" width="10" style="2813" customWidth="1"/>
    <col min="12303" max="12304" width="10.5" style="2813" bestFit="1" customWidth="1"/>
    <col min="12305" max="12305" width="10" style="2813" customWidth="1"/>
    <col min="12306" max="12306" width="10.125" style="2813" customWidth="1"/>
    <col min="12307" max="12307" width="10" style="2813" customWidth="1"/>
    <col min="12308" max="12308" width="26.125" style="2813" customWidth="1"/>
    <col min="12309" max="12544" width="8.875" style="2813"/>
    <col min="12545" max="12545" width="9.5" style="2813" customWidth="1"/>
    <col min="12546" max="12546" width="8.875" style="2813"/>
    <col min="12547" max="12549" width="12.875" style="2813" customWidth="1"/>
    <col min="12550" max="12550" width="47.5" style="2813" customWidth="1"/>
    <col min="12551" max="12551" width="13" style="2813" customWidth="1"/>
    <col min="12552" max="12553" width="8.875" style="2813"/>
    <col min="12554" max="12554" width="5.75" style="2813" customWidth="1"/>
    <col min="12555" max="12555" width="11.75" style="2813" customWidth="1"/>
    <col min="12556" max="12557" width="10.75" style="2813" customWidth="1"/>
    <col min="12558" max="12558" width="10" style="2813" customWidth="1"/>
    <col min="12559" max="12560" width="10.5" style="2813" bestFit="1" customWidth="1"/>
    <col min="12561" max="12561" width="10" style="2813" customWidth="1"/>
    <col min="12562" max="12562" width="10.125" style="2813" customWidth="1"/>
    <col min="12563" max="12563" width="10" style="2813" customWidth="1"/>
    <col min="12564" max="12564" width="26.125" style="2813" customWidth="1"/>
    <col min="12565" max="12800" width="8.875" style="2813"/>
    <col min="12801" max="12801" width="9.5" style="2813" customWidth="1"/>
    <col min="12802" max="12802" width="8.875" style="2813"/>
    <col min="12803" max="12805" width="12.875" style="2813" customWidth="1"/>
    <col min="12806" max="12806" width="47.5" style="2813" customWidth="1"/>
    <col min="12807" max="12807" width="13" style="2813" customWidth="1"/>
    <col min="12808" max="12809" width="8.875" style="2813"/>
    <col min="12810" max="12810" width="5.75" style="2813" customWidth="1"/>
    <col min="12811" max="12811" width="11.75" style="2813" customWidth="1"/>
    <col min="12812" max="12813" width="10.75" style="2813" customWidth="1"/>
    <col min="12814" max="12814" width="10" style="2813" customWidth="1"/>
    <col min="12815" max="12816" width="10.5" style="2813" bestFit="1" customWidth="1"/>
    <col min="12817" max="12817" width="10" style="2813" customWidth="1"/>
    <col min="12818" max="12818" width="10.125" style="2813" customWidth="1"/>
    <col min="12819" max="12819" width="10" style="2813" customWidth="1"/>
    <col min="12820" max="12820" width="26.125" style="2813" customWidth="1"/>
    <col min="12821" max="13056" width="8.875" style="2813"/>
    <col min="13057" max="13057" width="9.5" style="2813" customWidth="1"/>
    <col min="13058" max="13058" width="8.875" style="2813"/>
    <col min="13059" max="13061" width="12.875" style="2813" customWidth="1"/>
    <col min="13062" max="13062" width="47.5" style="2813" customWidth="1"/>
    <col min="13063" max="13063" width="13" style="2813" customWidth="1"/>
    <col min="13064" max="13065" width="8.875" style="2813"/>
    <col min="13066" max="13066" width="5.75" style="2813" customWidth="1"/>
    <col min="13067" max="13067" width="11.75" style="2813" customWidth="1"/>
    <col min="13068" max="13069" width="10.75" style="2813" customWidth="1"/>
    <col min="13070" max="13070" width="10" style="2813" customWidth="1"/>
    <col min="13071" max="13072" width="10.5" style="2813" bestFit="1" customWidth="1"/>
    <col min="13073" max="13073" width="10" style="2813" customWidth="1"/>
    <col min="13074" max="13074" width="10.125" style="2813" customWidth="1"/>
    <col min="13075" max="13075" width="10" style="2813" customWidth="1"/>
    <col min="13076" max="13076" width="26.125" style="2813" customWidth="1"/>
    <col min="13077" max="13312" width="8.875" style="2813"/>
    <col min="13313" max="13313" width="9.5" style="2813" customWidth="1"/>
    <col min="13314" max="13314" width="8.875" style="2813"/>
    <col min="13315" max="13317" width="12.875" style="2813" customWidth="1"/>
    <col min="13318" max="13318" width="47.5" style="2813" customWidth="1"/>
    <col min="13319" max="13319" width="13" style="2813" customWidth="1"/>
    <col min="13320" max="13321" width="8.875" style="2813"/>
    <col min="13322" max="13322" width="5.75" style="2813" customWidth="1"/>
    <col min="13323" max="13323" width="11.75" style="2813" customWidth="1"/>
    <col min="13324" max="13325" width="10.75" style="2813" customWidth="1"/>
    <col min="13326" max="13326" width="10" style="2813" customWidth="1"/>
    <col min="13327" max="13328" width="10.5" style="2813" bestFit="1" customWidth="1"/>
    <col min="13329" max="13329" width="10" style="2813" customWidth="1"/>
    <col min="13330" max="13330" width="10.125" style="2813" customWidth="1"/>
    <col min="13331" max="13331" width="10" style="2813" customWidth="1"/>
    <col min="13332" max="13332" width="26.125" style="2813" customWidth="1"/>
    <col min="13333" max="13568" width="8.875" style="2813"/>
    <col min="13569" max="13569" width="9.5" style="2813" customWidth="1"/>
    <col min="13570" max="13570" width="8.875" style="2813"/>
    <col min="13571" max="13573" width="12.875" style="2813" customWidth="1"/>
    <col min="13574" max="13574" width="47.5" style="2813" customWidth="1"/>
    <col min="13575" max="13575" width="13" style="2813" customWidth="1"/>
    <col min="13576" max="13577" width="8.875" style="2813"/>
    <col min="13578" max="13578" width="5.75" style="2813" customWidth="1"/>
    <col min="13579" max="13579" width="11.75" style="2813" customWidth="1"/>
    <col min="13580" max="13581" width="10.75" style="2813" customWidth="1"/>
    <col min="13582" max="13582" width="10" style="2813" customWidth="1"/>
    <col min="13583" max="13584" width="10.5" style="2813" bestFit="1" customWidth="1"/>
    <col min="13585" max="13585" width="10" style="2813" customWidth="1"/>
    <col min="13586" max="13586" width="10.125" style="2813" customWidth="1"/>
    <col min="13587" max="13587" width="10" style="2813" customWidth="1"/>
    <col min="13588" max="13588" width="26.125" style="2813" customWidth="1"/>
    <col min="13589" max="13824" width="8.875" style="2813"/>
    <col min="13825" max="13825" width="9.5" style="2813" customWidth="1"/>
    <col min="13826" max="13826" width="8.875" style="2813"/>
    <col min="13827" max="13829" width="12.875" style="2813" customWidth="1"/>
    <col min="13830" max="13830" width="47.5" style="2813" customWidth="1"/>
    <col min="13831" max="13831" width="13" style="2813" customWidth="1"/>
    <col min="13832" max="13833" width="8.875" style="2813"/>
    <col min="13834" max="13834" width="5.75" style="2813" customWidth="1"/>
    <col min="13835" max="13835" width="11.75" style="2813" customWidth="1"/>
    <col min="13836" max="13837" width="10.75" style="2813" customWidth="1"/>
    <col min="13838" max="13838" width="10" style="2813" customWidth="1"/>
    <col min="13839" max="13840" width="10.5" style="2813" bestFit="1" customWidth="1"/>
    <col min="13841" max="13841" width="10" style="2813" customWidth="1"/>
    <col min="13842" max="13842" width="10.125" style="2813" customWidth="1"/>
    <col min="13843" max="13843" width="10" style="2813" customWidth="1"/>
    <col min="13844" max="13844" width="26.125" style="2813" customWidth="1"/>
    <col min="13845" max="14080" width="8.875" style="2813"/>
    <col min="14081" max="14081" width="9.5" style="2813" customWidth="1"/>
    <col min="14082" max="14082" width="8.875" style="2813"/>
    <col min="14083" max="14085" width="12.875" style="2813" customWidth="1"/>
    <col min="14086" max="14086" width="47.5" style="2813" customWidth="1"/>
    <col min="14087" max="14087" width="13" style="2813" customWidth="1"/>
    <col min="14088" max="14089" width="8.875" style="2813"/>
    <col min="14090" max="14090" width="5.75" style="2813" customWidth="1"/>
    <col min="14091" max="14091" width="11.75" style="2813" customWidth="1"/>
    <col min="14092" max="14093" width="10.75" style="2813" customWidth="1"/>
    <col min="14094" max="14094" width="10" style="2813" customWidth="1"/>
    <col min="14095" max="14096" width="10.5" style="2813" bestFit="1" customWidth="1"/>
    <col min="14097" max="14097" width="10" style="2813" customWidth="1"/>
    <col min="14098" max="14098" width="10.125" style="2813" customWidth="1"/>
    <col min="14099" max="14099" width="10" style="2813" customWidth="1"/>
    <col min="14100" max="14100" width="26.125" style="2813" customWidth="1"/>
    <col min="14101" max="14336" width="8.875" style="2813"/>
    <col min="14337" max="14337" width="9.5" style="2813" customWidth="1"/>
    <col min="14338" max="14338" width="8.875" style="2813"/>
    <col min="14339" max="14341" width="12.875" style="2813" customWidth="1"/>
    <col min="14342" max="14342" width="47.5" style="2813" customWidth="1"/>
    <col min="14343" max="14343" width="13" style="2813" customWidth="1"/>
    <col min="14344" max="14345" width="8.875" style="2813"/>
    <col min="14346" max="14346" width="5.75" style="2813" customWidth="1"/>
    <col min="14347" max="14347" width="11.75" style="2813" customWidth="1"/>
    <col min="14348" max="14349" width="10.75" style="2813" customWidth="1"/>
    <col min="14350" max="14350" width="10" style="2813" customWidth="1"/>
    <col min="14351" max="14352" width="10.5" style="2813" bestFit="1" customWidth="1"/>
    <col min="14353" max="14353" width="10" style="2813" customWidth="1"/>
    <col min="14354" max="14354" width="10.125" style="2813" customWidth="1"/>
    <col min="14355" max="14355" width="10" style="2813" customWidth="1"/>
    <col min="14356" max="14356" width="26.125" style="2813" customWidth="1"/>
    <col min="14357" max="14592" width="8.875" style="2813"/>
    <col min="14593" max="14593" width="9.5" style="2813" customWidth="1"/>
    <col min="14594" max="14594" width="8.875" style="2813"/>
    <col min="14595" max="14597" width="12.875" style="2813" customWidth="1"/>
    <col min="14598" max="14598" width="47.5" style="2813" customWidth="1"/>
    <col min="14599" max="14599" width="13" style="2813" customWidth="1"/>
    <col min="14600" max="14601" width="8.875" style="2813"/>
    <col min="14602" max="14602" width="5.75" style="2813" customWidth="1"/>
    <col min="14603" max="14603" width="11.75" style="2813" customWidth="1"/>
    <col min="14604" max="14605" width="10.75" style="2813" customWidth="1"/>
    <col min="14606" max="14606" width="10" style="2813" customWidth="1"/>
    <col min="14607" max="14608" width="10.5" style="2813" bestFit="1" customWidth="1"/>
    <col min="14609" max="14609" width="10" style="2813" customWidth="1"/>
    <col min="14610" max="14610" width="10.125" style="2813" customWidth="1"/>
    <col min="14611" max="14611" width="10" style="2813" customWidth="1"/>
    <col min="14612" max="14612" width="26.125" style="2813" customWidth="1"/>
    <col min="14613" max="14848" width="8.875" style="2813"/>
    <col min="14849" max="14849" width="9.5" style="2813" customWidth="1"/>
    <col min="14850" max="14850" width="8.875" style="2813"/>
    <col min="14851" max="14853" width="12.875" style="2813" customWidth="1"/>
    <col min="14854" max="14854" width="47.5" style="2813" customWidth="1"/>
    <col min="14855" max="14855" width="13" style="2813" customWidth="1"/>
    <col min="14856" max="14857" width="8.875" style="2813"/>
    <col min="14858" max="14858" width="5.75" style="2813" customWidth="1"/>
    <col min="14859" max="14859" width="11.75" style="2813" customWidth="1"/>
    <col min="14860" max="14861" width="10.75" style="2813" customWidth="1"/>
    <col min="14862" max="14862" width="10" style="2813" customWidth="1"/>
    <col min="14863" max="14864" width="10.5" style="2813" bestFit="1" customWidth="1"/>
    <col min="14865" max="14865" width="10" style="2813" customWidth="1"/>
    <col min="14866" max="14866" width="10.125" style="2813" customWidth="1"/>
    <col min="14867" max="14867" width="10" style="2813" customWidth="1"/>
    <col min="14868" max="14868" width="26.125" style="2813" customWidth="1"/>
    <col min="14869" max="15104" width="8.875" style="2813"/>
    <col min="15105" max="15105" width="9.5" style="2813" customWidth="1"/>
    <col min="15106" max="15106" width="8.875" style="2813"/>
    <col min="15107" max="15109" width="12.875" style="2813" customWidth="1"/>
    <col min="15110" max="15110" width="47.5" style="2813" customWidth="1"/>
    <col min="15111" max="15111" width="13" style="2813" customWidth="1"/>
    <col min="15112" max="15113" width="8.875" style="2813"/>
    <col min="15114" max="15114" width="5.75" style="2813" customWidth="1"/>
    <col min="15115" max="15115" width="11.75" style="2813" customWidth="1"/>
    <col min="15116" max="15117" width="10.75" style="2813" customWidth="1"/>
    <col min="15118" max="15118" width="10" style="2813" customWidth="1"/>
    <col min="15119" max="15120" width="10.5" style="2813" bestFit="1" customWidth="1"/>
    <col min="15121" max="15121" width="10" style="2813" customWidth="1"/>
    <col min="15122" max="15122" width="10.125" style="2813" customWidth="1"/>
    <col min="15123" max="15123" width="10" style="2813" customWidth="1"/>
    <col min="15124" max="15124" width="26.125" style="2813" customWidth="1"/>
    <col min="15125" max="15360" width="8.875" style="2813"/>
    <col min="15361" max="15361" width="9.5" style="2813" customWidth="1"/>
    <col min="15362" max="15362" width="8.875" style="2813"/>
    <col min="15363" max="15365" width="12.875" style="2813" customWidth="1"/>
    <col min="15366" max="15366" width="47.5" style="2813" customWidth="1"/>
    <col min="15367" max="15367" width="13" style="2813" customWidth="1"/>
    <col min="15368" max="15369" width="8.875" style="2813"/>
    <col min="15370" max="15370" width="5.75" style="2813" customWidth="1"/>
    <col min="15371" max="15371" width="11.75" style="2813" customWidth="1"/>
    <col min="15372" max="15373" width="10.75" style="2813" customWidth="1"/>
    <col min="15374" max="15374" width="10" style="2813" customWidth="1"/>
    <col min="15375" max="15376" width="10.5" style="2813" bestFit="1" customWidth="1"/>
    <col min="15377" max="15377" width="10" style="2813" customWidth="1"/>
    <col min="15378" max="15378" width="10.125" style="2813" customWidth="1"/>
    <col min="15379" max="15379" width="10" style="2813" customWidth="1"/>
    <col min="15380" max="15380" width="26.125" style="2813" customWidth="1"/>
    <col min="15381" max="15616" width="8.875" style="2813"/>
    <col min="15617" max="15617" width="9.5" style="2813" customWidth="1"/>
    <col min="15618" max="15618" width="8.875" style="2813"/>
    <col min="15619" max="15621" width="12.875" style="2813" customWidth="1"/>
    <col min="15622" max="15622" width="47.5" style="2813" customWidth="1"/>
    <col min="15623" max="15623" width="13" style="2813" customWidth="1"/>
    <col min="15624" max="15625" width="8.875" style="2813"/>
    <col min="15626" max="15626" width="5.75" style="2813" customWidth="1"/>
    <col min="15627" max="15627" width="11.75" style="2813" customWidth="1"/>
    <col min="15628" max="15629" width="10.75" style="2813" customWidth="1"/>
    <col min="15630" max="15630" width="10" style="2813" customWidth="1"/>
    <col min="15631" max="15632" width="10.5" style="2813" bestFit="1" customWidth="1"/>
    <col min="15633" max="15633" width="10" style="2813" customWidth="1"/>
    <col min="15634" max="15634" width="10.125" style="2813" customWidth="1"/>
    <col min="15635" max="15635" width="10" style="2813" customWidth="1"/>
    <col min="15636" max="15636" width="26.125" style="2813" customWidth="1"/>
    <col min="15637" max="15872" width="8.875" style="2813"/>
    <col min="15873" max="15873" width="9.5" style="2813" customWidth="1"/>
    <col min="15874" max="15874" width="8.875" style="2813"/>
    <col min="15875" max="15877" width="12.875" style="2813" customWidth="1"/>
    <col min="15878" max="15878" width="47.5" style="2813" customWidth="1"/>
    <col min="15879" max="15879" width="13" style="2813" customWidth="1"/>
    <col min="15880" max="15881" width="8.875" style="2813"/>
    <col min="15882" max="15882" width="5.75" style="2813" customWidth="1"/>
    <col min="15883" max="15883" width="11.75" style="2813" customWidth="1"/>
    <col min="15884" max="15885" width="10.75" style="2813" customWidth="1"/>
    <col min="15886" max="15886" width="10" style="2813" customWidth="1"/>
    <col min="15887" max="15888" width="10.5" style="2813" bestFit="1" customWidth="1"/>
    <col min="15889" max="15889" width="10" style="2813" customWidth="1"/>
    <col min="15890" max="15890" width="10.125" style="2813" customWidth="1"/>
    <col min="15891" max="15891" width="10" style="2813" customWidth="1"/>
    <col min="15892" max="15892" width="26.125" style="2813" customWidth="1"/>
    <col min="15893" max="16128" width="8.875" style="2813"/>
    <col min="16129" max="16129" width="9.5" style="2813" customWidth="1"/>
    <col min="16130" max="16130" width="8.875" style="2813"/>
    <col min="16131" max="16133" width="12.875" style="2813" customWidth="1"/>
    <col min="16134" max="16134" width="47.5" style="2813" customWidth="1"/>
    <col min="16135" max="16135" width="13" style="2813" customWidth="1"/>
    <col min="16136" max="16137" width="8.875" style="2813"/>
    <col min="16138" max="16138" width="5.75" style="2813" customWidth="1"/>
    <col min="16139" max="16139" width="11.75" style="2813" customWidth="1"/>
    <col min="16140" max="16141" width="10.75" style="2813" customWidth="1"/>
    <col min="16142" max="16142" width="10" style="2813" customWidth="1"/>
    <col min="16143" max="16144" width="10.5" style="2813" bestFit="1" customWidth="1"/>
    <col min="16145" max="16145" width="10" style="2813" customWidth="1"/>
    <col min="16146" max="16146" width="10.125" style="2813" customWidth="1"/>
    <col min="16147" max="16147" width="10" style="2813" customWidth="1"/>
    <col min="16148" max="16148" width="26.125" style="2813" customWidth="1"/>
    <col min="16149" max="16384" width="8.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15" customHeight="1">
      <c r="A2" s="1380" t="s">
        <v>2297</v>
      </c>
      <c r="B2" s="2814" t="e">
        <f>IF(D2="——",C40,C40+E2)</f>
        <v>#DIV/0!</v>
      </c>
      <c r="C2" s="2815" t="s">
        <v>2298</v>
      </c>
      <c r="D2" s="3413" t="s">
        <v>3340</v>
      </c>
      <c r="E2" s="3414"/>
      <c r="F2" s="2817"/>
      <c r="G2" s="2818"/>
      <c r="H2" s="2819"/>
      <c r="I2" s="2820"/>
      <c r="J2" s="3753" t="s">
        <v>2299</v>
      </c>
      <c r="K2" s="3754"/>
      <c r="L2" s="2821" t="s">
        <v>2300</v>
      </c>
      <c r="M2" s="2821" t="s">
        <v>2301</v>
      </c>
      <c r="N2" s="2821" t="s">
        <v>2302</v>
      </c>
      <c r="O2" s="2821" t="s">
        <v>2303</v>
      </c>
      <c r="P2" s="2821" t="s">
        <v>2304</v>
      </c>
      <c r="Q2" s="2822" t="s">
        <v>2305</v>
      </c>
      <c r="R2" s="2823" t="s">
        <v>2306</v>
      </c>
      <c r="S2" s="2812"/>
      <c r="T2" s="2812"/>
      <c r="U2" s="2812"/>
      <c r="V2" s="2820"/>
    </row>
    <row r="3" spans="1:22" s="2824" customFormat="1" ht="13.15" customHeight="1">
      <c r="A3" s="2825" t="s">
        <v>2307</v>
      </c>
      <c r="B3" s="2826" t="e">
        <f>ROUND(B2*10000/B4,0)</f>
        <v>#DIV/0!</v>
      </c>
      <c r="C3" s="2815" t="s">
        <v>2308</v>
      </c>
      <c r="D3" s="2815"/>
      <c r="E3" s="2816"/>
      <c r="F3" s="2817"/>
      <c r="G3" s="2818"/>
      <c r="H3" s="2819"/>
      <c r="I3" s="2820"/>
      <c r="J3" s="3755" t="s">
        <v>2309</v>
      </c>
      <c r="K3" s="3756"/>
      <c r="L3" s="2827"/>
      <c r="M3" s="2827"/>
      <c r="N3" s="2827"/>
      <c r="O3" s="2827"/>
      <c r="P3" s="2827"/>
      <c r="Q3" s="2828"/>
      <c r="R3" s="2829">
        <f>SUM(L3:Q3)</f>
        <v>0</v>
      </c>
      <c r="S3" s="2812"/>
      <c r="T3" s="2812"/>
      <c r="U3" s="2812"/>
      <c r="V3" s="2820"/>
    </row>
    <row r="4" spans="1:22" s="2824" customFormat="1" ht="13.15" customHeight="1">
      <c r="A4" s="2830" t="s">
        <v>2310</v>
      </c>
      <c r="B4" s="2831"/>
      <c r="C4" s="2815"/>
      <c r="D4" s="2815"/>
      <c r="E4" s="2816"/>
      <c r="F4" s="2817"/>
      <c r="G4" s="2818"/>
      <c r="H4" s="2819"/>
      <c r="I4" s="2820"/>
      <c r="J4" s="3755" t="s">
        <v>2311</v>
      </c>
      <c r="K4" s="3756"/>
      <c r="L4" s="2832"/>
      <c r="M4" s="2832"/>
      <c r="N4" s="2832"/>
      <c r="O4" s="2832"/>
      <c r="P4" s="2832"/>
      <c r="Q4" s="2833"/>
      <c r="R4" s="2834">
        <f>SUM(L4:Q4)</f>
        <v>0</v>
      </c>
      <c r="S4" s="2812"/>
      <c r="T4" s="2812"/>
      <c r="U4" s="2812"/>
      <c r="V4" s="2820"/>
    </row>
    <row r="5" spans="1:22" s="2824" customFormat="1" ht="13.15"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15" customHeight="1" thickBot="1">
      <c r="A6" s="3757" t="s">
        <v>2315</v>
      </c>
      <c r="B6" s="3758"/>
      <c r="C6" s="3759"/>
      <c r="D6" s="2841"/>
      <c r="E6" s="2842"/>
      <c r="F6" s="2843"/>
      <c r="G6" s="2844"/>
      <c r="H6" s="2819"/>
      <c r="I6" s="2820"/>
      <c r="J6" s="3760">
        <v>1</v>
      </c>
      <c r="K6" s="3761"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15" customHeight="1">
      <c r="A7" s="2847" t="s">
        <v>2325</v>
      </c>
      <c r="B7" s="2848"/>
      <c r="C7" s="2849"/>
      <c r="D7" s="2850">
        <f>SUM(D9,D10,D11,D17,0)</f>
        <v>0</v>
      </c>
      <c r="E7" s="2851" t="e">
        <f>E9+E10+E11+E17</f>
        <v>#DIV/0!</v>
      </c>
      <c r="F7" s="2852"/>
      <c r="G7" s="2853"/>
      <c r="H7" s="2819"/>
      <c r="I7" s="2820"/>
      <c r="J7" s="3760"/>
      <c r="K7" s="3762"/>
      <c r="L7" s="2854" t="s">
        <v>2326</v>
      </c>
      <c r="M7" s="2855"/>
      <c r="N7" s="2831"/>
      <c r="O7" s="2856"/>
      <c r="P7" s="2856"/>
      <c r="Q7" s="2857">
        <v>365</v>
      </c>
      <c r="R7" s="2858">
        <f>ROUND(M7*N7*O7*P7*Q7/10000,0)</f>
        <v>0</v>
      </c>
      <c r="S7" s="2812"/>
      <c r="T7" s="2812" t="s">
        <v>2327</v>
      </c>
      <c r="U7" s="2812"/>
      <c r="V7" s="2820"/>
    </row>
    <row r="8" spans="1:22" s="2824" customFormat="1" ht="13.15" customHeight="1">
      <c r="A8" s="2859" t="s">
        <v>2328</v>
      </c>
      <c r="B8" s="3764" t="s">
        <v>2329</v>
      </c>
      <c r="C8" s="3765"/>
      <c r="D8" s="2860" t="s">
        <v>2330</v>
      </c>
      <c r="E8" s="2861" t="s">
        <v>2331</v>
      </c>
      <c r="F8" s="2862" t="s">
        <v>2332</v>
      </c>
      <c r="G8" s="2863"/>
      <c r="H8" s="2819"/>
      <c r="I8" s="2820"/>
      <c r="J8" s="3760"/>
      <c r="K8" s="3762"/>
      <c r="L8" s="2854" t="s">
        <v>2333</v>
      </c>
      <c r="M8" s="2855"/>
      <c r="N8" s="2831"/>
      <c r="O8" s="2856"/>
      <c r="P8" s="2856"/>
      <c r="Q8" s="2857">
        <v>365</v>
      </c>
      <c r="R8" s="2858">
        <f t="shared" ref="R8:R13" si="0">ROUND(M8*N8*O8*P8*Q8/10000,0)</f>
        <v>0</v>
      </c>
      <c r="S8" s="2812"/>
      <c r="T8" s="2812" t="s">
        <v>2334</v>
      </c>
      <c r="U8" s="2812"/>
      <c r="V8" s="2820"/>
    </row>
    <row r="9" spans="1:22" s="2824" customFormat="1" ht="13.15" customHeight="1">
      <c r="A9" s="2859">
        <v>1</v>
      </c>
      <c r="B9" s="3764" t="s">
        <v>2335</v>
      </c>
      <c r="C9" s="3765"/>
      <c r="D9" s="2860">
        <f>ROUND(D6*E9,0)</f>
        <v>0</v>
      </c>
      <c r="E9" s="2864"/>
      <c r="F9" s="2865" t="s">
        <v>2336</v>
      </c>
      <c r="G9" s="2844"/>
      <c r="H9" s="2819"/>
      <c r="I9" s="2820"/>
      <c r="J9" s="3760"/>
      <c r="K9" s="3762"/>
      <c r="L9" s="2854" t="s">
        <v>2337</v>
      </c>
      <c r="M9" s="2855"/>
      <c r="N9" s="2831"/>
      <c r="O9" s="2856"/>
      <c r="P9" s="2856"/>
      <c r="Q9" s="2857">
        <v>365</v>
      </c>
      <c r="R9" s="2858">
        <f t="shared" si="0"/>
        <v>0</v>
      </c>
      <c r="S9" s="2812"/>
      <c r="T9" s="2812"/>
      <c r="U9" s="2812"/>
      <c r="V9" s="2820"/>
    </row>
    <row r="10" spans="1:22" s="2824" customFormat="1" ht="13.15" customHeight="1">
      <c r="A10" s="2859">
        <v>2</v>
      </c>
      <c r="B10" s="3764" t="s">
        <v>2338</v>
      </c>
      <c r="C10" s="3765"/>
      <c r="D10" s="2860">
        <f>ROUND(D6*E10,0)</f>
        <v>0</v>
      </c>
      <c r="E10" s="2864"/>
      <c r="F10" s="2865" t="s">
        <v>2339</v>
      </c>
      <c r="G10" s="2844"/>
      <c r="H10" s="2819"/>
      <c r="I10" s="2820"/>
      <c r="J10" s="3760"/>
      <c r="K10" s="3762"/>
      <c r="L10" s="2854" t="s">
        <v>2340</v>
      </c>
      <c r="M10" s="2855"/>
      <c r="N10" s="2831"/>
      <c r="O10" s="2856"/>
      <c r="P10" s="2856"/>
      <c r="Q10" s="2857">
        <v>365</v>
      </c>
      <c r="R10" s="2858">
        <f t="shared" si="0"/>
        <v>0</v>
      </c>
      <c r="S10" s="2812"/>
      <c r="T10" s="2812"/>
      <c r="U10" s="2812"/>
      <c r="V10" s="2820"/>
    </row>
    <row r="11" spans="1:22" s="2824" customFormat="1" ht="13.15" customHeight="1">
      <c r="A11" s="2859">
        <v>3</v>
      </c>
      <c r="B11" s="3764" t="s">
        <v>2341</v>
      </c>
      <c r="C11" s="3765"/>
      <c r="D11" s="2860">
        <f>D12+D14+D15+D16</f>
        <v>0</v>
      </c>
      <c r="E11" s="2866" t="e">
        <f>D11/D6</f>
        <v>#DIV/0!</v>
      </c>
      <c r="F11" s="2862"/>
      <c r="G11" s="2863"/>
      <c r="H11" s="2819"/>
      <c r="I11" s="2820"/>
      <c r="J11" s="3760"/>
      <c r="K11" s="3762"/>
      <c r="L11" s="2854" t="s">
        <v>2342</v>
      </c>
      <c r="M11" s="2855"/>
      <c r="N11" s="2831"/>
      <c r="O11" s="2856"/>
      <c r="P11" s="2856"/>
      <c r="Q11" s="2857">
        <v>365</v>
      </c>
      <c r="R11" s="2858">
        <f t="shared" si="0"/>
        <v>0</v>
      </c>
      <c r="S11" s="2812"/>
      <c r="T11" s="2812"/>
      <c r="U11" s="2812"/>
      <c r="V11" s="2820"/>
    </row>
    <row r="12" spans="1:22" s="2824" customFormat="1" ht="13.15" customHeight="1">
      <c r="A12" s="2867" t="s">
        <v>2343</v>
      </c>
      <c r="B12" s="3766" t="s">
        <v>2344</v>
      </c>
      <c r="C12" s="3767"/>
      <c r="D12" s="2868">
        <f>ROUND(D13*1.2%*(1-30%),0)</f>
        <v>0</v>
      </c>
      <c r="E12" s="2869">
        <v>1.2E-2</v>
      </c>
      <c r="F12" s="2862" t="s">
        <v>2345</v>
      </c>
      <c r="G12" s="2863"/>
      <c r="H12" s="2819"/>
      <c r="I12" s="2820"/>
      <c r="J12" s="3760"/>
      <c r="K12" s="3762"/>
      <c r="L12" s="2854" t="s">
        <v>2346</v>
      </c>
      <c r="M12" s="2855"/>
      <c r="N12" s="2831"/>
      <c r="O12" s="2856"/>
      <c r="P12" s="2856"/>
      <c r="Q12" s="2857">
        <v>365</v>
      </c>
      <c r="R12" s="2858">
        <f t="shared" si="0"/>
        <v>0</v>
      </c>
      <c r="S12" s="2812"/>
      <c r="T12" s="2812"/>
      <c r="U12" s="2812"/>
      <c r="V12" s="2820"/>
    </row>
    <row r="13" spans="1:22" s="2824" customFormat="1" ht="13.15" customHeight="1">
      <c r="A13" s="2867"/>
      <c r="B13" s="2870"/>
      <c r="C13" s="2871" t="s">
        <v>2347</v>
      </c>
      <c r="D13" s="2872"/>
      <c r="E13" s="2873"/>
      <c r="F13" s="2862"/>
      <c r="G13" s="2863"/>
      <c r="H13" s="2819"/>
      <c r="I13" s="2820"/>
      <c r="J13" s="3760"/>
      <c r="K13" s="3762"/>
      <c r="L13" s="2854" t="s">
        <v>2348</v>
      </c>
      <c r="M13" s="2855"/>
      <c r="N13" s="2831"/>
      <c r="O13" s="2856"/>
      <c r="P13" s="2856"/>
      <c r="Q13" s="2857">
        <v>365</v>
      </c>
      <c r="R13" s="2858">
        <f t="shared" si="0"/>
        <v>0</v>
      </c>
      <c r="S13" s="2812"/>
      <c r="T13" s="2812"/>
      <c r="U13" s="2812"/>
      <c r="V13" s="2820"/>
    </row>
    <row r="14" spans="1:22" s="2824" customFormat="1" ht="13.15" customHeight="1">
      <c r="A14" s="2867" t="s">
        <v>2349</v>
      </c>
      <c r="B14" s="3766" t="s">
        <v>2350</v>
      </c>
      <c r="C14" s="3767"/>
      <c r="D14" s="2868">
        <f>ROUND(E14*B5/10000,0)</f>
        <v>0</v>
      </c>
      <c r="E14" s="2857"/>
      <c r="F14" s="2862" t="s">
        <v>2351</v>
      </c>
      <c r="G14" s="2863"/>
      <c r="H14" s="2819"/>
      <c r="I14" s="2820"/>
      <c r="J14" s="3760"/>
      <c r="K14" s="3763"/>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15" customHeight="1">
      <c r="A15" s="2867" t="s">
        <v>2353</v>
      </c>
      <c r="B15" s="3766" t="s">
        <v>2354</v>
      </c>
      <c r="C15" s="3767"/>
      <c r="D15" s="2868">
        <f>ROUND(D6*E15,0)</f>
        <v>0</v>
      </c>
      <c r="E15" s="2869">
        <v>5.5E-2</v>
      </c>
      <c r="F15" s="2862" t="s">
        <v>2355</v>
      </c>
      <c r="G15" s="2844"/>
      <c r="H15" s="2819"/>
      <c r="I15" s="2820"/>
      <c r="J15" s="3760">
        <v>2</v>
      </c>
      <c r="K15" s="3761"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15" customHeight="1">
      <c r="A16" s="2867" t="s">
        <v>2362</v>
      </c>
      <c r="B16" s="3766" t="s">
        <v>2363</v>
      </c>
      <c r="C16" s="3767"/>
      <c r="D16" s="2879">
        <f>D6*E16</f>
        <v>0</v>
      </c>
      <c r="E16" s="2880"/>
      <c r="F16" s="2865" t="s">
        <v>2364</v>
      </c>
      <c r="G16" s="2844"/>
      <c r="H16" s="2819"/>
      <c r="I16" s="2820"/>
      <c r="J16" s="3760"/>
      <c r="K16" s="3762"/>
      <c r="L16" s="2854" t="s">
        <v>2365</v>
      </c>
      <c r="M16" s="2855"/>
      <c r="N16" s="2855"/>
      <c r="O16" s="2856"/>
      <c r="P16" s="2857">
        <v>365</v>
      </c>
      <c r="Q16" s="2831"/>
      <c r="R16" s="2878">
        <f>ROUND(M16*N16*O16*P16/10000,0)</f>
        <v>0</v>
      </c>
      <c r="S16" s="2812"/>
      <c r="T16" s="2812"/>
      <c r="U16" s="2812"/>
      <c r="V16" s="2820"/>
    </row>
    <row r="17" spans="1:22" s="2824" customFormat="1" ht="13.15" customHeight="1" thickBot="1">
      <c r="A17" s="2881">
        <v>4</v>
      </c>
      <c r="B17" s="3768" t="s">
        <v>2366</v>
      </c>
      <c r="C17" s="3769"/>
      <c r="D17" s="2882">
        <f>ROUND(D6*E17,0)</f>
        <v>0</v>
      </c>
      <c r="E17" s="2883"/>
      <c r="F17" s="2884" t="s">
        <v>2367</v>
      </c>
      <c r="G17" s="2844"/>
      <c r="H17" s="2819"/>
      <c r="I17" s="2820"/>
      <c r="J17" s="3760"/>
      <c r="K17" s="3762"/>
      <c r="L17" s="2854" t="s">
        <v>2368</v>
      </c>
      <c r="M17" s="2855"/>
      <c r="N17" s="2855"/>
      <c r="O17" s="2856"/>
      <c r="P17" s="2857">
        <v>365</v>
      </c>
      <c r="Q17" s="2831"/>
      <c r="R17" s="2878">
        <f>ROUND(M17*N17*O17*P17/10000,0)</f>
        <v>0</v>
      </c>
      <c r="S17" s="2812"/>
      <c r="T17" s="2812"/>
      <c r="U17" s="2812"/>
      <c r="V17" s="2820"/>
    </row>
    <row r="18" spans="1:22" s="2824" customFormat="1" ht="13.15" customHeight="1" thickBot="1">
      <c r="A18" s="2847" t="s">
        <v>2369</v>
      </c>
      <c r="B18" s="2848"/>
      <c r="C18" s="2848"/>
      <c r="D18" s="2885">
        <f>ROUND(D6*E18,0)</f>
        <v>0</v>
      </c>
      <c r="E18" s="2886"/>
      <c r="F18" s="2887" t="s">
        <v>2370</v>
      </c>
      <c r="G18" s="2844"/>
      <c r="H18" s="2819"/>
      <c r="I18" s="2820"/>
      <c r="J18" s="3760"/>
      <c r="K18" s="3762"/>
      <c r="L18" s="2854" t="s">
        <v>2371</v>
      </c>
      <c r="M18" s="2855"/>
      <c r="N18" s="2855"/>
      <c r="O18" s="2856"/>
      <c r="P18" s="2857">
        <v>365</v>
      </c>
      <c r="Q18" s="2831"/>
      <c r="R18" s="2878">
        <f>ROUND(M18*N18*O18*P18/10000,0)</f>
        <v>0</v>
      </c>
      <c r="S18" s="2812"/>
      <c r="T18" s="2812"/>
      <c r="U18" s="2812"/>
      <c r="V18" s="2820"/>
    </row>
    <row r="19" spans="1:22" s="2824" customFormat="1" ht="13.15" customHeight="1" thickBot="1">
      <c r="A19" s="2888" t="s">
        <v>2372</v>
      </c>
      <c r="B19" s="2842"/>
      <c r="C19" s="2842"/>
      <c r="D19" s="2842"/>
      <c r="E19" s="2842"/>
      <c r="F19" s="2843"/>
      <c r="G19" s="2863"/>
      <c r="H19" s="2819"/>
      <c r="I19" s="2820"/>
      <c r="J19" s="3760"/>
      <c r="K19" s="3763"/>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15" customHeight="1">
      <c r="A20" s="2847"/>
      <c r="B20" s="2848"/>
      <c r="C20" s="2848"/>
      <c r="D20" s="2848"/>
      <c r="E20" s="2848"/>
      <c r="F20" s="2891"/>
      <c r="G20" s="2863"/>
      <c r="H20" s="2819"/>
      <c r="I20" s="2820"/>
      <c r="J20" s="3760">
        <v>3</v>
      </c>
      <c r="K20" s="3761"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15" customHeight="1">
      <c r="A21" s="2847"/>
      <c r="B21" s="2848"/>
      <c r="C21" s="2894" t="s">
        <v>2381</v>
      </c>
      <c r="D21" s="2895" t="s">
        <v>2382</v>
      </c>
      <c r="E21" s="2896" t="s">
        <v>2383</v>
      </c>
      <c r="F21" s="2891"/>
      <c r="G21" s="2863"/>
      <c r="H21" s="2819"/>
      <c r="I21" s="2820"/>
      <c r="J21" s="3760"/>
      <c r="K21" s="3762"/>
      <c r="L21" s="2854" t="s">
        <v>2384</v>
      </c>
      <c r="M21" s="2855"/>
      <c r="N21" s="2855"/>
      <c r="O21" s="2856"/>
      <c r="P21" s="2857">
        <v>365</v>
      </c>
      <c r="Q21" s="2831"/>
      <c r="R21" s="2897">
        <f>ROUND(M21*N21*O21*P21/10000,0)</f>
        <v>0</v>
      </c>
      <c r="S21" s="2893"/>
      <c r="T21" s="2893"/>
      <c r="U21" s="2893"/>
      <c r="V21" s="2820"/>
    </row>
    <row r="22" spans="1:22" s="2824" customFormat="1" ht="13.15" customHeight="1">
      <c r="A22" s="2847"/>
      <c r="B22" s="2848"/>
      <c r="C22" s="2898" t="s">
        <v>2385</v>
      </c>
      <c r="D22" s="2899" t="s">
        <v>2386</v>
      </c>
      <c r="E22" s="2900" t="s">
        <v>2387</v>
      </c>
      <c r="F22" s="2891"/>
      <c r="G22" s="2901"/>
      <c r="H22" s="2819"/>
      <c r="I22" s="2820"/>
      <c r="J22" s="3760"/>
      <c r="K22" s="3762"/>
      <c r="L22" s="2854" t="s">
        <v>2388</v>
      </c>
      <c r="M22" s="2855"/>
      <c r="N22" s="2855"/>
      <c r="O22" s="2856"/>
      <c r="P22" s="2857">
        <v>365</v>
      </c>
      <c r="Q22" s="2831"/>
      <c r="R22" s="2897">
        <f>ROUND(M22*N22*O22*P22/10000,0)</f>
        <v>0</v>
      </c>
      <c r="S22" s="2893"/>
      <c r="T22" s="2893"/>
      <c r="U22" s="2893"/>
      <c r="V22" s="2820"/>
    </row>
    <row r="23" spans="1:22" s="2824" customFormat="1" ht="13.15" customHeight="1">
      <c r="A23" s="2902">
        <v>1</v>
      </c>
      <c r="B23" s="2903" t="s">
        <v>2389</v>
      </c>
      <c r="C23" s="2904">
        <f>D6</f>
        <v>0</v>
      </c>
      <c r="D23" s="2905">
        <f>C23*(1+D24)</f>
        <v>0</v>
      </c>
      <c r="E23" s="2906">
        <f>D23*(1+E24)</f>
        <v>0</v>
      </c>
      <c r="F23" s="2907"/>
      <c r="G23" s="2908"/>
      <c r="H23" s="2819"/>
      <c r="I23" s="2820"/>
      <c r="J23" s="3760"/>
      <c r="K23" s="3762"/>
      <c r="L23" s="2854" t="s">
        <v>2390</v>
      </c>
      <c r="M23" s="2855"/>
      <c r="N23" s="2855"/>
      <c r="O23" s="2856"/>
      <c r="P23" s="2857">
        <v>365</v>
      </c>
      <c r="Q23" s="2831"/>
      <c r="R23" s="2897">
        <f>ROUND(M23*N23*O23*P23/10000,0)</f>
        <v>0</v>
      </c>
      <c r="S23" s="2812"/>
      <c r="T23" s="2812"/>
      <c r="U23" s="2812"/>
      <c r="V23" s="2820"/>
    </row>
    <row r="24" spans="1:22" s="2824" customFormat="1" ht="13.15" customHeight="1">
      <c r="A24" s="2909"/>
      <c r="B24" s="2910" t="s">
        <v>2391</v>
      </c>
      <c r="C24" s="2911"/>
      <c r="D24" s="2912"/>
      <c r="E24" s="2913"/>
      <c r="F24" s="2914"/>
      <c r="G24" s="2908"/>
      <c r="H24" s="2819"/>
      <c r="I24" s="2820"/>
      <c r="J24" s="3760"/>
      <c r="K24" s="3763"/>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15"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15" customHeight="1">
      <c r="A26" s="2902">
        <v>2</v>
      </c>
      <c r="B26" s="2903" t="s">
        <v>2393</v>
      </c>
      <c r="C26" s="2904">
        <f>D7</f>
        <v>0</v>
      </c>
      <c r="D26" s="2905">
        <f>D23*D27</f>
        <v>0</v>
      </c>
      <c r="E26" s="2906">
        <f>E23*E27</f>
        <v>0</v>
      </c>
      <c r="F26" s="2907"/>
      <c r="G26" s="2908"/>
      <c r="H26" s="2819"/>
      <c r="I26" s="2820"/>
      <c r="J26" s="3770">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15" customHeight="1">
      <c r="A27" s="2909"/>
      <c r="B27" s="2910" t="s">
        <v>2399</v>
      </c>
      <c r="C27" s="2928" t="e">
        <f>E7</f>
        <v>#DIV/0!</v>
      </c>
      <c r="D27" s="2912"/>
      <c r="E27" s="2913"/>
      <c r="F27" s="2914"/>
      <c r="G27" s="2908"/>
      <c r="H27" s="2929"/>
      <c r="I27" s="2920"/>
      <c r="J27" s="3771"/>
      <c r="K27" s="2930"/>
      <c r="L27" s="2931"/>
      <c r="M27" s="2932"/>
      <c r="N27" s="2933"/>
      <c r="O27" s="2933"/>
      <c r="P27" s="2933"/>
      <c r="Q27" s="2934"/>
      <c r="R27" s="2890">
        <f>ROUND(O27*N27*P27*(1-Q27)/10000,0)</f>
        <v>0</v>
      </c>
      <c r="S27" s="2812"/>
      <c r="T27" s="2812"/>
      <c r="U27" s="2812"/>
      <c r="V27" s="2820"/>
    </row>
    <row r="28" spans="1:22" s="2921" customFormat="1" ht="13.15"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15"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15"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15"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15" customHeight="1">
      <c r="A32" s="2902">
        <v>4</v>
      </c>
      <c r="B32" s="2903" t="s">
        <v>2407</v>
      </c>
      <c r="C32" s="2904">
        <f>C23-C26-C29</f>
        <v>0</v>
      </c>
      <c r="D32" s="2905">
        <f>D23-D26-D29</f>
        <v>0</v>
      </c>
      <c r="E32" s="2906">
        <f>E23-E26-E29</f>
        <v>0</v>
      </c>
      <c r="F32" s="2907"/>
      <c r="G32" s="2901"/>
      <c r="H32" s="2819"/>
      <c r="I32" s="2820"/>
      <c r="J32" s="3753" t="s">
        <v>2299</v>
      </c>
      <c r="K32" s="3754"/>
      <c r="L32" s="2821" t="s">
        <v>2300</v>
      </c>
      <c r="M32" s="2821" t="s">
        <v>2301</v>
      </c>
      <c r="N32" s="2821" t="s">
        <v>2302</v>
      </c>
      <c r="O32" s="2821" t="s">
        <v>2303</v>
      </c>
      <c r="P32" s="2821" t="s">
        <v>2304</v>
      </c>
      <c r="Q32" s="2822" t="s">
        <v>2305</v>
      </c>
      <c r="R32" s="2944" t="s">
        <v>2306</v>
      </c>
      <c r="S32" s="2893"/>
      <c r="T32" s="2812"/>
      <c r="U32" s="2812"/>
      <c r="V32" s="2920"/>
    </row>
    <row r="33" spans="1:23" s="2824" customFormat="1" ht="13.15" customHeight="1">
      <c r="A33" s="2902"/>
      <c r="B33" s="2903"/>
      <c r="C33" s="2904"/>
      <c r="D33" s="2945"/>
      <c r="E33" s="2946"/>
      <c r="F33" s="2907"/>
      <c r="G33" s="2901"/>
      <c r="H33" s="2929"/>
      <c r="I33" s="2920"/>
      <c r="J33" s="3755" t="s">
        <v>2309</v>
      </c>
      <c r="K33" s="3756"/>
      <c r="L33" s="2827"/>
      <c r="M33" s="2827"/>
      <c r="N33" s="2827"/>
      <c r="O33" s="2827"/>
      <c r="P33" s="2827"/>
      <c r="Q33" s="2828"/>
      <c r="R33" s="2947">
        <f>SUM(L33:Q33)</f>
        <v>0</v>
      </c>
      <c r="S33" s="2893"/>
      <c r="T33" s="2812"/>
      <c r="U33" s="2812"/>
      <c r="V33" s="2820"/>
    </row>
    <row r="34" spans="1:23" s="2824" customFormat="1" ht="13.15" customHeight="1">
      <c r="A34" s="2902">
        <v>5</v>
      </c>
      <c r="B34" s="2903" t="s">
        <v>2408</v>
      </c>
      <c r="C34" s="2948"/>
      <c r="D34" s="2949"/>
      <c r="E34" s="2950"/>
      <c r="F34" s="2907"/>
      <c r="G34" s="2901"/>
      <c r="H34" s="2929"/>
      <c r="I34" s="2920"/>
      <c r="J34" s="3755" t="s">
        <v>2311</v>
      </c>
      <c r="K34" s="3756"/>
      <c r="L34" s="2832"/>
      <c r="M34" s="2832"/>
      <c r="N34" s="2832"/>
      <c r="O34" s="2832"/>
      <c r="P34" s="2832"/>
      <c r="Q34" s="2833"/>
      <c r="R34" s="2951">
        <f>SUM(L34:Q34)</f>
        <v>0</v>
      </c>
      <c r="S34" s="2893"/>
      <c r="T34" s="2812"/>
      <c r="U34" s="2812" t="e">
        <f>ROUND(R35*10000/365/R33,1)</f>
        <v>#DIV/0!</v>
      </c>
      <c r="V34" s="2820"/>
    </row>
    <row r="35" spans="1:23" s="2824" customFormat="1" ht="13.15"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15" customHeight="1" thickBot="1">
      <c r="A36" s="2902">
        <v>7</v>
      </c>
      <c r="B36" s="2957" t="s">
        <v>2410</v>
      </c>
      <c r="C36" s="2958"/>
      <c r="D36" s="2959"/>
      <c r="E36" s="2960"/>
      <c r="F36" s="2961">
        <f>C36+D36+E36</f>
        <v>0</v>
      </c>
      <c r="G36" s="2901"/>
      <c r="H36" s="2819"/>
      <c r="I36" s="2820"/>
      <c r="J36" s="3760">
        <v>1</v>
      </c>
      <c r="K36" s="3761" t="s">
        <v>2411</v>
      </c>
      <c r="L36" s="2845"/>
      <c r="M36" s="2846"/>
      <c r="N36" s="2846"/>
      <c r="O36" s="2846"/>
      <c r="P36" s="2846"/>
      <c r="Q36" s="2846"/>
      <c r="R36" s="2829" t="s">
        <v>2323</v>
      </c>
      <c r="S36" s="2893"/>
      <c r="T36" s="2812" t="s">
        <v>2324</v>
      </c>
      <c r="U36" s="2812"/>
      <c r="V36" s="2820"/>
    </row>
    <row r="37" spans="1:23" s="2824" customFormat="1" ht="13.15" customHeight="1">
      <c r="A37" s="2902"/>
      <c r="B37" s="2903"/>
      <c r="C37" s="2903"/>
      <c r="D37" s="2903"/>
      <c r="E37" s="2903"/>
      <c r="F37" s="2907"/>
      <c r="G37" s="2901"/>
      <c r="H37" s="2819"/>
      <c r="I37" s="2820"/>
      <c r="J37" s="3760"/>
      <c r="K37" s="3762"/>
      <c r="L37" s="2854"/>
      <c r="M37" s="2855"/>
      <c r="N37" s="2831"/>
      <c r="O37" s="2856"/>
      <c r="P37" s="2856"/>
      <c r="Q37" s="2857"/>
      <c r="R37" s="2858"/>
      <c r="S37" s="2893"/>
      <c r="T37" s="2812" t="s">
        <v>2327</v>
      </c>
      <c r="U37" s="2812"/>
      <c r="V37" s="2820"/>
    </row>
    <row r="38" spans="1:23" s="2824" customFormat="1" ht="13.15" customHeight="1">
      <c r="A38" s="2902">
        <v>8</v>
      </c>
      <c r="B38" s="2903"/>
      <c r="C38" s="2860" t="e">
        <f>ROUND(C32*(1-((1+C35)/(1+C34))^C36)/(C34-C35),0)</f>
        <v>#DIV/0!</v>
      </c>
      <c r="D38" s="2860">
        <f>IF(D23=0,0,ROUND(D32*(1-((1+D35)/(1+D34))^D36)/(D34-D35),0))</f>
        <v>0</v>
      </c>
      <c r="E38" s="2860">
        <f>IF(E23=0,0,ROUND(E32*(1-((1+E35)/(1+E34))^E36)/(E34-E35),0))</f>
        <v>0</v>
      </c>
      <c r="F38" s="2907"/>
      <c r="G38" s="2901"/>
      <c r="H38" s="2819"/>
      <c r="I38" s="2820"/>
      <c r="J38" s="3760"/>
      <c r="K38" s="3762"/>
      <c r="L38" s="2854"/>
      <c r="M38" s="2855"/>
      <c r="N38" s="2831"/>
      <c r="O38" s="2856"/>
      <c r="P38" s="2856"/>
      <c r="Q38" s="2857"/>
      <c r="R38" s="2858"/>
      <c r="S38" s="2893"/>
      <c r="T38" s="2812" t="s">
        <v>2334</v>
      </c>
      <c r="U38" s="2812"/>
      <c r="V38" s="2820"/>
    </row>
    <row r="39" spans="1:23" s="2824" customFormat="1" ht="13.15" customHeight="1">
      <c r="A39" s="2902">
        <v>9</v>
      </c>
      <c r="B39" s="2903" t="s">
        <v>2412</v>
      </c>
      <c r="C39" s="2868" t="e">
        <f>C38</f>
        <v>#DIV/0!</v>
      </c>
      <c r="D39" s="2903">
        <f>D38/(1+D34)^C36</f>
        <v>0</v>
      </c>
      <c r="E39" s="2903">
        <f>E38/(1+E34)^(C36+D36)</f>
        <v>0</v>
      </c>
      <c r="F39" s="2907"/>
      <c r="G39" s="2962"/>
      <c r="H39" s="2819"/>
      <c r="I39" s="2820"/>
      <c r="J39" s="3760"/>
      <c r="K39" s="3762"/>
      <c r="L39" s="2854"/>
      <c r="M39" s="2855"/>
      <c r="N39" s="2831"/>
      <c r="O39" s="2856"/>
      <c r="P39" s="2856"/>
      <c r="Q39" s="2857"/>
      <c r="R39" s="2858"/>
      <c r="S39" s="2893"/>
      <c r="T39" s="2812"/>
      <c r="U39" s="2812"/>
      <c r="V39" s="2820"/>
    </row>
    <row r="40" spans="1:23" s="2824" customFormat="1" ht="13.15" customHeight="1">
      <c r="A40" s="2963">
        <v>10</v>
      </c>
      <c r="B40" s="2903" t="s">
        <v>2413</v>
      </c>
      <c r="C40" s="2964" t="e">
        <f>C39+D39+E39</f>
        <v>#DIV/0!</v>
      </c>
      <c r="D40" s="2965"/>
      <c r="E40" s="2965"/>
      <c r="F40" s="2966"/>
      <c r="G40" s="2901"/>
      <c r="H40" s="2819"/>
      <c r="I40" s="2820"/>
      <c r="J40" s="3760"/>
      <c r="K40" s="3763"/>
      <c r="L40" s="2874" t="s">
        <v>2352</v>
      </c>
      <c r="M40" s="2875"/>
      <c r="N40" s="2875"/>
      <c r="O40" s="2876"/>
      <c r="P40" s="2876"/>
      <c r="Q40" s="2877"/>
      <c r="R40" s="2823">
        <f>SUM(R37:R39)</f>
        <v>0</v>
      </c>
      <c r="S40" s="2893"/>
      <c r="T40" s="2812"/>
      <c r="U40" s="2812"/>
      <c r="V40" s="2820"/>
    </row>
    <row r="41" spans="1:23" s="2824" customFormat="1" ht="13.15"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15" customHeight="1">
      <c r="G42" s="2971"/>
      <c r="H42" s="2819"/>
      <c r="I42" s="2820"/>
      <c r="J42" s="3770">
        <v>3</v>
      </c>
      <c r="K42" s="2922" t="s">
        <v>2394</v>
      </c>
      <c r="L42" s="2923"/>
      <c r="M42" s="2924"/>
      <c r="N42" s="2925" t="s">
        <v>2395</v>
      </c>
      <c r="O42" s="2925" t="s">
        <v>2396</v>
      </c>
      <c r="P42" s="2926" t="s">
        <v>2397</v>
      </c>
      <c r="Q42" s="2926" t="s">
        <v>2398</v>
      </c>
      <c r="R42" s="2829" t="s">
        <v>2323</v>
      </c>
      <c r="S42" s="2927"/>
      <c r="T42" s="2927"/>
      <c r="U42" s="2812"/>
      <c r="V42" s="2820"/>
    </row>
    <row r="43" spans="1:23" ht="13.15" customHeight="1">
      <c r="A43" s="2824"/>
      <c r="B43" s="2824"/>
      <c r="C43" s="2824"/>
      <c r="D43" s="2824"/>
      <c r="E43" s="2824"/>
      <c r="F43" s="2824"/>
      <c r="I43" s="2807"/>
      <c r="J43" s="3771"/>
      <c r="K43" s="2930"/>
      <c r="L43" s="2931"/>
      <c r="M43" s="2932"/>
      <c r="N43" s="2855"/>
      <c r="O43" s="2855"/>
      <c r="P43" s="2855"/>
      <c r="Q43" s="2919"/>
      <c r="R43" s="2890">
        <f>ROUND(O43*N43*P43*(1-Q43)/10000,0)</f>
        <v>0</v>
      </c>
      <c r="S43" s="2893"/>
      <c r="T43" s="2812"/>
      <c r="V43" s="2973"/>
      <c r="W43" s="2974"/>
    </row>
    <row r="44" spans="1:23" ht="13.15"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t="s">
        <v>673</v>
      </c>
      <c r="E1" s="3403" t="s">
        <v>3401</v>
      </c>
      <c r="F1" s="1874" t="s">
        <v>3402</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1753</v>
      </c>
      <c r="B4" s="356"/>
      <c r="C4" s="3793" t="s">
        <v>1754</v>
      </c>
      <c r="D4" s="3794"/>
      <c r="E4" s="3795" t="s">
        <v>1755</v>
      </c>
      <c r="F4" s="3796"/>
      <c r="G4" s="3793" t="s">
        <v>1756</v>
      </c>
      <c r="H4" s="3794"/>
      <c r="I4" s="3793" t="s">
        <v>1757</v>
      </c>
      <c r="J4" s="3794"/>
      <c r="K4" s="559" t="s">
        <v>1758</v>
      </c>
      <c r="L4" s="2686"/>
      <c r="M4" s="2687"/>
      <c r="N4" s="2687"/>
      <c r="O4" s="2687"/>
      <c r="P4" s="3797" t="s">
        <v>1759</v>
      </c>
      <c r="Q4" s="3798"/>
      <c r="R4" s="3777" t="s">
        <v>1755</v>
      </c>
      <c r="S4" s="3778"/>
      <c r="T4" s="3777" t="s">
        <v>1756</v>
      </c>
      <c r="U4" s="3778"/>
      <c r="V4" s="3805" t="s">
        <v>1757</v>
      </c>
      <c r="W4" s="3805"/>
      <c r="X4" s="1953"/>
      <c r="Y4" s="3777" t="s">
        <v>1759</v>
      </c>
      <c r="Z4" s="3778"/>
      <c r="AA4" s="3772" t="s">
        <v>1755</v>
      </c>
      <c r="AB4" s="3772" t="s">
        <v>1756</v>
      </c>
      <c r="AC4" s="3790" t="s">
        <v>1757</v>
      </c>
    </row>
    <row r="5" spans="1:29" ht="15">
      <c r="A5" s="358"/>
      <c r="B5" s="359"/>
      <c r="C5" s="3783" t="s">
        <v>1657</v>
      </c>
      <c r="D5" s="3784"/>
      <c r="E5" s="3781" t="e">
        <f>#REF!</f>
        <v>#REF!</v>
      </c>
      <c r="F5" s="3782"/>
      <c r="G5" s="3807" t="e">
        <f>#REF!</f>
        <v>#REF!</v>
      </c>
      <c r="H5" s="3784"/>
      <c r="I5" s="3783" t="e">
        <f>#REF!</f>
        <v>#REF!</v>
      </c>
      <c r="J5" s="3784"/>
      <c r="K5" s="559"/>
      <c r="L5" s="2686"/>
      <c r="M5" s="2687"/>
      <c r="N5" s="2687"/>
      <c r="O5" s="2687"/>
      <c r="P5" s="3799"/>
      <c r="Q5" s="3800"/>
      <c r="R5" s="3779"/>
      <c r="S5" s="3780"/>
      <c r="T5" s="3779"/>
      <c r="U5" s="3780"/>
      <c r="V5" s="3806"/>
      <c r="W5" s="3806"/>
      <c r="X5" s="1350"/>
      <c r="Y5" s="3779"/>
      <c r="Z5" s="3780"/>
      <c r="AA5" s="3773"/>
      <c r="AB5" s="3773"/>
      <c r="AC5" s="3791"/>
    </row>
    <row r="6" spans="1:29" ht="15.75" thickBot="1">
      <c r="A6" s="360"/>
      <c r="B6" s="361"/>
      <c r="C6" s="3785" t="s">
        <v>1661</v>
      </c>
      <c r="D6" s="3786"/>
      <c r="E6" s="3787" t="s">
        <v>1661</v>
      </c>
      <c r="F6" s="3788"/>
      <c r="G6" s="3785" t="s">
        <v>1661</v>
      </c>
      <c r="H6" s="3786"/>
      <c r="I6" s="3785" t="s">
        <v>1661</v>
      </c>
      <c r="J6" s="3786"/>
      <c r="K6" s="559" t="s">
        <v>1662</v>
      </c>
      <c r="L6" s="2686"/>
      <c r="M6" s="2687"/>
      <c r="N6" s="2687"/>
      <c r="O6" s="2687"/>
      <c r="P6" s="3801"/>
      <c r="Q6" s="3802"/>
      <c r="R6" s="3779"/>
      <c r="S6" s="3780"/>
      <c r="T6" s="3803"/>
      <c r="U6" s="3804"/>
      <c r="V6" s="3806"/>
      <c r="W6" s="3806"/>
      <c r="X6" s="1350"/>
      <c r="Y6" s="3803"/>
      <c r="Z6" s="3804"/>
      <c r="AA6" s="3774"/>
      <c r="AB6" s="3774"/>
      <c r="AC6" s="3792"/>
    </row>
    <row r="7" spans="1:29" s="108" customFormat="1" ht="15.75" thickBot="1">
      <c r="A7" s="362" t="s">
        <v>1663</v>
      </c>
      <c r="B7" s="363"/>
      <c r="C7" s="364">
        <f>'数据-取费表'!B2</f>
        <v>45309</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08" t="s">
        <v>1664</v>
      </c>
      <c r="Q7" s="3809"/>
      <c r="R7" s="700" t="s">
        <v>14</v>
      </c>
      <c r="S7" s="701">
        <f t="shared" ref="S7:S15" si="0">F7</f>
        <v>100</v>
      </c>
      <c r="T7" s="700" t="s">
        <v>14</v>
      </c>
      <c r="U7" s="701">
        <f t="shared" ref="U7:U15" si="1">H7</f>
        <v>100</v>
      </c>
      <c r="V7" s="700" t="s">
        <v>14</v>
      </c>
      <c r="W7" s="701">
        <f t="shared" ref="W7:W15" si="2">J7</f>
        <v>100</v>
      </c>
      <c r="X7" s="702"/>
      <c r="Y7" s="3775" t="s">
        <v>1664</v>
      </c>
      <c r="Z7" s="3776"/>
      <c r="AA7" s="703">
        <f>D7/F7</f>
        <v>1</v>
      </c>
      <c r="AB7" s="703">
        <f>D7/H7</f>
        <v>1</v>
      </c>
      <c r="AC7" s="1954">
        <f>D7/J7</f>
        <v>1</v>
      </c>
    </row>
    <row r="8" spans="1:29" s="108" customFormat="1" ht="15.75" thickBot="1">
      <c r="A8" s="362" t="s">
        <v>1665</v>
      </c>
      <c r="B8" s="363"/>
      <c r="C8" s="368" t="s">
        <v>3391</v>
      </c>
      <c r="D8" s="365">
        <v>100</v>
      </c>
      <c r="E8" s="368" t="s">
        <v>4180</v>
      </c>
      <c r="F8" s="367">
        <f>SUMIF(62:62,E8,63:63)-SUMIF(62:62,C8,63:63)+100</f>
        <v>102</v>
      </c>
      <c r="G8" s="368" t="s">
        <v>4180</v>
      </c>
      <c r="H8" s="365">
        <f>SUMIF(62:62,G8,63:63)-SUMIF(62:62,C8,63:63)+100</f>
        <v>102</v>
      </c>
      <c r="I8" s="368" t="s">
        <v>4180</v>
      </c>
      <c r="J8" s="365">
        <f>SUMIF(62:62,I8,63:63)-SUMIF(62:62,C8,63:63)+100</f>
        <v>102</v>
      </c>
      <c r="K8" s="560"/>
      <c r="L8" s="2688"/>
      <c r="M8" s="2689"/>
      <c r="N8" s="2689"/>
      <c r="O8" s="2689"/>
      <c r="P8" s="3808" t="s">
        <v>1667</v>
      </c>
      <c r="Q8" s="3776"/>
      <c r="R8" s="700" t="s">
        <v>14</v>
      </c>
      <c r="S8" s="701">
        <f t="shared" si="0"/>
        <v>102</v>
      </c>
      <c r="T8" s="700" t="s">
        <v>14</v>
      </c>
      <c r="U8" s="701">
        <f t="shared" si="1"/>
        <v>102</v>
      </c>
      <c r="V8" s="700" t="s">
        <v>14</v>
      </c>
      <c r="W8" s="701">
        <f t="shared" si="2"/>
        <v>102</v>
      </c>
      <c r="X8" s="702"/>
      <c r="Y8" s="3775" t="s">
        <v>1667</v>
      </c>
      <c r="Z8" s="3776"/>
      <c r="AA8" s="703">
        <f t="shared" ref="AA8:AA47" si="3">D8/F8</f>
        <v>0.98039215686274506</v>
      </c>
      <c r="AB8" s="703">
        <f t="shared" ref="AB8:AB47" si="4">D8/H8</f>
        <v>0.98039215686274506</v>
      </c>
      <c r="AC8" s="1954">
        <f t="shared" ref="AC8:AC47" si="5">D8/J8</f>
        <v>0.98039215686274506</v>
      </c>
    </row>
    <row r="9" spans="1:29" s="108" customFormat="1" ht="15">
      <c r="A9" s="369" t="s">
        <v>1668</v>
      </c>
      <c r="B9" s="63" t="s">
        <v>1669</v>
      </c>
      <c r="C9" s="3436" t="s">
        <v>3428</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789" t="s">
        <v>1670</v>
      </c>
      <c r="Q9" s="1338" t="str">
        <f t="shared" ref="Q9:Q15" si="6">B9</f>
        <v>用途</v>
      </c>
      <c r="R9" s="700" t="s">
        <v>14</v>
      </c>
      <c r="S9" s="701">
        <f t="shared" si="0"/>
        <v>95</v>
      </c>
      <c r="T9" s="700" t="s">
        <v>14</v>
      </c>
      <c r="U9" s="701">
        <f t="shared" si="1"/>
        <v>95</v>
      </c>
      <c r="V9" s="700" t="s">
        <v>14</v>
      </c>
      <c r="W9" s="701">
        <f t="shared" si="2"/>
        <v>95</v>
      </c>
      <c r="X9" s="702"/>
      <c r="Y9" s="3721" t="s">
        <v>1671</v>
      </c>
      <c r="Z9" s="52" t="str">
        <f t="shared" ref="Z9:Z15" si="7">Q9</f>
        <v>用途</v>
      </c>
      <c r="AA9" s="703">
        <f t="shared" si="3"/>
        <v>1.0526315789473684</v>
      </c>
      <c r="AB9" s="703">
        <f t="shared" si="4"/>
        <v>1.0526315789473684</v>
      </c>
      <c r="AC9" s="1954">
        <f t="shared" si="5"/>
        <v>1.0526315789473684</v>
      </c>
    </row>
    <row r="10" spans="1:29" s="378" customFormat="1" ht="27">
      <c r="A10" s="374"/>
      <c r="B10" s="375" t="s">
        <v>1672</v>
      </c>
      <c r="C10" s="3404" t="str">
        <f>E66</f>
        <v>10-20</v>
      </c>
      <c r="D10" s="127">
        <v>100</v>
      </c>
      <c r="E10" s="3404" t="str">
        <f>D66</f>
        <v>30-40</v>
      </c>
      <c r="F10" s="127">
        <f>SUMIF(66:66,E10,67:67)-SUMIF(66:66,C10,67:67)+100</f>
        <v>104</v>
      </c>
      <c r="G10" s="3404" t="s">
        <v>3392</v>
      </c>
      <c r="H10" s="127">
        <f>SUMIF(66:66,G10,67:67)-SUMIF(66:66,C10,67:67)+100</f>
        <v>102</v>
      </c>
      <c r="I10" s="3404" t="str">
        <f>E10</f>
        <v>30-40</v>
      </c>
      <c r="J10" s="127">
        <f>SUMIF(66:66,I10,67:67)-SUMIF(66:66,C10,67:67)+100</f>
        <v>104</v>
      </c>
      <c r="K10" s="560"/>
      <c r="L10" s="2690"/>
      <c r="M10" s="2691"/>
      <c r="N10" s="2691"/>
      <c r="O10" s="2691"/>
      <c r="P10" s="3789"/>
      <c r="Q10" s="1338" t="str">
        <f t="shared" si="6"/>
        <v>土地使用年限（年）</v>
      </c>
      <c r="R10" s="700" t="s">
        <v>14</v>
      </c>
      <c r="S10" s="701">
        <f t="shared" si="0"/>
        <v>104</v>
      </c>
      <c r="T10" s="700" t="s">
        <v>14</v>
      </c>
      <c r="U10" s="701">
        <f t="shared" si="1"/>
        <v>102</v>
      </c>
      <c r="V10" s="700" t="s">
        <v>14</v>
      </c>
      <c r="W10" s="701">
        <f t="shared" si="2"/>
        <v>104</v>
      </c>
      <c r="X10" s="702"/>
      <c r="Y10" s="3721"/>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789"/>
      <c r="Q11" s="1338" t="str">
        <f t="shared" si="6"/>
        <v>容积率</v>
      </c>
      <c r="R11" s="700" t="s">
        <v>14</v>
      </c>
      <c r="S11" s="701">
        <f t="shared" si="0"/>
        <v>100</v>
      </c>
      <c r="T11" s="700" t="s">
        <v>14</v>
      </c>
      <c r="U11" s="701">
        <f t="shared" si="1"/>
        <v>100</v>
      </c>
      <c r="V11" s="700" t="s">
        <v>14</v>
      </c>
      <c r="W11" s="701">
        <f t="shared" si="2"/>
        <v>100</v>
      </c>
      <c r="X11" s="702"/>
      <c r="Y11" s="3721"/>
      <c r="Z11" s="52" t="str">
        <f t="shared" si="7"/>
        <v>容积率</v>
      </c>
      <c r="AA11" s="703">
        <f t="shared" si="3"/>
        <v>1</v>
      </c>
      <c r="AB11" s="703">
        <f t="shared" si="4"/>
        <v>1</v>
      </c>
      <c r="AC11" s="1954">
        <f t="shared" si="5"/>
        <v>1</v>
      </c>
    </row>
    <row r="12" spans="1:29" s="108" customFormat="1" ht="15">
      <c r="A12" s="382"/>
      <c r="B12" s="3475" t="s">
        <v>4150</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789"/>
      <c r="Q12" s="1338" t="str">
        <f t="shared" si="6"/>
        <v>建成</v>
      </c>
      <c r="R12" s="700" t="s">
        <v>14</v>
      </c>
      <c r="S12" s="701">
        <f t="shared" si="0"/>
        <v>100</v>
      </c>
      <c r="T12" s="700" t="s">
        <v>14</v>
      </c>
      <c r="U12" s="701">
        <f t="shared" si="1"/>
        <v>100</v>
      </c>
      <c r="V12" s="700" t="s">
        <v>14</v>
      </c>
      <c r="W12" s="701">
        <f t="shared" si="2"/>
        <v>100</v>
      </c>
      <c r="X12" s="702"/>
      <c r="Y12" s="3721"/>
      <c r="Z12" s="52" t="str">
        <f t="shared" si="7"/>
        <v>建成</v>
      </c>
      <c r="AA12" s="703">
        <f>D12/F12</f>
        <v>1</v>
      </c>
      <c r="AB12" s="703">
        <f>D12/H12</f>
        <v>1</v>
      </c>
      <c r="AC12" s="1954">
        <f>D12/J12</f>
        <v>1</v>
      </c>
    </row>
    <row r="13" spans="1:29" ht="15">
      <c r="A13" s="379"/>
      <c r="B13" s="3475" t="s">
        <v>4182</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789"/>
      <c r="Q13" s="1338" t="str">
        <f t="shared" si="6"/>
        <v>剩余年限</v>
      </c>
      <c r="R13" s="700" t="s">
        <v>14</v>
      </c>
      <c r="S13" s="701">
        <f t="shared" si="0"/>
        <v>100</v>
      </c>
      <c r="T13" s="700" t="s">
        <v>14</v>
      </c>
      <c r="U13" s="701">
        <f t="shared" si="1"/>
        <v>100</v>
      </c>
      <c r="V13" s="700" t="s">
        <v>14</v>
      </c>
      <c r="W13" s="701">
        <f t="shared" si="2"/>
        <v>100</v>
      </c>
      <c r="X13" s="702"/>
      <c r="Y13" s="3721"/>
      <c r="Z13" s="52" t="str">
        <f t="shared" si="7"/>
        <v>剩余年限</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789"/>
      <c r="Q14" s="1338">
        <f t="shared" si="6"/>
        <v>111</v>
      </c>
      <c r="R14" s="700" t="s">
        <v>14</v>
      </c>
      <c r="S14" s="701">
        <f t="shared" si="0"/>
        <v>100</v>
      </c>
      <c r="T14" s="700" t="s">
        <v>14</v>
      </c>
      <c r="U14" s="701">
        <f t="shared" si="1"/>
        <v>100</v>
      </c>
      <c r="V14" s="700" t="s">
        <v>14</v>
      </c>
      <c r="W14" s="701">
        <f t="shared" si="2"/>
        <v>100</v>
      </c>
      <c r="X14" s="702"/>
      <c r="Y14" s="3721"/>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693"/>
      <c r="M15" s="2687"/>
      <c r="N15" s="2687"/>
      <c r="O15" s="2687"/>
      <c r="P15" s="3810" t="s">
        <v>1675</v>
      </c>
      <c r="Q15" s="1347" t="str">
        <f t="shared" si="6"/>
        <v>办公集聚程度</v>
      </c>
      <c r="R15" s="704" t="s">
        <v>14</v>
      </c>
      <c r="S15" s="705">
        <f t="shared" si="0"/>
        <v>100</v>
      </c>
      <c r="T15" s="704" t="s">
        <v>14</v>
      </c>
      <c r="U15" s="705">
        <f t="shared" si="1"/>
        <v>100</v>
      </c>
      <c r="V15" s="704" t="s">
        <v>14</v>
      </c>
      <c r="W15" s="705">
        <f t="shared" si="2"/>
        <v>100</v>
      </c>
      <c r="X15" s="1350"/>
      <c r="Y15" s="3812" t="s">
        <v>1675</v>
      </c>
      <c r="Z15" s="1351" t="str">
        <f t="shared" si="7"/>
        <v>办公集聚程度</v>
      </c>
      <c r="AA15" s="1348">
        <f t="shared" si="3"/>
        <v>1</v>
      </c>
      <c r="AB15" s="1348">
        <f t="shared" si="4"/>
        <v>1</v>
      </c>
      <c r="AC15" s="1957">
        <f t="shared" si="5"/>
        <v>1</v>
      </c>
    </row>
    <row r="16" spans="1:29" ht="15">
      <c r="A16" s="379"/>
      <c r="B16" s="578"/>
      <c r="C16" s="1899" t="s">
        <v>3388</v>
      </c>
      <c r="D16" s="399"/>
      <c r="E16" s="398" t="s">
        <v>3388</v>
      </c>
      <c r="F16" s="399"/>
      <c r="G16" s="398" t="s">
        <v>3388</v>
      </c>
      <c r="H16" s="401"/>
      <c r="I16" s="398" t="s">
        <v>3388</v>
      </c>
      <c r="J16" s="399"/>
      <c r="K16" s="564"/>
      <c r="L16" s="2693"/>
      <c r="M16" s="2687"/>
      <c r="N16" s="2687"/>
      <c r="O16" s="2687"/>
      <c r="P16" s="3811"/>
      <c r="Q16" s="1347"/>
      <c r="R16" s="704"/>
      <c r="S16" s="705"/>
      <c r="T16" s="704"/>
      <c r="U16" s="705"/>
      <c r="V16" s="704"/>
      <c r="W16" s="705"/>
      <c r="X16" s="1350"/>
      <c r="Y16" s="3813"/>
      <c r="Z16" s="1351"/>
      <c r="AA16" s="1348">
        <v>1</v>
      </c>
      <c r="AB16" s="1348">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811"/>
      <c r="Q17" s="1347" t="str">
        <f>B17</f>
        <v>交通便捷度</v>
      </c>
      <c r="R17" s="704" t="s">
        <v>14</v>
      </c>
      <c r="S17" s="705">
        <f>F17</f>
        <v>100</v>
      </c>
      <c r="T17" s="704" t="s">
        <v>14</v>
      </c>
      <c r="U17" s="705">
        <f>H17</f>
        <v>100</v>
      </c>
      <c r="V17" s="704" t="s">
        <v>14</v>
      </c>
      <c r="W17" s="705">
        <f>J17</f>
        <v>100</v>
      </c>
      <c r="X17" s="1350"/>
      <c r="Y17" s="3813"/>
      <c r="Z17" s="1351" t="str">
        <f>Q17</f>
        <v>交通便捷度</v>
      </c>
      <c r="AA17" s="1348">
        <f t="shared" si="3"/>
        <v>1</v>
      </c>
      <c r="AB17" s="1348">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811"/>
      <c r="Q18" s="1347"/>
      <c r="R18" s="704"/>
      <c r="S18" s="705"/>
      <c r="T18" s="704"/>
      <c r="U18" s="705"/>
      <c r="V18" s="704"/>
      <c r="W18" s="705"/>
      <c r="X18" s="1350"/>
      <c r="Y18" s="3813"/>
      <c r="Z18" s="1351"/>
      <c r="AA18" s="1348">
        <v>1</v>
      </c>
      <c r="AB18" s="1348">
        <v>1</v>
      </c>
      <c r="AC18" s="1957">
        <v>1</v>
      </c>
    </row>
    <row r="19" spans="1:29" ht="15">
      <c r="A19" s="379"/>
      <c r="B19" s="579" t="s">
        <v>1796</v>
      </c>
      <c r="C19" s="1958"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693"/>
      <c r="M19" s="2687"/>
      <c r="N19" s="2687"/>
      <c r="O19" s="2687"/>
      <c r="P19" s="3811"/>
      <c r="Q19" s="1347" t="str">
        <f>B19</f>
        <v>公共配套设施</v>
      </c>
      <c r="R19" s="704" t="s">
        <v>14</v>
      </c>
      <c r="S19" s="705">
        <f>F19</f>
        <v>100</v>
      </c>
      <c r="T19" s="704" t="s">
        <v>14</v>
      </c>
      <c r="U19" s="705">
        <f>H19</f>
        <v>100</v>
      </c>
      <c r="V19" s="704" t="s">
        <v>14</v>
      </c>
      <c r="W19" s="705">
        <f>J19</f>
        <v>100</v>
      </c>
      <c r="X19" s="1350"/>
      <c r="Y19" s="3813"/>
      <c r="Z19" s="1351" t="str">
        <f>Q19</f>
        <v>公共配套设施</v>
      </c>
      <c r="AA19" s="1348">
        <f t="shared" si="3"/>
        <v>1</v>
      </c>
      <c r="AB19" s="1348">
        <f t="shared" si="4"/>
        <v>1</v>
      </c>
      <c r="AC19" s="1957">
        <f t="shared" si="5"/>
        <v>1</v>
      </c>
    </row>
    <row r="20" spans="1:29" ht="15">
      <c r="A20" s="379"/>
      <c r="B20" s="580"/>
      <c r="C20" s="1899" t="s">
        <v>3388</v>
      </c>
      <c r="D20" s="399"/>
      <c r="E20" s="1899" t="s">
        <v>3388</v>
      </c>
      <c r="F20" s="399"/>
      <c r="G20" s="1899" t="s">
        <v>3388</v>
      </c>
      <c r="H20" s="399"/>
      <c r="I20" s="1899" t="s">
        <v>3388</v>
      </c>
      <c r="J20" s="399"/>
      <c r="K20" s="564"/>
      <c r="L20" s="2693"/>
      <c r="M20" s="2687"/>
      <c r="N20" s="2687"/>
      <c r="O20" s="2687"/>
      <c r="P20" s="3811"/>
      <c r="Q20" s="1347"/>
      <c r="R20" s="704"/>
      <c r="S20" s="705"/>
      <c r="T20" s="704"/>
      <c r="U20" s="705"/>
      <c r="V20" s="704"/>
      <c r="W20" s="705"/>
      <c r="X20" s="1350"/>
      <c r="Y20" s="3813"/>
      <c r="Z20" s="1351"/>
      <c r="AA20" s="1348">
        <v>1</v>
      </c>
      <c r="AB20" s="1348">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811"/>
      <c r="Q21" s="1347" t="str">
        <f>B21</f>
        <v>基础设施水平</v>
      </c>
      <c r="R21" s="704" t="s">
        <v>14</v>
      </c>
      <c r="S21" s="705">
        <f>F21</f>
        <v>100</v>
      </c>
      <c r="T21" s="704" t="s">
        <v>14</v>
      </c>
      <c r="U21" s="705">
        <f>H21</f>
        <v>100</v>
      </c>
      <c r="V21" s="704" t="s">
        <v>14</v>
      </c>
      <c r="W21" s="705">
        <f>J21</f>
        <v>100</v>
      </c>
      <c r="X21" s="1350"/>
      <c r="Y21" s="3813"/>
      <c r="Z21" s="1351" t="str">
        <f>Q21</f>
        <v>基础设施水平</v>
      </c>
      <c r="AA21" s="1348">
        <f t="shared" ref="AA21" si="8">D21/F21</f>
        <v>1</v>
      </c>
      <c r="AB21" s="1348">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811"/>
      <c r="Q22" s="1347"/>
      <c r="R22" s="704"/>
      <c r="S22" s="705"/>
      <c r="T22" s="704"/>
      <c r="U22" s="705"/>
      <c r="V22" s="704"/>
      <c r="W22" s="705"/>
      <c r="X22" s="1350"/>
      <c r="Y22" s="3813"/>
      <c r="Z22" s="1351"/>
      <c r="AA22" s="1348">
        <v>1</v>
      </c>
      <c r="AB22" s="1348">
        <v>1</v>
      </c>
      <c r="AC22" s="1957">
        <v>1</v>
      </c>
    </row>
    <row r="23" spans="1:29" ht="15">
      <c r="A23" s="379"/>
      <c r="B23" s="579" t="s">
        <v>1798</v>
      </c>
      <c r="C23" s="1958"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693"/>
      <c r="M23" s="2687"/>
      <c r="N23" s="2687"/>
      <c r="O23" s="2687"/>
      <c r="P23" s="3811"/>
      <c r="Q23" s="1347" t="str">
        <f>B23</f>
        <v>环境质量</v>
      </c>
      <c r="R23" s="704" t="s">
        <v>14</v>
      </c>
      <c r="S23" s="705">
        <f>F23</f>
        <v>100</v>
      </c>
      <c r="T23" s="704" t="s">
        <v>14</v>
      </c>
      <c r="U23" s="705">
        <f>H23</f>
        <v>100</v>
      </c>
      <c r="V23" s="704" t="s">
        <v>14</v>
      </c>
      <c r="W23" s="705">
        <f>J23</f>
        <v>100</v>
      </c>
      <c r="X23" s="1350"/>
      <c r="Y23" s="3813"/>
      <c r="Z23" s="1351" t="str">
        <f>Q23</f>
        <v>环境质量</v>
      </c>
      <c r="AA23" s="1348">
        <f t="shared" si="3"/>
        <v>1</v>
      </c>
      <c r="AB23" s="1348">
        <f t="shared" si="4"/>
        <v>1</v>
      </c>
      <c r="AC23" s="1957">
        <f t="shared" si="5"/>
        <v>1</v>
      </c>
    </row>
    <row r="24" spans="1:29" ht="15">
      <c r="A24" s="379"/>
      <c r="B24" s="581"/>
      <c r="C24" s="1899" t="s">
        <v>3388</v>
      </c>
      <c r="D24" s="399"/>
      <c r="E24" s="1892" t="s">
        <v>3388</v>
      </c>
      <c r="F24" s="399"/>
      <c r="G24" s="1892" t="s">
        <v>3388</v>
      </c>
      <c r="H24" s="399"/>
      <c r="I24" s="1892" t="s">
        <v>3388</v>
      </c>
      <c r="J24" s="399"/>
      <c r="K24" s="564"/>
      <c r="L24" s="2693"/>
      <c r="M24" s="2687"/>
      <c r="N24" s="2687"/>
      <c r="O24" s="2687"/>
      <c r="P24" s="3811"/>
      <c r="Q24" s="1347"/>
      <c r="R24" s="704"/>
      <c r="S24" s="705"/>
      <c r="T24" s="704"/>
      <c r="U24" s="705"/>
      <c r="V24" s="704"/>
      <c r="W24" s="705"/>
      <c r="X24" s="1350"/>
      <c r="Y24" s="3813"/>
      <c r="Z24" s="1351"/>
      <c r="AA24" s="1348">
        <v>1</v>
      </c>
      <c r="AB24" s="1348">
        <v>1</v>
      </c>
      <c r="AC24" s="1957">
        <v>1</v>
      </c>
    </row>
    <row r="25" spans="1:29" ht="27">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811"/>
      <c r="Q25" s="1347" t="str">
        <f>B25</f>
        <v>毗邻道路的类型与等级</v>
      </c>
      <c r="R25" s="704" t="s">
        <v>14</v>
      </c>
      <c r="S25" s="705">
        <f>F25</f>
        <v>99</v>
      </c>
      <c r="T25" s="704" t="s">
        <v>14</v>
      </c>
      <c r="U25" s="705">
        <f>H25</f>
        <v>99</v>
      </c>
      <c r="V25" s="704" t="s">
        <v>14</v>
      </c>
      <c r="W25" s="705">
        <f>J25</f>
        <v>99</v>
      </c>
      <c r="X25" s="1350"/>
      <c r="Y25" s="3813"/>
      <c r="Z25" s="1351" t="str">
        <f>Q25</f>
        <v>毗邻道路的类型与等级</v>
      </c>
      <c r="AA25" s="1348">
        <f t="shared" si="3"/>
        <v>1.0101010101010102</v>
      </c>
      <c r="AB25" s="1348">
        <f t="shared" si="4"/>
        <v>1.0101010101010102</v>
      </c>
      <c r="AC25" s="1957">
        <f t="shared" si="5"/>
        <v>1.0101010101010102</v>
      </c>
    </row>
    <row r="26" spans="1:29" ht="15">
      <c r="A26" s="358"/>
      <c r="B26" s="580"/>
      <c r="C26" s="582" t="s">
        <v>4184</v>
      </c>
      <c r="D26" s="386"/>
      <c r="E26" s="565" t="s">
        <v>4186</v>
      </c>
      <c r="F26" s="386"/>
      <c r="G26" s="565" t="s">
        <v>4186</v>
      </c>
      <c r="H26" s="386"/>
      <c r="I26" s="565" t="s">
        <v>4186</v>
      </c>
      <c r="J26" s="386"/>
      <c r="K26" s="564"/>
      <c r="L26" s="2693"/>
      <c r="M26" s="2687"/>
      <c r="N26" s="2687"/>
      <c r="O26" s="2687"/>
      <c r="P26" s="3811"/>
      <c r="Q26" s="1347"/>
      <c r="R26" s="704"/>
      <c r="S26" s="705"/>
      <c r="T26" s="704"/>
      <c r="U26" s="705"/>
      <c r="V26" s="704"/>
      <c r="W26" s="705"/>
      <c r="X26" s="1350"/>
      <c r="Y26" s="3813"/>
      <c r="Z26" s="1351"/>
      <c r="AA26" s="1348">
        <v>1</v>
      </c>
      <c r="AB26" s="1348">
        <v>1</v>
      </c>
      <c r="AC26" s="1957">
        <v>1</v>
      </c>
    </row>
    <row r="27" spans="1:29" ht="15">
      <c r="A27" s="379"/>
      <c r="B27" s="580" t="s">
        <v>1767</v>
      </c>
      <c r="C27" s="582" t="s">
        <v>4193</v>
      </c>
      <c r="D27" s="386">
        <v>100</v>
      </c>
      <c r="E27" s="565" t="s">
        <v>4189</v>
      </c>
      <c r="F27" s="386">
        <f>SUMIF(89:89,E27,90:90)-SUMIF(89:89,C27,90:90)+100</f>
        <v>104</v>
      </c>
      <c r="G27" s="582" t="s">
        <v>4191</v>
      </c>
      <c r="H27" s="386">
        <f>SUMIF(89:89,G27,90:90)-SUMIF(89:89,C27,90:90)+100</f>
        <v>102</v>
      </c>
      <c r="I27" s="582" t="s">
        <v>4191</v>
      </c>
      <c r="J27" s="386">
        <f>SUMIF(89:89,I27,90:90)-SUMIF(89:89,C27,90:90)+100</f>
        <v>102</v>
      </c>
      <c r="K27" s="561">
        <v>2</v>
      </c>
      <c r="L27" s="2693"/>
      <c r="M27" s="2687"/>
      <c r="N27" s="2687"/>
      <c r="O27" s="2687"/>
      <c r="P27" s="3811"/>
      <c r="Q27" s="1347" t="str">
        <f t="shared" ref="Q27:Q47" si="11">B27</f>
        <v>楼层</v>
      </c>
      <c r="R27" s="704" t="s">
        <v>14</v>
      </c>
      <c r="S27" s="705">
        <f>F27</f>
        <v>104</v>
      </c>
      <c r="T27" s="704" t="s">
        <v>14</v>
      </c>
      <c r="U27" s="705">
        <f>H27</f>
        <v>102</v>
      </c>
      <c r="V27" s="704" t="s">
        <v>14</v>
      </c>
      <c r="W27" s="705">
        <f>J27</f>
        <v>102</v>
      </c>
      <c r="X27" s="1350"/>
      <c r="Y27" s="3813"/>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11"/>
      <c r="Q28" s="1338" t="str">
        <f t="shared" si="11"/>
        <v>朝向</v>
      </c>
      <c r="R28" s="700" t="s">
        <v>14</v>
      </c>
      <c r="S28" s="701">
        <f>F28</f>
        <v>100</v>
      </c>
      <c r="T28" s="700" t="s">
        <v>14</v>
      </c>
      <c r="U28" s="701">
        <f>H28</f>
        <v>100</v>
      </c>
      <c r="V28" s="700" t="s">
        <v>14</v>
      </c>
      <c r="W28" s="701">
        <f>J28</f>
        <v>100</v>
      </c>
      <c r="X28" s="702"/>
      <c r="Y28" s="3813"/>
      <c r="Z28" s="52" t="str">
        <f>Q28</f>
        <v>朝向</v>
      </c>
      <c r="AA28" s="1348">
        <f>D28/F28</f>
        <v>1</v>
      </c>
      <c r="AB28" s="1348">
        <f>D28/H28</f>
        <v>1</v>
      </c>
      <c r="AC28" s="1957">
        <f>D28/J28</f>
        <v>1</v>
      </c>
    </row>
    <row r="29" spans="1:29" ht="15.75" thickBot="1">
      <c r="A29" s="379"/>
      <c r="B29" s="3492" t="s">
        <v>4152</v>
      </c>
      <c r="C29" s="3478" t="s">
        <v>4153</v>
      </c>
      <c r="D29" s="386">
        <v>100</v>
      </c>
      <c r="E29" s="3478" t="s">
        <v>4153</v>
      </c>
      <c r="F29" s="386">
        <f>SUMIF(93:93,E29,94:94)-SUMIF(93:93,C29,94:94)+100</f>
        <v>100</v>
      </c>
      <c r="G29" s="3479" t="s">
        <v>4154</v>
      </c>
      <c r="H29" s="386">
        <f>SUMIF(93:93,G29,94:94)-SUMIF(93:93,C29,94:94)+100</f>
        <v>102</v>
      </c>
      <c r="I29" s="3478" t="s">
        <v>4153</v>
      </c>
      <c r="J29" s="386">
        <f>SUMIF(93:93,I29,94:94)-SUMIF(93:93,C29,94:94)+100</f>
        <v>100</v>
      </c>
      <c r="K29" s="562"/>
      <c r="L29" s="2693"/>
      <c r="M29" s="2687"/>
      <c r="N29" s="2687"/>
      <c r="O29" s="2687"/>
      <c r="P29" s="3811"/>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813"/>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11"/>
      <c r="Q30" s="1347">
        <f t="shared" si="11"/>
        <v>111</v>
      </c>
      <c r="R30" s="704" t="s">
        <v>14</v>
      </c>
      <c r="S30" s="705">
        <f t="shared" si="12"/>
        <v>100</v>
      </c>
      <c r="T30" s="704" t="s">
        <v>14</v>
      </c>
      <c r="U30" s="705">
        <f t="shared" si="13"/>
        <v>100</v>
      </c>
      <c r="V30" s="704" t="s">
        <v>14</v>
      </c>
      <c r="W30" s="705">
        <f t="shared" si="14"/>
        <v>100</v>
      </c>
      <c r="X30" s="1350"/>
      <c r="Y30" s="3813"/>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11"/>
      <c r="Q31" s="1347">
        <f t="shared" si="11"/>
        <v>111</v>
      </c>
      <c r="R31" s="704" t="s">
        <v>14</v>
      </c>
      <c r="S31" s="705">
        <f t="shared" si="12"/>
        <v>100</v>
      </c>
      <c r="T31" s="704" t="s">
        <v>14</v>
      </c>
      <c r="U31" s="705">
        <f t="shared" si="13"/>
        <v>100</v>
      </c>
      <c r="V31" s="704" t="s">
        <v>14</v>
      </c>
      <c r="W31" s="705">
        <f t="shared" si="14"/>
        <v>100</v>
      </c>
      <c r="X31" s="1350"/>
      <c r="Y31" s="3813"/>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11"/>
      <c r="Q32" s="1347">
        <f t="shared" si="11"/>
        <v>111</v>
      </c>
      <c r="R32" s="704" t="s">
        <v>14</v>
      </c>
      <c r="S32" s="705">
        <f t="shared" si="12"/>
        <v>100</v>
      </c>
      <c r="T32" s="704" t="s">
        <v>14</v>
      </c>
      <c r="U32" s="705">
        <f t="shared" si="13"/>
        <v>100</v>
      </c>
      <c r="V32" s="704" t="s">
        <v>14</v>
      </c>
      <c r="W32" s="705">
        <f t="shared" si="14"/>
        <v>100</v>
      </c>
      <c r="X32" s="1350"/>
      <c r="Y32" s="3813"/>
      <c r="Z32" s="1351">
        <f t="shared" si="15"/>
        <v>111</v>
      </c>
      <c r="AA32" s="1348">
        <f t="shared" si="3"/>
        <v>1</v>
      </c>
      <c r="AB32" s="1348">
        <f t="shared" si="4"/>
        <v>1</v>
      </c>
      <c r="AC32" s="1957">
        <f t="shared" si="5"/>
        <v>1</v>
      </c>
    </row>
    <row r="33" spans="1:29" ht="15">
      <c r="A33" s="391" t="s">
        <v>1678</v>
      </c>
      <c r="B33" s="63" t="s">
        <v>1801</v>
      </c>
      <c r="C33" s="1962" t="s">
        <v>4203</v>
      </c>
      <c r="D33" s="418">
        <v>100</v>
      </c>
      <c r="E33" s="1962" t="s">
        <v>4203</v>
      </c>
      <c r="F33" s="412">
        <f>SUMIF(101:101,E33,102:102)-SUMIF(101:101,C33,102:102)+100</f>
        <v>100</v>
      </c>
      <c r="G33" s="1962" t="s">
        <v>4203</v>
      </c>
      <c r="H33" s="386">
        <f>SUMIF(101:101,G33,102:102)-SUMIF(101:101,C33,102:102)+100</f>
        <v>100</v>
      </c>
      <c r="I33" s="1962" t="s">
        <v>4203</v>
      </c>
      <c r="J33" s="418">
        <f>SUMIF(101:101,I33,102:102)-SUMIF(101:101,C33,102:102)+100</f>
        <v>100</v>
      </c>
      <c r="K33" s="561"/>
      <c r="L33" s="2693"/>
      <c r="M33" s="2687"/>
      <c r="N33" s="2687"/>
      <c r="O33" s="2687"/>
      <c r="P33" s="3814" t="s">
        <v>1680</v>
      </c>
      <c r="Q33" s="1347" t="str">
        <f t="shared" si="11"/>
        <v>建筑类型</v>
      </c>
      <c r="R33" s="704" t="s">
        <v>14</v>
      </c>
      <c r="S33" s="705">
        <f t="shared" si="12"/>
        <v>100</v>
      </c>
      <c r="T33" s="704" t="s">
        <v>14</v>
      </c>
      <c r="U33" s="705">
        <f t="shared" si="13"/>
        <v>100</v>
      </c>
      <c r="V33" s="704" t="s">
        <v>14</v>
      </c>
      <c r="W33" s="705">
        <f t="shared" si="14"/>
        <v>100</v>
      </c>
      <c r="X33" s="1350"/>
      <c r="Y33" s="3817"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815"/>
      <c r="Q34" s="706" t="str">
        <f t="shared" si="11"/>
        <v>项目建筑规模</v>
      </c>
      <c r="R34" s="707" t="s">
        <v>14</v>
      </c>
      <c r="S34" s="708" t="e">
        <f t="shared" si="12"/>
        <v>#REF!</v>
      </c>
      <c r="T34" s="707" t="s">
        <v>14</v>
      </c>
      <c r="U34" s="708" t="e">
        <f t="shared" si="13"/>
        <v>#REF!</v>
      </c>
      <c r="V34" s="707" t="s">
        <v>14</v>
      </c>
      <c r="W34" s="708" t="e">
        <f t="shared" si="14"/>
        <v>#REF!</v>
      </c>
      <c r="X34" s="709"/>
      <c r="Y34" s="3817"/>
      <c r="Z34" s="710" t="str">
        <f t="shared" si="15"/>
        <v>项目建筑规模</v>
      </c>
      <c r="AA34" s="1348" t="e">
        <f t="shared" si="3"/>
        <v>#REF!</v>
      </c>
      <c r="AB34" s="1348" t="e">
        <f t="shared" si="4"/>
        <v>#REF!</v>
      </c>
      <c r="AC34" s="1957" t="e">
        <f t="shared" si="5"/>
        <v>#REF!</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815"/>
      <c r="Q35" s="1347" t="str">
        <f t="shared" si="11"/>
        <v>建筑结构</v>
      </c>
      <c r="R35" s="704" t="s">
        <v>14</v>
      </c>
      <c r="S35" s="705">
        <f t="shared" si="12"/>
        <v>100</v>
      </c>
      <c r="T35" s="704" t="s">
        <v>14</v>
      </c>
      <c r="U35" s="705">
        <f t="shared" si="13"/>
        <v>100</v>
      </c>
      <c r="V35" s="704" t="s">
        <v>14</v>
      </c>
      <c r="W35" s="705">
        <f t="shared" si="14"/>
        <v>100</v>
      </c>
      <c r="X35" s="1350"/>
      <c r="Y35" s="3817"/>
      <c r="Z35" s="1351" t="str">
        <f t="shared" si="15"/>
        <v>建筑结构</v>
      </c>
      <c r="AA35" s="1348">
        <f t="shared" si="3"/>
        <v>1</v>
      </c>
      <c r="AB35" s="1348">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815"/>
      <c r="Q36" s="1347" t="str">
        <f t="shared" si="11"/>
        <v>公共部分装修</v>
      </c>
      <c r="R36" s="704" t="s">
        <v>14</v>
      </c>
      <c r="S36" s="705">
        <f t="shared" si="12"/>
        <v>100</v>
      </c>
      <c r="T36" s="704" t="s">
        <v>14</v>
      </c>
      <c r="U36" s="705">
        <f t="shared" si="13"/>
        <v>100</v>
      </c>
      <c r="V36" s="704" t="s">
        <v>14</v>
      </c>
      <c r="W36" s="705">
        <f t="shared" si="14"/>
        <v>100</v>
      </c>
      <c r="X36" s="1350"/>
      <c r="Y36" s="3817"/>
      <c r="Z36" s="1351" t="str">
        <f t="shared" si="15"/>
        <v>公共部分装修</v>
      </c>
      <c r="AA36" s="1348">
        <f t="shared" si="3"/>
        <v>1</v>
      </c>
      <c r="AB36" s="1348">
        <f t="shared" si="4"/>
        <v>1</v>
      </c>
      <c r="AC36" s="1957">
        <f t="shared" si="5"/>
        <v>1</v>
      </c>
    </row>
    <row r="37" spans="1:29" ht="15">
      <c r="A37" s="423"/>
      <c r="B37" s="375" t="s">
        <v>1770</v>
      </c>
      <c r="C37" s="425">
        <f>'数据-取费表'!N6</f>
        <v>0.98</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3"/>
      <c r="M37" s="2687"/>
      <c r="N37" s="2687"/>
      <c r="O37" s="2687"/>
      <c r="P37" s="3815"/>
      <c r="Q37" s="1347" t="str">
        <f t="shared" si="11"/>
        <v>成新度</v>
      </c>
      <c r="R37" s="704" t="s">
        <v>14</v>
      </c>
      <c r="S37" s="705">
        <f t="shared" si="12"/>
        <v>96</v>
      </c>
      <c r="T37" s="704" t="s">
        <v>14</v>
      </c>
      <c r="U37" s="705">
        <f t="shared" si="13"/>
        <v>96</v>
      </c>
      <c r="V37" s="704" t="s">
        <v>14</v>
      </c>
      <c r="W37" s="705">
        <f t="shared" si="14"/>
        <v>96</v>
      </c>
      <c r="X37" s="1350"/>
      <c r="Y37" s="3817"/>
      <c r="Z37" s="1351" t="str">
        <f t="shared" si="15"/>
        <v>成新度</v>
      </c>
      <c r="AA37" s="1348">
        <f t="shared" si="3"/>
        <v>1.0416666666666667</v>
      </c>
      <c r="AB37" s="1348">
        <f t="shared" si="4"/>
        <v>1.0416666666666667</v>
      </c>
      <c r="AC37" s="1957">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15"/>
      <c r="Q38" s="1338" t="str">
        <f t="shared" si="11"/>
        <v>写字楼等级</v>
      </c>
      <c r="R38" s="700" t="s">
        <v>14</v>
      </c>
      <c r="S38" s="701">
        <f t="shared" si="12"/>
        <v>100</v>
      </c>
      <c r="T38" s="700" t="s">
        <v>14</v>
      </c>
      <c r="U38" s="701">
        <f t="shared" si="13"/>
        <v>100</v>
      </c>
      <c r="V38" s="700" t="s">
        <v>14</v>
      </c>
      <c r="W38" s="701">
        <f t="shared" si="14"/>
        <v>100</v>
      </c>
      <c r="X38" s="702"/>
      <c r="Y38" s="3817"/>
      <c r="Z38" s="5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815" t="s">
        <v>1680</v>
      </c>
      <c r="Q39" s="1347" t="str">
        <f t="shared" si="11"/>
        <v>物业管理</v>
      </c>
      <c r="R39" s="704" t="s">
        <v>14</v>
      </c>
      <c r="S39" s="705">
        <f t="shared" si="12"/>
        <v>100</v>
      </c>
      <c r="T39" s="704" t="s">
        <v>14</v>
      </c>
      <c r="U39" s="705">
        <f t="shared" si="13"/>
        <v>100</v>
      </c>
      <c r="V39" s="704" t="s">
        <v>14</v>
      </c>
      <c r="W39" s="705">
        <f t="shared" si="14"/>
        <v>100</v>
      </c>
      <c r="X39" s="1350"/>
      <c r="Y39" s="3817" t="s">
        <v>1680</v>
      </c>
      <c r="Z39" s="1351" t="str">
        <f t="shared" si="15"/>
        <v>物业管理</v>
      </c>
      <c r="AA39" s="1348">
        <f t="shared" si="3"/>
        <v>1</v>
      </c>
      <c r="AB39" s="1348">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815"/>
      <c r="Q40" s="1347" t="str">
        <f t="shared" si="11"/>
        <v>市政基础设施</v>
      </c>
      <c r="R40" s="704" t="s">
        <v>14</v>
      </c>
      <c r="S40" s="705">
        <f t="shared" si="12"/>
        <v>100</v>
      </c>
      <c r="T40" s="704" t="s">
        <v>14</v>
      </c>
      <c r="U40" s="705">
        <f t="shared" si="13"/>
        <v>100</v>
      </c>
      <c r="V40" s="704" t="s">
        <v>14</v>
      </c>
      <c r="W40" s="705">
        <f t="shared" si="14"/>
        <v>100</v>
      </c>
      <c r="X40" s="1350"/>
      <c r="Y40" s="3817"/>
      <c r="Z40" s="1351" t="str">
        <f t="shared" si="15"/>
        <v>市政基础设施</v>
      </c>
      <c r="AA40" s="1348">
        <f t="shared" si="3"/>
        <v>1</v>
      </c>
      <c r="AB40" s="1348">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815"/>
      <c r="Q41" s="1347" t="str">
        <f t="shared" si="11"/>
        <v>层高</v>
      </c>
      <c r="R41" s="704" t="s">
        <v>14</v>
      </c>
      <c r="S41" s="705">
        <f t="shared" si="12"/>
        <v>100</v>
      </c>
      <c r="T41" s="704" t="s">
        <v>14</v>
      </c>
      <c r="U41" s="705">
        <f t="shared" si="13"/>
        <v>100</v>
      </c>
      <c r="V41" s="704" t="s">
        <v>14</v>
      </c>
      <c r="W41" s="705">
        <f t="shared" si="14"/>
        <v>100</v>
      </c>
      <c r="X41" s="1350"/>
      <c r="Y41" s="3817"/>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15"/>
      <c r="Q42" s="706" t="str">
        <f t="shared" si="11"/>
        <v>单套建筑面积</v>
      </c>
      <c r="R42" s="707" t="s">
        <v>14</v>
      </c>
      <c r="S42" s="708">
        <f t="shared" si="12"/>
        <v>100</v>
      </c>
      <c r="T42" s="707" t="s">
        <v>14</v>
      </c>
      <c r="U42" s="708">
        <f t="shared" si="13"/>
        <v>100</v>
      </c>
      <c r="V42" s="707" t="s">
        <v>14</v>
      </c>
      <c r="W42" s="708">
        <f t="shared" si="14"/>
        <v>100</v>
      </c>
      <c r="X42" s="709"/>
      <c r="Y42" s="3817"/>
      <c r="Z42" s="710" t="str">
        <f t="shared" si="15"/>
        <v>单套建筑面积</v>
      </c>
      <c r="AA42" s="1348">
        <f t="shared" si="3"/>
        <v>1</v>
      </c>
      <c r="AB42" s="1348">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815"/>
      <c r="Q43" s="1347" t="str">
        <f t="shared" si="11"/>
        <v>内部装修</v>
      </c>
      <c r="R43" s="704" t="s">
        <v>14</v>
      </c>
      <c r="S43" s="705">
        <f t="shared" si="12"/>
        <v>100</v>
      </c>
      <c r="T43" s="704" t="s">
        <v>14</v>
      </c>
      <c r="U43" s="705">
        <f t="shared" si="13"/>
        <v>100</v>
      </c>
      <c r="V43" s="704" t="s">
        <v>14</v>
      </c>
      <c r="W43" s="705">
        <f t="shared" si="14"/>
        <v>100</v>
      </c>
      <c r="X43" s="1350"/>
      <c r="Y43" s="3817"/>
      <c r="Z43" s="1351" t="str">
        <f t="shared" si="15"/>
        <v>内部装修</v>
      </c>
      <c r="AA43" s="1348">
        <f t="shared" si="3"/>
        <v>1</v>
      </c>
      <c r="AB43" s="1348">
        <f t="shared" si="4"/>
        <v>1</v>
      </c>
      <c r="AC43" s="1957">
        <f t="shared" si="5"/>
        <v>1</v>
      </c>
    </row>
    <row r="44" spans="1:29" ht="15.75" thickBot="1">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815"/>
      <c r="Q44" s="1347" t="str">
        <f t="shared" si="11"/>
        <v>内部装修维护情况</v>
      </c>
      <c r="R44" s="704" t="s">
        <v>14</v>
      </c>
      <c r="S44" s="705">
        <f t="shared" si="12"/>
        <v>100</v>
      </c>
      <c r="T44" s="704" t="s">
        <v>14</v>
      </c>
      <c r="U44" s="705">
        <f t="shared" si="13"/>
        <v>100</v>
      </c>
      <c r="V44" s="704" t="s">
        <v>14</v>
      </c>
      <c r="W44" s="705">
        <f t="shared" si="14"/>
        <v>100</v>
      </c>
      <c r="X44" s="1350"/>
      <c r="Y44" s="3817"/>
      <c r="Z44" s="1351" t="str">
        <f t="shared" si="15"/>
        <v>内部装修维护情况</v>
      </c>
      <c r="AA44" s="1348">
        <f t="shared" si="3"/>
        <v>1</v>
      </c>
      <c r="AB44" s="1348">
        <f t="shared" si="4"/>
        <v>1</v>
      </c>
      <c r="AC44" s="1957">
        <f t="shared" si="5"/>
        <v>1</v>
      </c>
    </row>
    <row r="45" spans="1:29" s="108" customFormat="1" ht="15" hidden="1">
      <c r="A45" s="424"/>
      <c r="B45" s="3437"/>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815"/>
      <c r="Q45" s="1338">
        <f t="shared" si="11"/>
        <v>0</v>
      </c>
      <c r="R45" s="700" t="s">
        <v>14</v>
      </c>
      <c r="S45" s="701">
        <f t="shared" si="12"/>
        <v>100</v>
      </c>
      <c r="T45" s="700" t="s">
        <v>14</v>
      </c>
      <c r="U45" s="701">
        <f t="shared" si="13"/>
        <v>100</v>
      </c>
      <c r="V45" s="700" t="s">
        <v>14</v>
      </c>
      <c r="W45" s="701">
        <f t="shared" si="14"/>
        <v>100</v>
      </c>
      <c r="X45" s="702"/>
      <c r="Y45" s="3817"/>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815"/>
      <c r="Q46" s="1347">
        <f t="shared" si="11"/>
        <v>0</v>
      </c>
      <c r="R46" s="704" t="s">
        <v>14</v>
      </c>
      <c r="S46" s="705">
        <f t="shared" si="12"/>
        <v>100</v>
      </c>
      <c r="T46" s="704" t="s">
        <v>14</v>
      </c>
      <c r="U46" s="705">
        <f t="shared" si="13"/>
        <v>100</v>
      </c>
      <c r="V46" s="704" t="s">
        <v>14</v>
      </c>
      <c r="W46" s="705">
        <f t="shared" si="14"/>
        <v>100</v>
      </c>
      <c r="X46" s="1350"/>
      <c r="Y46" s="3817"/>
      <c r="Z46" s="1351">
        <f t="shared" si="15"/>
        <v>0</v>
      </c>
      <c r="AA46" s="1348">
        <f t="shared" si="3"/>
        <v>1</v>
      </c>
      <c r="AB46" s="1348">
        <f t="shared" si="4"/>
        <v>1</v>
      </c>
      <c r="AC46" s="1957">
        <f t="shared" si="5"/>
        <v>1</v>
      </c>
    </row>
    <row r="47" spans="1:29" ht="15.75"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16"/>
      <c r="Q47" s="1347">
        <f t="shared" si="11"/>
        <v>0</v>
      </c>
      <c r="R47" s="704" t="s">
        <v>14</v>
      </c>
      <c r="S47" s="705">
        <f t="shared" si="12"/>
        <v>100</v>
      </c>
      <c r="T47" s="704" t="s">
        <v>14</v>
      </c>
      <c r="U47" s="705">
        <f t="shared" si="13"/>
        <v>100</v>
      </c>
      <c r="V47" s="704" t="s">
        <v>14</v>
      </c>
      <c r="W47" s="705">
        <f t="shared" si="14"/>
        <v>100</v>
      </c>
      <c r="X47" s="1350"/>
      <c r="Y47" s="3818"/>
      <c r="Z47" s="1351">
        <f t="shared" si="15"/>
        <v>0</v>
      </c>
      <c r="AA47" s="1348">
        <f t="shared" si="3"/>
        <v>1</v>
      </c>
      <c r="AB47" s="1348">
        <f t="shared" si="4"/>
        <v>1</v>
      </c>
      <c r="AC47" s="1957">
        <f t="shared" si="5"/>
        <v>1</v>
      </c>
    </row>
    <row r="48" spans="1:29" ht="15">
      <c r="A48" s="430" t="s">
        <v>1692</v>
      </c>
      <c r="B48" s="431"/>
      <c r="C48" s="1150" t="s">
        <v>0</v>
      </c>
      <c r="D48" s="1151"/>
      <c r="E48" s="1152" t="e">
        <f>#REF!</f>
        <v>#REF!</v>
      </c>
      <c r="F48" s="1153"/>
      <c r="G48" s="1154" t="e">
        <f>#REF!</f>
        <v>#REF!</v>
      </c>
      <c r="H48" s="1155"/>
      <c r="I48" s="1152" t="e">
        <f>#REF!</f>
        <v>#REF!</v>
      </c>
      <c r="J48" s="436"/>
      <c r="K48" s="713"/>
      <c r="L48" s="2695"/>
      <c r="M48" s="2687"/>
      <c r="N48" s="2687"/>
      <c r="O48" s="2687"/>
      <c r="P48" s="3789" t="str">
        <f>A48</f>
        <v>成交单价（元/平方米）</v>
      </c>
      <c r="Q48" s="3819"/>
      <c r="R48" s="3820" t="e">
        <f>E48</f>
        <v>#REF!</v>
      </c>
      <c r="S48" s="3820"/>
      <c r="T48" s="3820" t="e">
        <f>G48</f>
        <v>#REF!</v>
      </c>
      <c r="U48" s="3820"/>
      <c r="V48" s="3820" t="e">
        <f>I48</f>
        <v>#REF!</v>
      </c>
      <c r="W48" s="3820"/>
      <c r="X48" s="397"/>
      <c r="Y48" s="711"/>
      <c r="Z48" s="397"/>
      <c r="AA48" s="397"/>
      <c r="AB48" s="397"/>
      <c r="AC48" s="578"/>
    </row>
    <row r="49" spans="1:60" ht="15.7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789" t="str">
        <f>A49</f>
        <v>比较价值（元/平方米）</v>
      </c>
      <c r="Q49" s="3819"/>
      <c r="R49" s="3820" t="e">
        <f>IF(F1="售价",ROUND(PRODUCT(R48,AA7:AA47),0),ROUND(PRODUCT(R48,AA7:AA47),1))</f>
        <v>#REF!</v>
      </c>
      <c r="S49" s="3820"/>
      <c r="T49" s="3820" t="e">
        <f>IF(F1="售价",ROUND(PRODUCT(T48,AB7:AB47),0),ROUND(PRODUCT(T48,AB7:AB47),1))</f>
        <v>#REF!</v>
      </c>
      <c r="U49" s="3820"/>
      <c r="V49" s="3820" t="e">
        <f>IF(F1="售价",ROUND(PRODUCT(V48,AC7:AC47),0),ROUND(PRODUCT(V48,AC7:AC47),1))</f>
        <v>#REF!</v>
      </c>
      <c r="W49" s="3820"/>
      <c r="X49" s="397"/>
      <c r="Y49" s="397"/>
      <c r="Z49" s="397"/>
      <c r="AA49" s="397"/>
      <c r="AB49" s="397"/>
      <c r="AC49" s="578"/>
    </row>
    <row r="50" spans="1:60" ht="15.75" thickBot="1">
      <c r="A50" s="441" t="s">
        <v>1778</v>
      </c>
      <c r="B50" s="442"/>
      <c r="C50" s="1159" t="e">
        <f>R50</f>
        <v>#REF!</v>
      </c>
      <c r="D50" s="1159"/>
      <c r="E50" s="1159"/>
      <c r="F50" s="1159"/>
      <c r="G50" s="1159"/>
      <c r="H50" s="1159"/>
      <c r="I50" s="1159"/>
      <c r="J50" s="443"/>
      <c r="K50" s="714"/>
      <c r="L50" s="2695"/>
      <c r="M50" s="2687"/>
      <c r="N50" s="2687"/>
      <c r="O50" s="2687"/>
      <c r="P50" s="3821" t="str">
        <f>A50</f>
        <v>估价对象XX用房的比较价值（楼面单价，元/平方米）</v>
      </c>
      <c r="Q50" s="3822"/>
      <c r="R50" s="3823" t="e">
        <f>IF(F1="售价",ROUND(IF(D49="简单平均",AVERAGE(R49:V49),R49*F49+T49*H49+V49*J49),0),ROUND(IF(D49="简单平均",AVERAGE(R49:V49),R49*F49+T49*H49+V49*J49),1))</f>
        <v>#REF!</v>
      </c>
      <c r="S50" s="3823"/>
      <c r="T50" s="3823"/>
      <c r="U50" s="3823"/>
      <c r="V50" s="3823"/>
      <c r="W50" s="3823"/>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O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ref="P59" si="17">EDATE(O59,-1)</f>
        <v>44896</v>
      </c>
      <c r="Q59" s="3440">
        <f t="shared" ref="Q59" si="18">EDATE(P59,-1)</f>
        <v>44866</v>
      </c>
      <c r="R59" s="3440">
        <f t="shared" ref="R59" si="19">EDATE(Q59,-1)</f>
        <v>44835</v>
      </c>
      <c r="S59" s="3440">
        <f t="shared" ref="S59" si="20">EDATE(R59,-1)</f>
        <v>44805</v>
      </c>
      <c r="T59" s="3440">
        <f t="shared" ref="T59" si="21">EDATE(S59,-1)</f>
        <v>44774</v>
      </c>
      <c r="U59" s="3440">
        <f t="shared" ref="U59" si="22">EDATE(T59,-1)</f>
        <v>44743</v>
      </c>
      <c r="V59" s="3440">
        <f t="shared" ref="V59" si="23">EDATE(U59,-1)</f>
        <v>44713</v>
      </c>
      <c r="W59" s="3440">
        <f t="shared" ref="W59" si="24">EDATE(V59,-1)</f>
        <v>44682</v>
      </c>
      <c r="X59" s="3440">
        <f t="shared" ref="X59" si="25">EDATE(W59,-1)</f>
        <v>44652</v>
      </c>
      <c r="Y59" s="3440">
        <f t="shared" ref="Y59" si="26">EDATE(X59,-1)</f>
        <v>44621</v>
      </c>
      <c r="Z59" s="3440">
        <f t="shared" ref="Z59" si="27">EDATE(Y59,-1)</f>
        <v>44593</v>
      </c>
      <c r="AA59" s="3440">
        <f t="shared" ref="AA59" si="28">EDATE(Z59,-1)</f>
        <v>44562</v>
      </c>
      <c r="AB59" s="3440">
        <f t="shared" ref="AB59" si="29">EDATE(AA59,-1)</f>
        <v>44531</v>
      </c>
      <c r="AC59" s="3440">
        <f t="shared" ref="AC59" si="30">EDATE(AB59,-1)</f>
        <v>44501</v>
      </c>
      <c r="AD59" s="3440">
        <f t="shared" ref="AD59" si="31">EDATE(AC59,-1)</f>
        <v>44470</v>
      </c>
      <c r="AE59" s="3440">
        <f t="shared" ref="AE59" si="32">EDATE(AD59,-1)</f>
        <v>44440</v>
      </c>
      <c r="AF59" s="3440">
        <f t="shared" ref="AF59" si="33">EDATE(AE59,-1)</f>
        <v>44409</v>
      </c>
      <c r="AG59" s="3440">
        <f t="shared" ref="AG59" si="34">EDATE(AF59,-1)</f>
        <v>44378</v>
      </c>
      <c r="AH59" s="3440">
        <f t="shared" ref="AH59" si="35">EDATE(AG59,-1)</f>
        <v>44348</v>
      </c>
      <c r="AI59" s="3440">
        <f t="shared" ref="AI59" si="36">EDATE(AH59,-1)</f>
        <v>44317</v>
      </c>
      <c r="AJ59" s="3440">
        <f t="shared" ref="AJ59" si="37">EDATE(AI59,-1)</f>
        <v>44287</v>
      </c>
      <c r="AK59" s="3440">
        <f t="shared" ref="AK59" si="38">EDATE(AJ59,-1)</f>
        <v>44256</v>
      </c>
      <c r="AL59" s="3440">
        <f t="shared" ref="AL59" si="39">EDATE(AK59,-1)</f>
        <v>44228</v>
      </c>
      <c r="AM59" s="3440">
        <f t="shared" ref="AM59" si="40">EDATE(AL59,-1)</f>
        <v>44197</v>
      </c>
      <c r="AN59" s="3440">
        <f t="shared" ref="AN59" si="41">EDATE(AM59,-1)</f>
        <v>44166</v>
      </c>
      <c r="AO59" s="3440">
        <f t="shared" ref="AO59" si="42">EDATE(AN59,-1)</f>
        <v>44136</v>
      </c>
      <c r="AP59" s="3440">
        <f t="shared" ref="AP59" si="43">EDATE(AO59,-1)</f>
        <v>44105</v>
      </c>
      <c r="AQ59" s="3440">
        <f t="shared" ref="AQ59" si="44">EDATE(AP59,-1)</f>
        <v>44075</v>
      </c>
      <c r="AR59" s="3440">
        <f t="shared" ref="AR59" si="45">EDATE(AQ59,-1)</f>
        <v>44044</v>
      </c>
      <c r="AS59" s="3440">
        <f t="shared" ref="AS59" si="46">EDATE(AR59,-1)</f>
        <v>44013</v>
      </c>
      <c r="AT59" s="3440">
        <f t="shared" ref="AT59" si="47">EDATE(AS59,-1)</f>
        <v>43983</v>
      </c>
      <c r="AU59" s="3440">
        <f t="shared" ref="AU59" si="48">EDATE(AT59,-1)</f>
        <v>43952</v>
      </c>
      <c r="AV59" s="3440">
        <f t="shared" ref="AV59" si="49">EDATE(AU59,-1)</f>
        <v>43922</v>
      </c>
      <c r="AW59" s="3440">
        <f t="shared" ref="AW59" si="50">EDATE(AV59,-1)</f>
        <v>43891</v>
      </c>
      <c r="AX59" s="3440">
        <f t="shared" ref="AX59" si="51">EDATE(AW59,-1)</f>
        <v>43862</v>
      </c>
      <c r="AY59" s="3440">
        <f t="shared" ref="AY59" si="52">EDATE(AX59,-1)</f>
        <v>43831</v>
      </c>
      <c r="AZ59" s="3440">
        <f t="shared" ref="AZ59" si="53">EDATE(AY59,-1)</f>
        <v>43800</v>
      </c>
      <c r="BA59" s="3440">
        <f t="shared" ref="BA59" si="54">EDATE(AZ59,-1)</f>
        <v>43770</v>
      </c>
      <c r="BB59" s="3440">
        <f t="shared" ref="BB59" si="55">EDATE(BA59,-1)</f>
        <v>43739</v>
      </c>
      <c r="BC59" s="3440">
        <f t="shared" ref="BC59" si="56">EDATE(BB59,-1)</f>
        <v>43709</v>
      </c>
      <c r="BD59" s="3440">
        <f t="shared" ref="BD59" si="57">EDATE(BC59,-1)</f>
        <v>43678</v>
      </c>
      <c r="BE59" s="3440">
        <f t="shared" ref="BE59" si="58">EDATE(BD59,-1)</f>
        <v>43647</v>
      </c>
      <c r="BF59" s="3440">
        <f t="shared" ref="BF59" si="59">EDATE(BE59,-1)</f>
        <v>43617</v>
      </c>
      <c r="BG59" s="3440">
        <f t="shared" ref="BG59" si="60">EDATE(BF59,-1)</f>
        <v>43586</v>
      </c>
      <c r="BH59" s="3440">
        <f t="shared" ref="BH59" si="61">EDATE(BG59,-1)</f>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1760</v>
      </c>
      <c r="D62" s="3491" t="s">
        <v>4181</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商业</v>
      </c>
      <c r="D64" s="3439" t="s">
        <v>3403</v>
      </c>
      <c r="E64" s="3439" t="s">
        <v>3429</v>
      </c>
      <c r="F64" s="3439" t="s">
        <v>4151</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3392</v>
      </c>
      <c r="D66" s="532" t="s">
        <v>3394</v>
      </c>
      <c r="E66" s="3441" t="s">
        <v>3404</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3477" t="s">
        <v>4183</v>
      </c>
      <c r="D87" s="3477" t="s">
        <v>4185</v>
      </c>
      <c r="E87" s="3477" t="s">
        <v>4187</v>
      </c>
      <c r="F87" s="3477" t="s">
        <v>4188</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3477" t="s">
        <v>4190</v>
      </c>
      <c r="D89" s="3477" t="s">
        <v>4192</v>
      </c>
      <c r="E89" s="3477" t="s">
        <v>4194</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f>B45</f>
        <v>0</v>
      </c>
      <c r="C127" s="503">
        <v>0</v>
      </c>
      <c r="D127" s="3438" t="s">
        <v>4169</v>
      </c>
      <c r="E127" s="3438" t="s">
        <v>3422</v>
      </c>
      <c r="F127" s="3438" t="s">
        <v>3423</v>
      </c>
      <c r="G127" s="3438" t="s">
        <v>3424</v>
      </c>
      <c r="H127" s="504" t="s">
        <v>3425</v>
      </c>
      <c r="I127" s="504" t="s">
        <v>4170</v>
      </c>
      <c r="J127" s="504" t="s">
        <v>4171</v>
      </c>
      <c r="K127" s="504" t="s">
        <v>4172</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5">
      <c r="A4" s="355" t="s">
        <v>1650</v>
      </c>
      <c r="B4" s="356"/>
      <c r="C4" s="3793" t="s">
        <v>1651</v>
      </c>
      <c r="D4" s="3794"/>
      <c r="E4" s="3795" t="s">
        <v>1652</v>
      </c>
      <c r="F4" s="3796"/>
      <c r="G4" s="3793" t="s">
        <v>1653</v>
      </c>
      <c r="H4" s="3794"/>
      <c r="I4" s="3793" t="s">
        <v>1654</v>
      </c>
      <c r="J4" s="3794"/>
      <c r="K4" s="1884" t="s">
        <v>1655</v>
      </c>
      <c r="L4" s="2686"/>
      <c r="M4" s="2687"/>
      <c r="N4" s="2687"/>
      <c r="O4" s="2687"/>
      <c r="P4" s="3827" t="s">
        <v>1656</v>
      </c>
      <c r="Q4" s="3828"/>
      <c r="R4" s="3825" t="s">
        <v>1652</v>
      </c>
      <c r="S4" s="3826"/>
      <c r="T4" s="3825" t="s">
        <v>1653</v>
      </c>
      <c r="U4" s="3826"/>
      <c r="V4" s="3806" t="s">
        <v>1654</v>
      </c>
      <c r="W4" s="3806"/>
      <c r="X4" s="1350"/>
      <c r="Y4" s="3825" t="s">
        <v>1656</v>
      </c>
      <c r="Z4" s="3826"/>
      <c r="AA4" s="3824" t="s">
        <v>1652</v>
      </c>
      <c r="AB4" s="3824" t="s">
        <v>1653</v>
      </c>
      <c r="AC4" s="3824" t="s">
        <v>1654</v>
      </c>
    </row>
    <row r="5" spans="1:29" ht="15">
      <c r="A5" s="358"/>
      <c r="B5" s="359"/>
      <c r="C5" s="3783" t="s">
        <v>1657</v>
      </c>
      <c r="D5" s="3784"/>
      <c r="E5" s="3781" t="s">
        <v>1658</v>
      </c>
      <c r="F5" s="3782"/>
      <c r="G5" s="3783" t="s">
        <v>1659</v>
      </c>
      <c r="H5" s="3784"/>
      <c r="I5" s="3783" t="s">
        <v>1660</v>
      </c>
      <c r="J5" s="3784"/>
      <c r="K5" s="1885"/>
      <c r="L5" s="2686"/>
      <c r="M5" s="2687"/>
      <c r="N5" s="2687"/>
      <c r="O5" s="2687"/>
      <c r="P5" s="3829"/>
      <c r="Q5" s="3800"/>
      <c r="R5" s="3779"/>
      <c r="S5" s="3780"/>
      <c r="T5" s="3779"/>
      <c r="U5" s="3780"/>
      <c r="V5" s="3806"/>
      <c r="W5" s="3806"/>
      <c r="X5" s="1350"/>
      <c r="Y5" s="3779"/>
      <c r="Z5" s="3780"/>
      <c r="AA5" s="3773"/>
      <c r="AB5" s="3773"/>
      <c r="AC5" s="3773"/>
    </row>
    <row r="6" spans="1:29" ht="15.75" thickBot="1">
      <c r="A6" s="360"/>
      <c r="B6" s="361"/>
      <c r="C6" s="3785" t="s">
        <v>1661</v>
      </c>
      <c r="D6" s="3786"/>
      <c r="E6" s="3787" t="s">
        <v>1661</v>
      </c>
      <c r="F6" s="3788"/>
      <c r="G6" s="3785" t="s">
        <v>1661</v>
      </c>
      <c r="H6" s="3786"/>
      <c r="I6" s="3785" t="s">
        <v>1661</v>
      </c>
      <c r="J6" s="3786"/>
      <c r="K6" s="1885" t="s">
        <v>1662</v>
      </c>
      <c r="L6" s="2686"/>
      <c r="M6" s="2687"/>
      <c r="N6" s="2687"/>
      <c r="O6" s="2687"/>
      <c r="P6" s="3830"/>
      <c r="Q6" s="3802"/>
      <c r="R6" s="3779"/>
      <c r="S6" s="3780"/>
      <c r="T6" s="3803"/>
      <c r="U6" s="3804"/>
      <c r="V6" s="3806"/>
      <c r="W6" s="3806"/>
      <c r="X6" s="1350"/>
      <c r="Y6" s="3803"/>
      <c r="Z6" s="3804"/>
      <c r="AA6" s="3774"/>
      <c r="AB6" s="3774"/>
      <c r="AC6" s="3774"/>
    </row>
    <row r="7" spans="1:29" s="108" customFormat="1" ht="15.75" thickBot="1">
      <c r="A7" s="362" t="s">
        <v>1663</v>
      </c>
      <c r="B7" s="363"/>
      <c r="C7" s="364">
        <f>'数据-取费表'!B2</f>
        <v>45309</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775" t="s">
        <v>1664</v>
      </c>
      <c r="Q7" s="3809"/>
      <c r="R7" s="700" t="s">
        <v>20</v>
      </c>
      <c r="S7" s="701">
        <f t="shared" ref="S7:S15" si="0">F7</f>
        <v>0</v>
      </c>
      <c r="T7" s="700" t="s">
        <v>20</v>
      </c>
      <c r="U7" s="701">
        <f t="shared" ref="U7:U15" si="1">H7</f>
        <v>0</v>
      </c>
      <c r="V7" s="700" t="s">
        <v>20</v>
      </c>
      <c r="W7" s="701">
        <f t="shared" ref="W7:W15" si="2">J7</f>
        <v>0</v>
      </c>
      <c r="X7" s="702"/>
      <c r="Y7" s="3775" t="s">
        <v>1664</v>
      </c>
      <c r="Z7" s="3776"/>
      <c r="AA7" s="703" t="e">
        <f>D7/F7</f>
        <v>#DIV/0!</v>
      </c>
      <c r="AB7" s="703" t="e">
        <f>D7/H7</f>
        <v>#DIV/0!</v>
      </c>
      <c r="AC7" s="703" t="e">
        <f>D7/J7</f>
        <v>#DIV/0!</v>
      </c>
    </row>
    <row r="8" spans="1:29" s="108" customFormat="1" ht="15.7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775" t="s">
        <v>1667</v>
      </c>
      <c r="Q8" s="3776"/>
      <c r="R8" s="700" t="s">
        <v>20</v>
      </c>
      <c r="S8" s="701">
        <f t="shared" si="0"/>
        <v>100</v>
      </c>
      <c r="T8" s="700" t="s">
        <v>20</v>
      </c>
      <c r="U8" s="701">
        <f t="shared" si="1"/>
        <v>100</v>
      </c>
      <c r="V8" s="700" t="s">
        <v>20</v>
      </c>
      <c r="W8" s="701">
        <f t="shared" si="2"/>
        <v>100</v>
      </c>
      <c r="X8" s="702"/>
      <c r="Y8" s="3775" t="s">
        <v>1667</v>
      </c>
      <c r="Z8" s="3776"/>
      <c r="AA8" s="703">
        <f t="shared" ref="AA8:AA19" si="3">D8/F8</f>
        <v>1</v>
      </c>
      <c r="AB8" s="703">
        <f t="shared" ref="AB8:AB19" si="4">D8/H8</f>
        <v>1</v>
      </c>
      <c r="AC8" s="703">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789" t="s">
        <v>1670</v>
      </c>
      <c r="Q9" s="1338" t="str">
        <f t="shared" ref="Q9:Q15" si="6">B9</f>
        <v>用途</v>
      </c>
      <c r="R9" s="700" t="s">
        <v>14</v>
      </c>
      <c r="S9" s="701">
        <f t="shared" si="0"/>
        <v>100</v>
      </c>
      <c r="T9" s="700" t="s">
        <v>14</v>
      </c>
      <c r="U9" s="701">
        <f t="shared" si="1"/>
        <v>100</v>
      </c>
      <c r="V9" s="700" t="s">
        <v>14</v>
      </c>
      <c r="W9" s="701">
        <f t="shared" si="2"/>
        <v>100</v>
      </c>
      <c r="X9" s="702"/>
      <c r="Y9" s="3721"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1886"/>
      <c r="L10" s="2690"/>
      <c r="M10" s="2691"/>
      <c r="N10" s="2691"/>
      <c r="O10" s="2691"/>
      <c r="P10" s="3789"/>
      <c r="Q10" s="1338" t="str">
        <f t="shared" si="6"/>
        <v>土地使用年限（年）</v>
      </c>
      <c r="R10" s="700" t="s">
        <v>14</v>
      </c>
      <c r="S10" s="701">
        <f t="shared" si="0"/>
        <v>100</v>
      </c>
      <c r="T10" s="700" t="s">
        <v>14</v>
      </c>
      <c r="U10" s="701">
        <f t="shared" si="1"/>
        <v>100</v>
      </c>
      <c r="V10" s="700" t="s">
        <v>14</v>
      </c>
      <c r="W10" s="701">
        <f t="shared" si="2"/>
        <v>100</v>
      </c>
      <c r="X10" s="702"/>
      <c r="Y10" s="3721"/>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789"/>
      <c r="Q11" s="1338" t="str">
        <f t="shared" si="6"/>
        <v>容积率</v>
      </c>
      <c r="R11" s="700" t="s">
        <v>18</v>
      </c>
      <c r="S11" s="701" t="e">
        <f t="shared" si="0"/>
        <v>#N/A</v>
      </c>
      <c r="T11" s="700" t="s">
        <v>18</v>
      </c>
      <c r="U11" s="701" t="e">
        <f t="shared" si="1"/>
        <v>#N/A</v>
      </c>
      <c r="V11" s="700" t="s">
        <v>18</v>
      </c>
      <c r="W11" s="701" t="e">
        <f t="shared" si="2"/>
        <v>#N/A</v>
      </c>
      <c r="X11" s="702"/>
      <c r="Y11" s="3721"/>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789"/>
      <c r="Q12" s="1338">
        <f t="shared" si="6"/>
        <v>111</v>
      </c>
      <c r="R12" s="700" t="s">
        <v>18</v>
      </c>
      <c r="S12" s="701">
        <f t="shared" si="0"/>
        <v>100</v>
      </c>
      <c r="T12" s="700" t="s">
        <v>18</v>
      </c>
      <c r="U12" s="701">
        <f t="shared" si="1"/>
        <v>100</v>
      </c>
      <c r="V12" s="700" t="s">
        <v>18</v>
      </c>
      <c r="W12" s="701">
        <f t="shared" si="2"/>
        <v>100</v>
      </c>
      <c r="X12" s="702"/>
      <c r="Y12" s="3721"/>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789"/>
      <c r="Q13" s="1338">
        <f t="shared" si="6"/>
        <v>111</v>
      </c>
      <c r="R13" s="700" t="s">
        <v>18</v>
      </c>
      <c r="S13" s="701">
        <f t="shared" si="0"/>
        <v>100</v>
      </c>
      <c r="T13" s="700" t="s">
        <v>18</v>
      </c>
      <c r="U13" s="701">
        <f t="shared" si="1"/>
        <v>100</v>
      </c>
      <c r="V13" s="700" t="s">
        <v>18</v>
      </c>
      <c r="W13" s="701">
        <f t="shared" si="2"/>
        <v>100</v>
      </c>
      <c r="X13" s="702"/>
      <c r="Y13" s="3721"/>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789"/>
      <c r="Q14" s="1338">
        <f t="shared" si="6"/>
        <v>111</v>
      </c>
      <c r="R14" s="700" t="s">
        <v>18</v>
      </c>
      <c r="S14" s="701">
        <f t="shared" si="0"/>
        <v>100</v>
      </c>
      <c r="T14" s="700" t="s">
        <v>18</v>
      </c>
      <c r="U14" s="701">
        <f t="shared" si="1"/>
        <v>100</v>
      </c>
      <c r="V14" s="700" t="s">
        <v>18</v>
      </c>
      <c r="W14" s="701">
        <f t="shared" si="2"/>
        <v>100</v>
      </c>
      <c r="X14" s="702"/>
      <c r="Y14" s="3721"/>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810" t="s">
        <v>1675</v>
      </c>
      <c r="Q15" s="1347" t="str">
        <f t="shared" si="6"/>
        <v>居住社区成熟度</v>
      </c>
      <c r="R15" s="704" t="s">
        <v>18</v>
      </c>
      <c r="S15" s="705">
        <f t="shared" si="0"/>
        <v>100</v>
      </c>
      <c r="T15" s="704" t="s">
        <v>18</v>
      </c>
      <c r="U15" s="705">
        <f t="shared" si="1"/>
        <v>100</v>
      </c>
      <c r="V15" s="704" t="s">
        <v>18</v>
      </c>
      <c r="W15" s="705">
        <f t="shared" si="2"/>
        <v>100</v>
      </c>
      <c r="X15" s="1350"/>
      <c r="Y15" s="3812"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811"/>
      <c r="Q16" s="1347"/>
      <c r="R16" s="704"/>
      <c r="S16" s="705"/>
      <c r="T16" s="704"/>
      <c r="U16" s="705"/>
      <c r="V16" s="704"/>
      <c r="W16" s="705"/>
      <c r="X16" s="1350"/>
      <c r="Y16" s="3813"/>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811"/>
      <c r="Q17" s="1347" t="str">
        <f>B17</f>
        <v>交通便捷度</v>
      </c>
      <c r="R17" s="704" t="s">
        <v>18</v>
      </c>
      <c r="S17" s="705">
        <f>F17</f>
        <v>100</v>
      </c>
      <c r="T17" s="704" t="s">
        <v>18</v>
      </c>
      <c r="U17" s="705">
        <f>H17</f>
        <v>100</v>
      </c>
      <c r="V17" s="704" t="s">
        <v>18</v>
      </c>
      <c r="W17" s="705">
        <f>J17</f>
        <v>100</v>
      </c>
      <c r="X17" s="1350"/>
      <c r="Y17" s="3813"/>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811"/>
      <c r="Q18" s="1347"/>
      <c r="R18" s="704"/>
      <c r="S18" s="705"/>
      <c r="T18" s="704"/>
      <c r="U18" s="705"/>
      <c r="V18" s="704"/>
      <c r="W18" s="705"/>
      <c r="X18" s="1350"/>
      <c r="Y18" s="3813"/>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811"/>
      <c r="Q19" s="1347" t="str">
        <f>B19</f>
        <v>公共配套设施</v>
      </c>
      <c r="R19" s="704" t="s">
        <v>18</v>
      </c>
      <c r="S19" s="705">
        <f>F19</f>
        <v>100</v>
      </c>
      <c r="T19" s="704" t="s">
        <v>18</v>
      </c>
      <c r="U19" s="705">
        <f>H19</f>
        <v>100</v>
      </c>
      <c r="V19" s="704" t="s">
        <v>18</v>
      </c>
      <c r="W19" s="705">
        <f>J19</f>
        <v>100</v>
      </c>
      <c r="X19" s="1350"/>
      <c r="Y19" s="3813"/>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811"/>
      <c r="Q20" s="1347"/>
      <c r="R20" s="704"/>
      <c r="S20" s="705"/>
      <c r="T20" s="704"/>
      <c r="U20" s="705"/>
      <c r="V20" s="704"/>
      <c r="W20" s="705"/>
      <c r="X20" s="1350"/>
      <c r="Y20" s="3813"/>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811"/>
      <c r="Q21" s="1347" t="str">
        <f>B21</f>
        <v>基础设施水平</v>
      </c>
      <c r="R21" s="704" t="s">
        <v>14</v>
      </c>
      <c r="S21" s="705">
        <f>F21</f>
        <v>100</v>
      </c>
      <c r="T21" s="704" t="s">
        <v>14</v>
      </c>
      <c r="U21" s="705">
        <f>H21</f>
        <v>100</v>
      </c>
      <c r="V21" s="704" t="s">
        <v>14</v>
      </c>
      <c r="W21" s="705">
        <f>J21</f>
        <v>100</v>
      </c>
      <c r="X21" s="1350"/>
      <c r="Y21" s="3813"/>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811"/>
      <c r="Q22" s="1347"/>
      <c r="R22" s="704"/>
      <c r="S22" s="705"/>
      <c r="T22" s="704"/>
      <c r="U22" s="705"/>
      <c r="V22" s="704"/>
      <c r="W22" s="705"/>
      <c r="X22" s="1350"/>
      <c r="Y22" s="3813"/>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811"/>
      <c r="Q23" s="1347" t="str">
        <f>B23</f>
        <v>自然及人文环境</v>
      </c>
      <c r="R23" s="704" t="s">
        <v>18</v>
      </c>
      <c r="S23" s="705">
        <f>F23</f>
        <v>100</v>
      </c>
      <c r="T23" s="704" t="s">
        <v>18</v>
      </c>
      <c r="U23" s="705">
        <f>H23</f>
        <v>100</v>
      </c>
      <c r="V23" s="704" t="s">
        <v>18</v>
      </c>
      <c r="W23" s="705">
        <f>J23</f>
        <v>100</v>
      </c>
      <c r="X23" s="1350"/>
      <c r="Y23" s="3813"/>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811"/>
      <c r="Q24" s="1347"/>
      <c r="R24" s="704"/>
      <c r="S24" s="705"/>
      <c r="T24" s="704"/>
      <c r="U24" s="705"/>
      <c r="V24" s="704"/>
      <c r="W24" s="705"/>
      <c r="X24" s="1350"/>
      <c r="Y24" s="3813"/>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811"/>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813"/>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811"/>
      <c r="Q26" s="1347" t="str">
        <f t="shared" si="11"/>
        <v>朝向</v>
      </c>
      <c r="R26" s="704" t="s">
        <v>18</v>
      </c>
      <c r="S26" s="705">
        <f t="shared" si="12"/>
        <v>100</v>
      </c>
      <c r="T26" s="704" t="s">
        <v>18</v>
      </c>
      <c r="U26" s="705">
        <f t="shared" si="13"/>
        <v>100</v>
      </c>
      <c r="V26" s="704" t="s">
        <v>18</v>
      </c>
      <c r="W26" s="705">
        <f t="shared" si="14"/>
        <v>100</v>
      </c>
      <c r="X26" s="1350"/>
      <c r="Y26" s="3813"/>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811"/>
      <c r="Q27" s="1338">
        <f t="shared" si="11"/>
        <v>111</v>
      </c>
      <c r="R27" s="700" t="s">
        <v>18</v>
      </c>
      <c r="S27" s="701">
        <f t="shared" si="12"/>
        <v>100</v>
      </c>
      <c r="T27" s="700" t="s">
        <v>18</v>
      </c>
      <c r="U27" s="701">
        <f t="shared" si="13"/>
        <v>100</v>
      </c>
      <c r="V27" s="700" t="s">
        <v>18</v>
      </c>
      <c r="W27" s="701">
        <f t="shared" si="14"/>
        <v>100</v>
      </c>
      <c r="X27" s="702"/>
      <c r="Y27" s="3813"/>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811"/>
      <c r="Q28" s="1347">
        <f t="shared" si="11"/>
        <v>111</v>
      </c>
      <c r="R28" s="704" t="s">
        <v>18</v>
      </c>
      <c r="S28" s="705">
        <f t="shared" si="12"/>
        <v>100</v>
      </c>
      <c r="T28" s="704" t="s">
        <v>18</v>
      </c>
      <c r="U28" s="705">
        <f t="shared" si="13"/>
        <v>100</v>
      </c>
      <c r="V28" s="704" t="s">
        <v>18</v>
      </c>
      <c r="W28" s="705">
        <f t="shared" si="14"/>
        <v>100</v>
      </c>
      <c r="X28" s="1350"/>
      <c r="Y28" s="3813"/>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811"/>
      <c r="Q29" s="1347">
        <f t="shared" si="11"/>
        <v>111</v>
      </c>
      <c r="R29" s="704" t="s">
        <v>18</v>
      </c>
      <c r="S29" s="705">
        <f t="shared" si="12"/>
        <v>100</v>
      </c>
      <c r="T29" s="704" t="s">
        <v>18</v>
      </c>
      <c r="U29" s="705">
        <f t="shared" si="13"/>
        <v>100</v>
      </c>
      <c r="V29" s="704" t="s">
        <v>18</v>
      </c>
      <c r="W29" s="705">
        <f t="shared" si="14"/>
        <v>100</v>
      </c>
      <c r="X29" s="1350"/>
      <c r="Y29" s="3813"/>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811"/>
      <c r="Q30" s="1347">
        <f t="shared" si="11"/>
        <v>111</v>
      </c>
      <c r="R30" s="704" t="s">
        <v>18</v>
      </c>
      <c r="S30" s="705">
        <f t="shared" si="12"/>
        <v>100</v>
      </c>
      <c r="T30" s="704" t="s">
        <v>18</v>
      </c>
      <c r="U30" s="705">
        <f t="shared" si="13"/>
        <v>100</v>
      </c>
      <c r="V30" s="704" t="s">
        <v>18</v>
      </c>
      <c r="W30" s="705">
        <f t="shared" si="14"/>
        <v>100</v>
      </c>
      <c r="X30" s="1350"/>
      <c r="Y30" s="3813"/>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811"/>
      <c r="Q31" s="1347">
        <f t="shared" si="11"/>
        <v>111</v>
      </c>
      <c r="R31" s="704" t="s">
        <v>18</v>
      </c>
      <c r="S31" s="705">
        <f t="shared" si="12"/>
        <v>100</v>
      </c>
      <c r="T31" s="704" t="s">
        <v>18</v>
      </c>
      <c r="U31" s="705">
        <f t="shared" si="13"/>
        <v>100</v>
      </c>
      <c r="V31" s="704" t="s">
        <v>18</v>
      </c>
      <c r="W31" s="705">
        <f t="shared" si="14"/>
        <v>100</v>
      </c>
      <c r="X31" s="1350"/>
      <c r="Y31" s="3813"/>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814" t="s">
        <v>1680</v>
      </c>
      <c r="Q32" s="1347" t="str">
        <f t="shared" si="11"/>
        <v>建筑类型</v>
      </c>
      <c r="R32" s="704" t="s">
        <v>18</v>
      </c>
      <c r="S32" s="705">
        <f t="shared" si="12"/>
        <v>100</v>
      </c>
      <c r="T32" s="704" t="s">
        <v>18</v>
      </c>
      <c r="U32" s="705">
        <f t="shared" si="13"/>
        <v>100</v>
      </c>
      <c r="V32" s="704" t="s">
        <v>18</v>
      </c>
      <c r="W32" s="705">
        <f t="shared" si="14"/>
        <v>100</v>
      </c>
      <c r="X32" s="1350"/>
      <c r="Y32" s="3817"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815"/>
      <c r="Q33" s="706" t="str">
        <f t="shared" si="11"/>
        <v>项目建筑规模</v>
      </c>
      <c r="R33" s="707" t="s">
        <v>18</v>
      </c>
      <c r="S33" s="708" t="e">
        <f t="shared" si="12"/>
        <v>#N/A</v>
      </c>
      <c r="T33" s="707" t="s">
        <v>18</v>
      </c>
      <c r="U33" s="708" t="e">
        <f t="shared" si="13"/>
        <v>#N/A</v>
      </c>
      <c r="V33" s="707" t="s">
        <v>18</v>
      </c>
      <c r="W33" s="708" t="e">
        <f t="shared" si="14"/>
        <v>#N/A</v>
      </c>
      <c r="X33" s="709"/>
      <c r="Y33" s="3817"/>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815"/>
      <c r="Q34" s="1347" t="str">
        <f t="shared" si="11"/>
        <v>建筑结构</v>
      </c>
      <c r="R34" s="704" t="s">
        <v>18</v>
      </c>
      <c r="S34" s="705">
        <f t="shared" si="12"/>
        <v>100</v>
      </c>
      <c r="T34" s="704" t="s">
        <v>18</v>
      </c>
      <c r="U34" s="705">
        <f t="shared" si="13"/>
        <v>100</v>
      </c>
      <c r="V34" s="704" t="s">
        <v>18</v>
      </c>
      <c r="W34" s="705">
        <f t="shared" si="14"/>
        <v>100</v>
      </c>
      <c r="X34" s="1350"/>
      <c r="Y34" s="3817"/>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815"/>
      <c r="Q35" s="1347" t="str">
        <f t="shared" si="11"/>
        <v>建筑品质</v>
      </c>
      <c r="R35" s="704" t="s">
        <v>18</v>
      </c>
      <c r="S35" s="705">
        <f t="shared" si="12"/>
        <v>100</v>
      </c>
      <c r="T35" s="704" t="s">
        <v>18</v>
      </c>
      <c r="U35" s="705">
        <f t="shared" si="13"/>
        <v>100</v>
      </c>
      <c r="V35" s="704" t="s">
        <v>18</v>
      </c>
      <c r="W35" s="705">
        <f t="shared" si="14"/>
        <v>100</v>
      </c>
      <c r="X35" s="1350"/>
      <c r="Y35" s="3817"/>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815"/>
      <c r="Q36" s="1347" t="str">
        <f t="shared" si="11"/>
        <v>公共部分装修</v>
      </c>
      <c r="R36" s="704" t="s">
        <v>18</v>
      </c>
      <c r="S36" s="705">
        <f t="shared" si="12"/>
        <v>100</v>
      </c>
      <c r="T36" s="704" t="s">
        <v>18</v>
      </c>
      <c r="U36" s="705">
        <f t="shared" si="13"/>
        <v>100</v>
      </c>
      <c r="V36" s="704" t="s">
        <v>18</v>
      </c>
      <c r="W36" s="705">
        <f t="shared" si="14"/>
        <v>100</v>
      </c>
      <c r="X36" s="1350"/>
      <c r="Y36" s="3817"/>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815"/>
      <c r="Q37" s="1338" t="str">
        <f t="shared" si="11"/>
        <v>成新度</v>
      </c>
      <c r="R37" s="700" t="s">
        <v>18</v>
      </c>
      <c r="S37" s="701" t="e">
        <f t="shared" si="12"/>
        <v>#N/A</v>
      </c>
      <c r="T37" s="700" t="s">
        <v>18</v>
      </c>
      <c r="U37" s="701" t="e">
        <f t="shared" si="13"/>
        <v>#N/A</v>
      </c>
      <c r="V37" s="700" t="s">
        <v>18</v>
      </c>
      <c r="W37" s="701" t="e">
        <f t="shared" si="14"/>
        <v>#N/A</v>
      </c>
      <c r="X37" s="702"/>
      <c r="Y37" s="3817"/>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815" t="s">
        <v>1680</v>
      </c>
      <c r="Q38" s="1347" t="str">
        <f t="shared" si="11"/>
        <v>物业管理</v>
      </c>
      <c r="R38" s="704" t="s">
        <v>18</v>
      </c>
      <c r="S38" s="705">
        <f t="shared" si="12"/>
        <v>100</v>
      </c>
      <c r="T38" s="704" t="s">
        <v>18</v>
      </c>
      <c r="U38" s="705">
        <f t="shared" si="13"/>
        <v>100</v>
      </c>
      <c r="V38" s="704" t="s">
        <v>18</v>
      </c>
      <c r="W38" s="705">
        <f t="shared" si="14"/>
        <v>100</v>
      </c>
      <c r="X38" s="1350"/>
      <c r="Y38" s="3817"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815"/>
      <c r="Q39" s="1347" t="str">
        <f t="shared" si="11"/>
        <v>市政基础设施</v>
      </c>
      <c r="R39" s="704" t="s">
        <v>18</v>
      </c>
      <c r="S39" s="705">
        <f t="shared" si="12"/>
        <v>100</v>
      </c>
      <c r="T39" s="704" t="s">
        <v>18</v>
      </c>
      <c r="U39" s="705">
        <f t="shared" si="13"/>
        <v>100</v>
      </c>
      <c r="V39" s="704" t="s">
        <v>18</v>
      </c>
      <c r="W39" s="705">
        <f t="shared" si="14"/>
        <v>100</v>
      </c>
      <c r="X39" s="1350"/>
      <c r="Y39" s="3817"/>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815"/>
      <c r="Q40" s="1347" t="str">
        <f t="shared" si="11"/>
        <v>房型</v>
      </c>
      <c r="R40" s="704" t="s">
        <v>18</v>
      </c>
      <c r="S40" s="705">
        <f t="shared" si="12"/>
        <v>100</v>
      </c>
      <c r="T40" s="704" t="s">
        <v>18</v>
      </c>
      <c r="U40" s="705">
        <f t="shared" si="13"/>
        <v>100</v>
      </c>
      <c r="V40" s="704" t="s">
        <v>18</v>
      </c>
      <c r="W40" s="705">
        <f t="shared" si="14"/>
        <v>100</v>
      </c>
      <c r="X40" s="1350"/>
      <c r="Y40" s="3817"/>
      <c r="Z40" s="1351" t="str">
        <f t="shared" si="18"/>
        <v>房型</v>
      </c>
      <c r="AA40" s="1348">
        <f t="shared" si="15"/>
        <v>1</v>
      </c>
      <c r="AB40" s="1348">
        <f t="shared" si="16"/>
        <v>1</v>
      </c>
      <c r="AC40" s="1348">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815"/>
      <c r="Q41" s="706" t="str">
        <f t="shared" si="11"/>
        <v>单套/主力户型建筑面积</v>
      </c>
      <c r="R41" s="707" t="s">
        <v>18</v>
      </c>
      <c r="S41" s="708">
        <f t="shared" si="12"/>
        <v>100</v>
      </c>
      <c r="T41" s="707" t="s">
        <v>18</v>
      </c>
      <c r="U41" s="708">
        <f t="shared" si="13"/>
        <v>100</v>
      </c>
      <c r="V41" s="707" t="s">
        <v>18</v>
      </c>
      <c r="W41" s="708">
        <f t="shared" si="14"/>
        <v>100</v>
      </c>
      <c r="X41" s="709"/>
      <c r="Y41" s="3817"/>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815"/>
      <c r="Q42" s="1347" t="str">
        <f t="shared" si="11"/>
        <v>内部装修</v>
      </c>
      <c r="R42" s="704" t="s">
        <v>18</v>
      </c>
      <c r="S42" s="705">
        <f t="shared" si="12"/>
        <v>100</v>
      </c>
      <c r="T42" s="704" t="s">
        <v>18</v>
      </c>
      <c r="U42" s="705">
        <f t="shared" si="13"/>
        <v>100</v>
      </c>
      <c r="V42" s="704" t="s">
        <v>18</v>
      </c>
      <c r="W42" s="705">
        <f t="shared" si="14"/>
        <v>100</v>
      </c>
      <c r="X42" s="1350"/>
      <c r="Y42" s="3817"/>
      <c r="Z42" s="1351" t="str">
        <f t="shared" si="18"/>
        <v>内部装修</v>
      </c>
      <c r="AA42" s="1348">
        <f t="shared" si="15"/>
        <v>1</v>
      </c>
      <c r="AB42" s="1348">
        <f t="shared" si="16"/>
        <v>1</v>
      </c>
      <c r="AC42" s="1348">
        <f t="shared" si="17"/>
        <v>1</v>
      </c>
    </row>
    <row r="43" spans="1:29" ht="15">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815"/>
      <c r="Q43" s="1347" t="str">
        <f t="shared" si="11"/>
        <v>内部装修维护情况</v>
      </c>
      <c r="R43" s="704" t="s">
        <v>18</v>
      </c>
      <c r="S43" s="705">
        <f t="shared" si="12"/>
        <v>100</v>
      </c>
      <c r="T43" s="704" t="s">
        <v>18</v>
      </c>
      <c r="U43" s="705">
        <f t="shared" si="13"/>
        <v>100</v>
      </c>
      <c r="V43" s="704" t="s">
        <v>18</v>
      </c>
      <c r="W43" s="705">
        <f t="shared" si="14"/>
        <v>100</v>
      </c>
      <c r="X43" s="1350"/>
      <c r="Y43" s="3817"/>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815"/>
      <c r="Q44" s="1338">
        <f t="shared" si="11"/>
        <v>111</v>
      </c>
      <c r="R44" s="700" t="s">
        <v>18</v>
      </c>
      <c r="S44" s="701">
        <f t="shared" si="12"/>
        <v>100</v>
      </c>
      <c r="T44" s="700" t="s">
        <v>18</v>
      </c>
      <c r="U44" s="701">
        <f t="shared" si="13"/>
        <v>100</v>
      </c>
      <c r="V44" s="700" t="s">
        <v>18</v>
      </c>
      <c r="W44" s="701">
        <f t="shared" si="14"/>
        <v>100</v>
      </c>
      <c r="X44" s="702"/>
      <c r="Y44" s="3817"/>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815"/>
      <c r="Q45" s="1347">
        <f t="shared" si="11"/>
        <v>111</v>
      </c>
      <c r="R45" s="704" t="s">
        <v>18</v>
      </c>
      <c r="S45" s="705">
        <f t="shared" si="12"/>
        <v>100</v>
      </c>
      <c r="T45" s="704" t="s">
        <v>18</v>
      </c>
      <c r="U45" s="705">
        <f t="shared" si="13"/>
        <v>100</v>
      </c>
      <c r="V45" s="704" t="s">
        <v>18</v>
      </c>
      <c r="W45" s="705">
        <f t="shared" si="14"/>
        <v>100</v>
      </c>
      <c r="X45" s="1350"/>
      <c r="Y45" s="3817"/>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816"/>
      <c r="Q46" s="1347">
        <f t="shared" si="11"/>
        <v>111</v>
      </c>
      <c r="R46" s="704" t="s">
        <v>17</v>
      </c>
      <c r="S46" s="705">
        <f t="shared" si="12"/>
        <v>100</v>
      </c>
      <c r="T46" s="704" t="s">
        <v>17</v>
      </c>
      <c r="U46" s="705">
        <f t="shared" si="13"/>
        <v>100</v>
      </c>
      <c r="V46" s="704" t="s">
        <v>17</v>
      </c>
      <c r="W46" s="705">
        <f t="shared" si="14"/>
        <v>100</v>
      </c>
      <c r="X46" s="1350"/>
      <c r="Y46" s="3818"/>
      <c r="Z46" s="1351">
        <f t="shared" si="18"/>
        <v>111</v>
      </c>
      <c r="AA46" s="1348">
        <f t="shared" si="15"/>
        <v>1</v>
      </c>
      <c r="AB46" s="1348">
        <f t="shared" si="16"/>
        <v>1</v>
      </c>
      <c r="AC46" s="1348">
        <f t="shared" si="17"/>
        <v>1</v>
      </c>
    </row>
    <row r="47" spans="1:29" ht="15">
      <c r="A47" s="430" t="s">
        <v>1692</v>
      </c>
      <c r="B47" s="431"/>
      <c r="C47" s="1150" t="s">
        <v>16</v>
      </c>
      <c r="D47" s="1151"/>
      <c r="E47" s="1152"/>
      <c r="F47" s="1153"/>
      <c r="G47" s="1154"/>
      <c r="H47" s="1155"/>
      <c r="I47" s="1152"/>
      <c r="J47" s="1155"/>
      <c r="K47" s="1909"/>
      <c r="L47" s="2695"/>
      <c r="M47" s="2696"/>
      <c r="N47" s="2687"/>
      <c r="O47" s="2696"/>
      <c r="P47" s="3819" t="str">
        <f>A47</f>
        <v>成交单价（元/平方米）</v>
      </c>
      <c r="Q47" s="3819"/>
      <c r="R47" s="3820">
        <f>E47</f>
        <v>0</v>
      </c>
      <c r="S47" s="3820"/>
      <c r="T47" s="3820">
        <f>G47</f>
        <v>0</v>
      </c>
      <c r="U47" s="3820"/>
      <c r="V47" s="3820">
        <f>I47</f>
        <v>0</v>
      </c>
      <c r="W47" s="3820"/>
      <c r="X47" s="689"/>
      <c r="Y47" s="711"/>
      <c r="Z47" s="689"/>
      <c r="AA47" s="689"/>
      <c r="AB47" s="689"/>
      <c r="AC47" s="689"/>
    </row>
    <row r="48" spans="1:29" ht="15.7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819" t="str">
        <f>A48</f>
        <v>比较价值（元/平方米）</v>
      </c>
      <c r="Q48" s="3819"/>
      <c r="R48" s="3820" t="e">
        <f>IF(F1="售价",ROUND(PRODUCT(R47,AA7:AA46),0),ROUND(PRODUCT(R47,AA7:AA46),1))</f>
        <v>#DIV/0!</v>
      </c>
      <c r="S48" s="3820"/>
      <c r="T48" s="3820" t="e">
        <f>IF(F1="售价",ROUND(PRODUCT(T47,AB7:AB46),0),ROUND(PRODUCT(T47,AB7:AB46),1))</f>
        <v>#DIV/0!</v>
      </c>
      <c r="U48" s="3820"/>
      <c r="V48" s="3820" t="e">
        <f>IF(F1="售价",ROUND(PRODUCT(V47,AC7:AC46),0),ROUND(PRODUCT(V47,AC7:AC46),1))</f>
        <v>#DIV/0!</v>
      </c>
      <c r="W48" s="3820"/>
      <c r="X48" s="689"/>
      <c r="Y48" s="689"/>
      <c r="Z48" s="689"/>
      <c r="AA48" s="689"/>
      <c r="AB48" s="689"/>
      <c r="AC48" s="689"/>
    </row>
    <row r="49" spans="1:29" ht="15.75" thickBot="1">
      <c r="A49" s="441" t="s">
        <v>1694</v>
      </c>
      <c r="B49" s="442"/>
      <c r="C49" s="1158" t="e">
        <f>R49</f>
        <v>#DIV/0!</v>
      </c>
      <c r="D49" s="1159"/>
      <c r="E49" s="1159"/>
      <c r="F49" s="1159"/>
      <c r="G49" s="1159"/>
      <c r="H49" s="1159"/>
      <c r="I49" s="1159"/>
      <c r="J49" s="1159"/>
      <c r="K49" s="1910"/>
      <c r="L49" s="2695"/>
      <c r="M49" s="2696"/>
      <c r="N49" s="2696"/>
      <c r="O49" s="2696"/>
      <c r="P49" s="3831" t="str">
        <f>A49</f>
        <v>估价对象XX用房的比较价值（楼面单价，元/平方米）</v>
      </c>
      <c r="Q49" s="3832"/>
      <c r="R49" s="3833" t="e">
        <f>IF(F1="售价",ROUND(IF(D48="简单平均",AVERAGE(R48:V48),R48*F48+T48*H48+V48*J48),0),ROUND(IF(D48="简单平均",AVERAGE(R48:V48),R48*F48+T48*H48+V48*J48),1))</f>
        <v>#DIV/0!</v>
      </c>
      <c r="S49" s="3833"/>
      <c r="T49" s="3833"/>
      <c r="U49" s="3833"/>
      <c r="V49" s="3833"/>
      <c r="W49" s="3833"/>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1.75" thickBot="1">
      <c r="A57" s="693" t="s">
        <v>1698</v>
      </c>
      <c r="B57" s="689"/>
      <c r="C57" s="694"/>
      <c r="D57" s="694"/>
      <c r="E57" s="694"/>
      <c r="F57" s="695"/>
      <c r="G57" s="695"/>
      <c r="H57" s="694"/>
      <c r="I57" s="694"/>
      <c r="J57" s="694"/>
      <c r="K57" s="937"/>
      <c r="L57" s="938"/>
      <c r="M57" s="936"/>
      <c r="N57" s="936"/>
      <c r="O57" s="936"/>
      <c r="P57" s="1913"/>
      <c r="Q57" s="453"/>
    </row>
    <row r="58" spans="1:29" s="457" customFormat="1" ht="15">
      <c r="A58" s="454" t="s">
        <v>1699</v>
      </c>
      <c r="B58" s="455"/>
      <c r="C58" s="1181" t="str">
        <f>YEAR(C7)&amp;"-"&amp;MONTH(C7)</f>
        <v>2024-1</v>
      </c>
      <c r="D58" s="1180">
        <f>EDATE(C58,-1)</f>
        <v>45261</v>
      </c>
      <c r="E58" s="1180">
        <f>EDATE(D58,-1)</f>
        <v>45231</v>
      </c>
      <c r="F58" s="1180">
        <f t="shared" ref="F58:O58" si="19">EDATE(E58,-1)</f>
        <v>45200</v>
      </c>
      <c r="G58" s="1180">
        <f t="shared" si="19"/>
        <v>45170</v>
      </c>
      <c r="H58" s="1180">
        <f t="shared" si="19"/>
        <v>45139</v>
      </c>
      <c r="I58" s="1180">
        <f t="shared" si="19"/>
        <v>45108</v>
      </c>
      <c r="J58" s="1180">
        <f t="shared" si="19"/>
        <v>45078</v>
      </c>
      <c r="K58" s="1180">
        <f t="shared" si="19"/>
        <v>45047</v>
      </c>
      <c r="L58" s="1180">
        <f t="shared" si="19"/>
        <v>45017</v>
      </c>
      <c r="M58" s="1180">
        <f t="shared" si="19"/>
        <v>44986</v>
      </c>
      <c r="N58" s="1180">
        <f t="shared" si="19"/>
        <v>44958</v>
      </c>
      <c r="O58" s="1180">
        <f t="shared" si="19"/>
        <v>44927</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1700</v>
      </c>
      <c r="B60" s="465"/>
      <c r="C60" s="466"/>
      <c r="D60" s="467"/>
      <c r="E60" s="467"/>
      <c r="F60" s="467"/>
      <c r="G60" s="467"/>
      <c r="H60" s="467"/>
      <c r="I60" s="467"/>
      <c r="J60" s="467"/>
      <c r="K60" s="467"/>
      <c r="L60" s="467"/>
      <c r="M60" s="468"/>
      <c r="N60" s="467"/>
      <c r="O60" s="468"/>
      <c r="P60" s="1915"/>
      <c r="Q60" s="453"/>
    </row>
    <row r="61" spans="1:29" s="108" customFormat="1" ht="15">
      <c r="A61" s="470" t="s">
        <v>1701</v>
      </c>
      <c r="B61" s="459"/>
      <c r="C61" s="471" t="s">
        <v>1702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1703</v>
      </c>
      <c r="B63" s="477" t="s">
        <v>1669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1672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1678</v>
      </c>
      <c r="B100" s="477" t="s">
        <v>1720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5.75"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c r="B147" s="1924" t="s">
        <v>1748</v>
      </c>
    </row>
    <row r="148" spans="2:11">
      <c r="B148" s="1924"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5">
      <c r="A4" s="355" t="s">
        <v>1753</v>
      </c>
      <c r="B4" s="356"/>
      <c r="C4" s="3793" t="s">
        <v>1754</v>
      </c>
      <c r="D4" s="3794"/>
      <c r="E4" s="3795" t="s">
        <v>1755</v>
      </c>
      <c r="F4" s="3796"/>
      <c r="G4" s="3793" t="s">
        <v>1756</v>
      </c>
      <c r="H4" s="3794"/>
      <c r="I4" s="3793" t="s">
        <v>1757</v>
      </c>
      <c r="J4" s="3794"/>
      <c r="K4" s="559" t="s">
        <v>1758</v>
      </c>
      <c r="L4" s="2686"/>
      <c r="M4" s="2687"/>
      <c r="N4" s="2687"/>
      <c r="O4" s="2687"/>
      <c r="P4" s="3827" t="s">
        <v>1759</v>
      </c>
      <c r="Q4" s="3828"/>
      <c r="R4" s="3825" t="s">
        <v>1755</v>
      </c>
      <c r="S4" s="3826"/>
      <c r="T4" s="3825" t="s">
        <v>1756</v>
      </c>
      <c r="U4" s="3826"/>
      <c r="V4" s="3806" t="s">
        <v>1757</v>
      </c>
      <c r="W4" s="3806"/>
      <c r="X4" s="1350"/>
      <c r="Y4" s="3825" t="s">
        <v>1759</v>
      </c>
      <c r="Z4" s="3826"/>
      <c r="AA4" s="3824" t="s">
        <v>1755</v>
      </c>
      <c r="AB4" s="3806" t="s">
        <v>1756</v>
      </c>
      <c r="AC4" s="3824" t="s">
        <v>1757</v>
      </c>
    </row>
    <row r="5" spans="1:29" ht="15">
      <c r="A5" s="358"/>
      <c r="B5" s="359"/>
      <c r="C5" s="3783" t="s">
        <v>1657</v>
      </c>
      <c r="D5" s="3784"/>
      <c r="E5" s="3781" t="s">
        <v>1658</v>
      </c>
      <c r="F5" s="3782"/>
      <c r="G5" s="3783" t="s">
        <v>1659</v>
      </c>
      <c r="H5" s="3784"/>
      <c r="I5" s="3783" t="s">
        <v>1660</v>
      </c>
      <c r="J5" s="3784"/>
      <c r="K5" s="559"/>
      <c r="L5" s="2686"/>
      <c r="M5" s="2687"/>
      <c r="N5" s="2687"/>
      <c r="O5" s="2687"/>
      <c r="P5" s="3829"/>
      <c r="Q5" s="3800"/>
      <c r="R5" s="3779"/>
      <c r="S5" s="3780"/>
      <c r="T5" s="3779"/>
      <c r="U5" s="3780"/>
      <c r="V5" s="3806"/>
      <c r="W5" s="3806"/>
      <c r="X5" s="1350"/>
      <c r="Y5" s="3779"/>
      <c r="Z5" s="3780"/>
      <c r="AA5" s="3773"/>
      <c r="AB5" s="3806"/>
      <c r="AC5" s="3773"/>
    </row>
    <row r="6" spans="1:29" ht="15.75" thickBot="1">
      <c r="A6" s="360"/>
      <c r="B6" s="361"/>
      <c r="C6" s="3785" t="s">
        <v>1661</v>
      </c>
      <c r="D6" s="3786"/>
      <c r="E6" s="3787" t="s">
        <v>1661</v>
      </c>
      <c r="F6" s="3788"/>
      <c r="G6" s="3785" t="s">
        <v>1661</v>
      </c>
      <c r="H6" s="3786"/>
      <c r="I6" s="3785" t="s">
        <v>1661</v>
      </c>
      <c r="J6" s="3786"/>
      <c r="K6" s="559" t="s">
        <v>1662</v>
      </c>
      <c r="L6" s="2686"/>
      <c r="M6" s="2687"/>
      <c r="N6" s="2687"/>
      <c r="O6" s="2687"/>
      <c r="P6" s="3830"/>
      <c r="Q6" s="3802"/>
      <c r="R6" s="3779"/>
      <c r="S6" s="3780"/>
      <c r="T6" s="3803"/>
      <c r="U6" s="3804"/>
      <c r="V6" s="3806"/>
      <c r="W6" s="3806"/>
      <c r="X6" s="1350"/>
      <c r="Y6" s="3803"/>
      <c r="Z6" s="3804"/>
      <c r="AA6" s="3774"/>
      <c r="AB6" s="3806"/>
      <c r="AC6" s="3774"/>
    </row>
    <row r="7" spans="1:29" s="108" customFormat="1" ht="15.75" thickBot="1">
      <c r="A7" s="362" t="s">
        <v>1663</v>
      </c>
      <c r="B7" s="363"/>
      <c r="C7" s="364">
        <f>'数据-取费表'!B2</f>
        <v>45309</v>
      </c>
      <c r="D7" s="365">
        <v>100</v>
      </c>
      <c r="E7" s="366"/>
      <c r="F7" s="367">
        <f>SUMIF(58:58,YEAR(E7)&amp;"-"&amp;MONTH(E7),59:59)</f>
        <v>0</v>
      </c>
      <c r="G7" s="366"/>
      <c r="H7" s="365">
        <f>SUMIF(58:58,YEAR(G7)&amp;"-"&amp;MONTH(G7),59:59)</f>
        <v>0</v>
      </c>
      <c r="I7" s="366"/>
      <c r="J7" s="365">
        <f>SUMIF(58:58,YEAR(I7)&amp;"-"&amp;MONTH(I7),59:59)</f>
        <v>0</v>
      </c>
      <c r="K7" s="560"/>
      <c r="L7" s="2688"/>
      <c r="M7" s="2689"/>
      <c r="N7" s="2689"/>
      <c r="O7" s="2689"/>
      <c r="P7" s="3775" t="s">
        <v>1664</v>
      </c>
      <c r="Q7" s="3809"/>
      <c r="R7" s="700" t="s">
        <v>14</v>
      </c>
      <c r="S7" s="701">
        <f t="shared" ref="S7:S15" si="0">F7</f>
        <v>0</v>
      </c>
      <c r="T7" s="700" t="s">
        <v>14</v>
      </c>
      <c r="U7" s="701">
        <f t="shared" ref="U7:U15" si="1">H7</f>
        <v>0</v>
      </c>
      <c r="V7" s="700" t="s">
        <v>14</v>
      </c>
      <c r="W7" s="701">
        <f t="shared" ref="W7:W15" si="2">J7</f>
        <v>0</v>
      </c>
      <c r="X7" s="702"/>
      <c r="Y7" s="3775" t="s">
        <v>1664</v>
      </c>
      <c r="Z7" s="3776"/>
      <c r="AA7" s="703" t="e">
        <f>D7/F7</f>
        <v>#DIV/0!</v>
      </c>
      <c r="AB7" s="703" t="e">
        <f>D7/H7</f>
        <v>#DIV/0!</v>
      </c>
      <c r="AC7" s="703"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775" t="s">
        <v>1667</v>
      </c>
      <c r="Q8" s="3776"/>
      <c r="R8" s="700" t="s">
        <v>14</v>
      </c>
      <c r="S8" s="701">
        <f t="shared" si="0"/>
        <v>100</v>
      </c>
      <c r="T8" s="700" t="s">
        <v>14</v>
      </c>
      <c r="U8" s="701">
        <f t="shared" si="1"/>
        <v>100</v>
      </c>
      <c r="V8" s="700" t="s">
        <v>14</v>
      </c>
      <c r="W8" s="701">
        <f t="shared" si="2"/>
        <v>100</v>
      </c>
      <c r="X8" s="702"/>
      <c r="Y8" s="3775" t="s">
        <v>1667</v>
      </c>
      <c r="Z8" s="3776"/>
      <c r="AA8" s="703">
        <f t="shared" ref="AA8:AA46" si="3">D8/F8</f>
        <v>1</v>
      </c>
      <c r="AB8" s="703">
        <f t="shared" ref="AB8:AB46" si="4">D8/H8</f>
        <v>1</v>
      </c>
      <c r="AC8" s="703">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789" t="s">
        <v>1670</v>
      </c>
      <c r="Q9" s="1338" t="str">
        <f t="shared" ref="Q9:Q15" si="6">B9</f>
        <v>用途</v>
      </c>
      <c r="R9" s="700" t="s">
        <v>14</v>
      </c>
      <c r="S9" s="701">
        <f t="shared" si="0"/>
        <v>100</v>
      </c>
      <c r="T9" s="700" t="s">
        <v>14</v>
      </c>
      <c r="U9" s="701">
        <f t="shared" si="1"/>
        <v>100</v>
      </c>
      <c r="V9" s="700" t="s">
        <v>14</v>
      </c>
      <c r="W9" s="701">
        <f t="shared" si="2"/>
        <v>100</v>
      </c>
      <c r="X9" s="702"/>
      <c r="Y9" s="3721"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560"/>
      <c r="L10" s="2690"/>
      <c r="M10" s="2691"/>
      <c r="N10" s="2691"/>
      <c r="O10" s="2691"/>
      <c r="P10" s="3789"/>
      <c r="Q10" s="1338" t="str">
        <f t="shared" si="6"/>
        <v>土地使用年限（年）</v>
      </c>
      <c r="R10" s="700" t="s">
        <v>14</v>
      </c>
      <c r="S10" s="701">
        <f t="shared" si="0"/>
        <v>100</v>
      </c>
      <c r="T10" s="700" t="s">
        <v>14</v>
      </c>
      <c r="U10" s="701">
        <f t="shared" si="1"/>
        <v>100</v>
      </c>
      <c r="V10" s="700" t="s">
        <v>14</v>
      </c>
      <c r="W10" s="701">
        <f t="shared" si="2"/>
        <v>100</v>
      </c>
      <c r="X10" s="702"/>
      <c r="Y10" s="3721"/>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789"/>
      <c r="Q11" s="1338" t="str">
        <f t="shared" si="6"/>
        <v>容积率</v>
      </c>
      <c r="R11" s="700" t="s">
        <v>14</v>
      </c>
      <c r="S11" s="701" t="e">
        <f t="shared" si="0"/>
        <v>#N/A</v>
      </c>
      <c r="T11" s="700" t="s">
        <v>14</v>
      </c>
      <c r="U11" s="701" t="e">
        <f t="shared" si="1"/>
        <v>#N/A</v>
      </c>
      <c r="V11" s="700" t="s">
        <v>14</v>
      </c>
      <c r="W11" s="701" t="e">
        <f t="shared" si="2"/>
        <v>#N/A</v>
      </c>
      <c r="X11" s="702"/>
      <c r="Y11" s="3721"/>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789"/>
      <c r="Q12" s="1338">
        <f t="shared" si="6"/>
        <v>111</v>
      </c>
      <c r="R12" s="700" t="s">
        <v>14</v>
      </c>
      <c r="S12" s="701">
        <f t="shared" si="0"/>
        <v>100</v>
      </c>
      <c r="T12" s="700" t="s">
        <v>14</v>
      </c>
      <c r="U12" s="701">
        <f t="shared" si="1"/>
        <v>100</v>
      </c>
      <c r="V12" s="700" t="s">
        <v>14</v>
      </c>
      <c r="W12" s="701">
        <f t="shared" si="2"/>
        <v>100</v>
      </c>
      <c r="X12" s="702"/>
      <c r="Y12" s="3721"/>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789"/>
      <c r="Q13" s="1338">
        <f t="shared" si="6"/>
        <v>111</v>
      </c>
      <c r="R13" s="700" t="s">
        <v>14</v>
      </c>
      <c r="S13" s="701">
        <f t="shared" si="0"/>
        <v>100</v>
      </c>
      <c r="T13" s="700" t="s">
        <v>14</v>
      </c>
      <c r="U13" s="701">
        <f t="shared" si="1"/>
        <v>100</v>
      </c>
      <c r="V13" s="700" t="s">
        <v>14</v>
      </c>
      <c r="W13" s="701">
        <f t="shared" si="2"/>
        <v>100</v>
      </c>
      <c r="X13" s="702"/>
      <c r="Y13" s="3721"/>
      <c r="Z13" s="52">
        <f t="shared" si="7"/>
        <v>111</v>
      </c>
      <c r="AA13" s="703">
        <f t="shared" si="3"/>
        <v>1</v>
      </c>
      <c r="AB13" s="703">
        <f t="shared" si="4"/>
        <v>1</v>
      </c>
      <c r="AC13" s="703">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789"/>
      <c r="Q14" s="1338">
        <f t="shared" si="6"/>
        <v>111</v>
      </c>
      <c r="R14" s="700" t="s">
        <v>14</v>
      </c>
      <c r="S14" s="701">
        <f t="shared" si="0"/>
        <v>100</v>
      </c>
      <c r="T14" s="700" t="s">
        <v>14</v>
      </c>
      <c r="U14" s="701">
        <f t="shared" si="1"/>
        <v>100</v>
      </c>
      <c r="V14" s="700" t="s">
        <v>14</v>
      </c>
      <c r="W14" s="701">
        <f t="shared" si="2"/>
        <v>100</v>
      </c>
      <c r="X14" s="702"/>
      <c r="Y14" s="3721"/>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810" t="s">
        <v>1675</v>
      </c>
      <c r="Q15" s="1347" t="str">
        <f t="shared" si="6"/>
        <v>商业繁华度</v>
      </c>
      <c r="R15" s="704" t="s">
        <v>14</v>
      </c>
      <c r="S15" s="705">
        <f t="shared" si="0"/>
        <v>100</v>
      </c>
      <c r="T15" s="704" t="s">
        <v>14</v>
      </c>
      <c r="U15" s="705">
        <f t="shared" si="1"/>
        <v>100</v>
      </c>
      <c r="V15" s="704" t="s">
        <v>14</v>
      </c>
      <c r="W15" s="705">
        <f t="shared" si="2"/>
        <v>100</v>
      </c>
      <c r="X15" s="1350"/>
      <c r="Y15" s="3812"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811"/>
      <c r="Q16" s="1347"/>
      <c r="R16" s="704"/>
      <c r="S16" s="705"/>
      <c r="T16" s="704"/>
      <c r="U16" s="705"/>
      <c r="V16" s="704"/>
      <c r="W16" s="705"/>
      <c r="X16" s="1350"/>
      <c r="Y16" s="3813"/>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811"/>
      <c r="Q17" s="1347" t="str">
        <f>B17</f>
        <v>交通便捷度</v>
      </c>
      <c r="R17" s="704" t="s">
        <v>14</v>
      </c>
      <c r="S17" s="705">
        <f>F17</f>
        <v>100</v>
      </c>
      <c r="T17" s="704" t="s">
        <v>14</v>
      </c>
      <c r="U17" s="705">
        <f>H17</f>
        <v>100</v>
      </c>
      <c r="V17" s="704" t="s">
        <v>14</v>
      </c>
      <c r="W17" s="705">
        <f>J17</f>
        <v>100</v>
      </c>
      <c r="X17" s="1350"/>
      <c r="Y17" s="3813"/>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811"/>
      <c r="Q18" s="1347"/>
      <c r="R18" s="704"/>
      <c r="S18" s="705"/>
      <c r="T18" s="704"/>
      <c r="U18" s="705"/>
      <c r="V18" s="704"/>
      <c r="W18" s="705"/>
      <c r="X18" s="1350"/>
      <c r="Y18" s="3813"/>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811"/>
      <c r="Q19" s="1347" t="str">
        <f>B19</f>
        <v>公共配套设施</v>
      </c>
      <c r="R19" s="704" t="s">
        <v>14</v>
      </c>
      <c r="S19" s="705">
        <f>F19</f>
        <v>100</v>
      </c>
      <c r="T19" s="704" t="s">
        <v>14</v>
      </c>
      <c r="U19" s="705">
        <f>H19</f>
        <v>100</v>
      </c>
      <c r="V19" s="704" t="s">
        <v>14</v>
      </c>
      <c r="W19" s="705">
        <f>J19</f>
        <v>100</v>
      </c>
      <c r="X19" s="1350"/>
      <c r="Y19" s="3813"/>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811"/>
      <c r="Q20" s="1347"/>
      <c r="R20" s="704"/>
      <c r="S20" s="705"/>
      <c r="T20" s="704"/>
      <c r="U20" s="705"/>
      <c r="V20" s="704"/>
      <c r="W20" s="705"/>
      <c r="X20" s="1350"/>
      <c r="Y20" s="3813"/>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811"/>
      <c r="Q21" s="1347" t="str">
        <f>B21</f>
        <v>基础设施水平</v>
      </c>
      <c r="R21" s="704" t="s">
        <v>14</v>
      </c>
      <c r="S21" s="705">
        <f>F21</f>
        <v>100</v>
      </c>
      <c r="T21" s="704" t="s">
        <v>14</v>
      </c>
      <c r="U21" s="705">
        <f>H21</f>
        <v>100</v>
      </c>
      <c r="V21" s="704" t="s">
        <v>14</v>
      </c>
      <c r="W21" s="705">
        <f>J21</f>
        <v>100</v>
      </c>
      <c r="X21" s="1350"/>
      <c r="Y21" s="3813"/>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811"/>
      <c r="Q22" s="1347"/>
      <c r="R22" s="704"/>
      <c r="S22" s="705"/>
      <c r="T22" s="704"/>
      <c r="U22" s="705"/>
      <c r="V22" s="704"/>
      <c r="W22" s="705"/>
      <c r="X22" s="1350"/>
      <c r="Y22" s="3813"/>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811"/>
      <c r="Q23" s="1347" t="str">
        <f>B23</f>
        <v>自然及人文环境</v>
      </c>
      <c r="R23" s="704" t="s">
        <v>14</v>
      </c>
      <c r="S23" s="705">
        <f>F23</f>
        <v>100</v>
      </c>
      <c r="T23" s="704" t="s">
        <v>14</v>
      </c>
      <c r="U23" s="705">
        <f>H23</f>
        <v>100</v>
      </c>
      <c r="V23" s="704" t="s">
        <v>14</v>
      </c>
      <c r="W23" s="705">
        <f>J23</f>
        <v>100</v>
      </c>
      <c r="X23" s="1350"/>
      <c r="Y23" s="3813"/>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811"/>
      <c r="Q24" s="1347"/>
      <c r="R24" s="704"/>
      <c r="S24" s="705"/>
      <c r="T24" s="704"/>
      <c r="U24" s="705"/>
      <c r="V24" s="704"/>
      <c r="W24" s="705"/>
      <c r="X24" s="1350"/>
      <c r="Y24" s="3813"/>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811"/>
      <c r="Q25" s="1347" t="str">
        <f t="shared" ref="Q25:Q46" si="11">B25</f>
        <v>临街状况</v>
      </c>
      <c r="R25" s="704" t="s">
        <v>14</v>
      </c>
      <c r="S25" s="705">
        <f>F25</f>
        <v>100</v>
      </c>
      <c r="T25" s="704" t="s">
        <v>14</v>
      </c>
      <c r="U25" s="705">
        <f>H25</f>
        <v>100</v>
      </c>
      <c r="V25" s="704" t="s">
        <v>14</v>
      </c>
      <c r="W25" s="705">
        <f>J25</f>
        <v>100</v>
      </c>
      <c r="X25" s="1350"/>
      <c r="Y25" s="3813"/>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811"/>
      <c r="Q26" s="1347" t="str">
        <f t="shared" si="11"/>
        <v>平面位置/可视性</v>
      </c>
      <c r="R26" s="704" t="s">
        <v>14</v>
      </c>
      <c r="S26" s="705">
        <f>F26</f>
        <v>100</v>
      </c>
      <c r="T26" s="704" t="s">
        <v>14</v>
      </c>
      <c r="U26" s="705">
        <f>H26</f>
        <v>100</v>
      </c>
      <c r="V26" s="704" t="s">
        <v>14</v>
      </c>
      <c r="W26" s="705">
        <f>J26</f>
        <v>100</v>
      </c>
      <c r="X26" s="1350"/>
      <c r="Y26" s="3813"/>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811"/>
      <c r="Q27" s="1338" t="str">
        <f t="shared" si="11"/>
        <v>人流量</v>
      </c>
      <c r="R27" s="700" t="s">
        <v>14</v>
      </c>
      <c r="S27" s="701">
        <f>F27</f>
        <v>100</v>
      </c>
      <c r="T27" s="700" t="s">
        <v>14</v>
      </c>
      <c r="U27" s="701">
        <f>H27</f>
        <v>100</v>
      </c>
      <c r="V27" s="700" t="s">
        <v>14</v>
      </c>
      <c r="W27" s="701">
        <f>J27</f>
        <v>100</v>
      </c>
      <c r="X27" s="702"/>
      <c r="Y27" s="3813"/>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811"/>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813"/>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811"/>
      <c r="Q29" s="1347">
        <f t="shared" si="11"/>
        <v>111</v>
      </c>
      <c r="R29" s="704" t="s">
        <v>14</v>
      </c>
      <c r="S29" s="705">
        <f t="shared" si="12"/>
        <v>100</v>
      </c>
      <c r="T29" s="704" t="s">
        <v>14</v>
      </c>
      <c r="U29" s="705">
        <f t="shared" si="13"/>
        <v>100</v>
      </c>
      <c r="V29" s="704" t="s">
        <v>14</v>
      </c>
      <c r="W29" s="705">
        <f t="shared" si="14"/>
        <v>100</v>
      </c>
      <c r="X29" s="1350"/>
      <c r="Y29" s="3813"/>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811"/>
      <c r="Q30" s="1347">
        <f t="shared" si="11"/>
        <v>111</v>
      </c>
      <c r="R30" s="704" t="s">
        <v>14</v>
      </c>
      <c r="S30" s="705">
        <f t="shared" si="12"/>
        <v>100</v>
      </c>
      <c r="T30" s="704" t="s">
        <v>14</v>
      </c>
      <c r="U30" s="705">
        <f t="shared" si="13"/>
        <v>100</v>
      </c>
      <c r="V30" s="704" t="s">
        <v>14</v>
      </c>
      <c r="W30" s="705">
        <f t="shared" si="14"/>
        <v>100</v>
      </c>
      <c r="X30" s="1350"/>
      <c r="Y30" s="3813"/>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811"/>
      <c r="Q31" s="1347">
        <f t="shared" si="11"/>
        <v>111</v>
      </c>
      <c r="R31" s="704" t="s">
        <v>14</v>
      </c>
      <c r="S31" s="705">
        <f t="shared" si="12"/>
        <v>100</v>
      </c>
      <c r="T31" s="704" t="s">
        <v>14</v>
      </c>
      <c r="U31" s="705">
        <f t="shared" si="13"/>
        <v>100</v>
      </c>
      <c r="V31" s="704" t="s">
        <v>14</v>
      </c>
      <c r="W31" s="705">
        <f t="shared" si="14"/>
        <v>100</v>
      </c>
      <c r="X31" s="1350"/>
      <c r="Y31" s="3813"/>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814" t="s">
        <v>1680</v>
      </c>
      <c r="Q32" s="1347" t="str">
        <f t="shared" si="11"/>
        <v>商业类型</v>
      </c>
      <c r="R32" s="704" t="s">
        <v>14</v>
      </c>
      <c r="S32" s="705">
        <f t="shared" si="12"/>
        <v>100</v>
      </c>
      <c r="T32" s="704" t="s">
        <v>14</v>
      </c>
      <c r="U32" s="705">
        <f t="shared" si="13"/>
        <v>100</v>
      </c>
      <c r="V32" s="704" t="s">
        <v>14</v>
      </c>
      <c r="W32" s="705">
        <f t="shared" si="14"/>
        <v>100</v>
      </c>
      <c r="X32" s="1350"/>
      <c r="Y32" s="3817"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815"/>
      <c r="Q33" s="706" t="str">
        <f t="shared" si="11"/>
        <v>项目建筑规模</v>
      </c>
      <c r="R33" s="707" t="s">
        <v>14</v>
      </c>
      <c r="S33" s="708" t="e">
        <f t="shared" si="12"/>
        <v>#N/A</v>
      </c>
      <c r="T33" s="707" t="s">
        <v>14</v>
      </c>
      <c r="U33" s="708" t="e">
        <f t="shared" si="13"/>
        <v>#N/A</v>
      </c>
      <c r="V33" s="707" t="s">
        <v>14</v>
      </c>
      <c r="W33" s="708" t="e">
        <f t="shared" si="14"/>
        <v>#N/A</v>
      </c>
      <c r="X33" s="709"/>
      <c r="Y33" s="3817"/>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815"/>
      <c r="Q34" s="1347" t="str">
        <f t="shared" si="11"/>
        <v>建筑结构</v>
      </c>
      <c r="R34" s="704" t="s">
        <v>14</v>
      </c>
      <c r="S34" s="705">
        <f t="shared" si="12"/>
        <v>100</v>
      </c>
      <c r="T34" s="704" t="s">
        <v>14</v>
      </c>
      <c r="U34" s="705">
        <f t="shared" si="13"/>
        <v>100</v>
      </c>
      <c r="V34" s="704" t="s">
        <v>14</v>
      </c>
      <c r="W34" s="705">
        <f t="shared" si="14"/>
        <v>100</v>
      </c>
      <c r="X34" s="1350"/>
      <c r="Y34" s="3817"/>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815"/>
      <c r="Q35" s="1347" t="str">
        <f t="shared" si="11"/>
        <v>公共部分装修</v>
      </c>
      <c r="R35" s="704" t="s">
        <v>14</v>
      </c>
      <c r="S35" s="705">
        <f t="shared" si="12"/>
        <v>100</v>
      </c>
      <c r="T35" s="704" t="s">
        <v>14</v>
      </c>
      <c r="U35" s="705">
        <f t="shared" si="13"/>
        <v>100</v>
      </c>
      <c r="V35" s="704" t="s">
        <v>14</v>
      </c>
      <c r="W35" s="705">
        <f t="shared" si="14"/>
        <v>100</v>
      </c>
      <c r="X35" s="1350"/>
      <c r="Y35" s="3817"/>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815"/>
      <c r="Q36" s="1347" t="str">
        <f t="shared" si="11"/>
        <v>成新度</v>
      </c>
      <c r="R36" s="704" t="s">
        <v>14</v>
      </c>
      <c r="S36" s="705" t="e">
        <f t="shared" si="12"/>
        <v>#N/A</v>
      </c>
      <c r="T36" s="704" t="s">
        <v>14</v>
      </c>
      <c r="U36" s="705" t="e">
        <f t="shared" si="13"/>
        <v>#N/A</v>
      </c>
      <c r="V36" s="704" t="s">
        <v>14</v>
      </c>
      <c r="W36" s="705" t="e">
        <f t="shared" si="14"/>
        <v>#N/A</v>
      </c>
      <c r="X36" s="1350"/>
      <c r="Y36" s="3817"/>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815"/>
      <c r="Q37" s="1338" t="str">
        <f t="shared" si="11"/>
        <v>市政基础设施</v>
      </c>
      <c r="R37" s="700" t="s">
        <v>14</v>
      </c>
      <c r="S37" s="701">
        <f t="shared" si="12"/>
        <v>100</v>
      </c>
      <c r="T37" s="700" t="s">
        <v>14</v>
      </c>
      <c r="U37" s="701">
        <f t="shared" si="13"/>
        <v>100</v>
      </c>
      <c r="V37" s="700" t="s">
        <v>14</v>
      </c>
      <c r="W37" s="701">
        <f t="shared" si="14"/>
        <v>100</v>
      </c>
      <c r="X37" s="702"/>
      <c r="Y37" s="3817"/>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815" t="s">
        <v>1680</v>
      </c>
      <c r="Q38" s="1347" t="str">
        <f t="shared" si="11"/>
        <v>业态</v>
      </c>
      <c r="R38" s="704" t="s">
        <v>14</v>
      </c>
      <c r="S38" s="705">
        <f t="shared" si="12"/>
        <v>100</v>
      </c>
      <c r="T38" s="704" t="s">
        <v>14</v>
      </c>
      <c r="U38" s="705">
        <f t="shared" si="13"/>
        <v>100</v>
      </c>
      <c r="V38" s="704" t="s">
        <v>14</v>
      </c>
      <c r="W38" s="705">
        <f t="shared" si="14"/>
        <v>100</v>
      </c>
      <c r="X38" s="1350"/>
      <c r="Y38" s="3817"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815"/>
      <c r="Q39" s="1347" t="str">
        <f t="shared" si="11"/>
        <v>层高</v>
      </c>
      <c r="R39" s="704" t="s">
        <v>14</v>
      </c>
      <c r="S39" s="705">
        <f t="shared" si="12"/>
        <v>100</v>
      </c>
      <c r="T39" s="704" t="s">
        <v>14</v>
      </c>
      <c r="U39" s="705">
        <f t="shared" si="13"/>
        <v>100</v>
      </c>
      <c r="V39" s="704" t="s">
        <v>14</v>
      </c>
      <c r="W39" s="705">
        <f t="shared" si="14"/>
        <v>100</v>
      </c>
      <c r="X39" s="1350"/>
      <c r="Y39" s="3817"/>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815"/>
      <c r="Q40" s="1347" t="str">
        <f t="shared" si="11"/>
        <v>单套建筑面积</v>
      </c>
      <c r="R40" s="704" t="s">
        <v>14</v>
      </c>
      <c r="S40" s="705">
        <f t="shared" si="12"/>
        <v>100</v>
      </c>
      <c r="T40" s="704" t="s">
        <v>14</v>
      </c>
      <c r="U40" s="705">
        <f t="shared" si="13"/>
        <v>100</v>
      </c>
      <c r="V40" s="704" t="s">
        <v>14</v>
      </c>
      <c r="W40" s="705">
        <f t="shared" si="14"/>
        <v>100</v>
      </c>
      <c r="X40" s="1350"/>
      <c r="Y40" s="3817"/>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815"/>
      <c r="Q41" s="706" t="str">
        <f t="shared" si="11"/>
        <v>进深比</v>
      </c>
      <c r="R41" s="707" t="s">
        <v>14</v>
      </c>
      <c r="S41" s="708">
        <f t="shared" si="12"/>
        <v>100</v>
      </c>
      <c r="T41" s="707" t="s">
        <v>14</v>
      </c>
      <c r="U41" s="708">
        <f t="shared" si="13"/>
        <v>100</v>
      </c>
      <c r="V41" s="707" t="s">
        <v>14</v>
      </c>
      <c r="W41" s="708">
        <f t="shared" si="14"/>
        <v>100</v>
      </c>
      <c r="X41" s="709"/>
      <c r="Y41" s="3817"/>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815"/>
      <c r="Q42" s="1347" t="str">
        <f t="shared" si="11"/>
        <v>内部装修</v>
      </c>
      <c r="R42" s="704" t="s">
        <v>14</v>
      </c>
      <c r="S42" s="705">
        <f t="shared" si="12"/>
        <v>100</v>
      </c>
      <c r="T42" s="704" t="s">
        <v>14</v>
      </c>
      <c r="U42" s="705">
        <f t="shared" si="13"/>
        <v>100</v>
      </c>
      <c r="V42" s="704" t="s">
        <v>14</v>
      </c>
      <c r="W42" s="705">
        <f t="shared" si="14"/>
        <v>100</v>
      </c>
      <c r="X42" s="1350"/>
      <c r="Y42" s="3817"/>
      <c r="Z42" s="1351" t="str">
        <f t="shared" si="15"/>
        <v>内部装修</v>
      </c>
      <c r="AA42" s="1348">
        <f t="shared" si="3"/>
        <v>1</v>
      </c>
      <c r="AB42" s="1348">
        <f t="shared" si="4"/>
        <v>1</v>
      </c>
      <c r="AC42" s="1348">
        <f t="shared" si="5"/>
        <v>1</v>
      </c>
    </row>
    <row r="43" spans="1:29" ht="15">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815"/>
      <c r="Q43" s="1347" t="str">
        <f t="shared" si="11"/>
        <v>内部装修维护情况</v>
      </c>
      <c r="R43" s="704" t="s">
        <v>14</v>
      </c>
      <c r="S43" s="705">
        <f t="shared" si="12"/>
        <v>100</v>
      </c>
      <c r="T43" s="704" t="s">
        <v>14</v>
      </c>
      <c r="U43" s="705">
        <f t="shared" si="13"/>
        <v>100</v>
      </c>
      <c r="V43" s="704" t="s">
        <v>14</v>
      </c>
      <c r="W43" s="705">
        <f t="shared" si="14"/>
        <v>100</v>
      </c>
      <c r="X43" s="1350"/>
      <c r="Y43" s="3817"/>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815"/>
      <c r="Q44" s="1338">
        <f t="shared" si="11"/>
        <v>111</v>
      </c>
      <c r="R44" s="700" t="s">
        <v>14</v>
      </c>
      <c r="S44" s="701">
        <f t="shared" si="12"/>
        <v>100</v>
      </c>
      <c r="T44" s="700" t="s">
        <v>14</v>
      </c>
      <c r="U44" s="701">
        <f t="shared" si="13"/>
        <v>100</v>
      </c>
      <c r="V44" s="700" t="s">
        <v>14</v>
      </c>
      <c r="W44" s="701">
        <f t="shared" si="14"/>
        <v>100</v>
      </c>
      <c r="X44" s="702"/>
      <c r="Y44" s="3817"/>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815"/>
      <c r="Q45" s="1347">
        <f t="shared" si="11"/>
        <v>111</v>
      </c>
      <c r="R45" s="704" t="s">
        <v>14</v>
      </c>
      <c r="S45" s="705">
        <f t="shared" si="12"/>
        <v>100</v>
      </c>
      <c r="T45" s="704" t="s">
        <v>14</v>
      </c>
      <c r="U45" s="705">
        <f t="shared" si="13"/>
        <v>100</v>
      </c>
      <c r="V45" s="704" t="s">
        <v>14</v>
      </c>
      <c r="W45" s="705">
        <f t="shared" si="14"/>
        <v>100</v>
      </c>
      <c r="X45" s="1350"/>
      <c r="Y45" s="3817"/>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816"/>
      <c r="Q46" s="1347">
        <f t="shared" si="11"/>
        <v>111</v>
      </c>
      <c r="R46" s="704" t="s">
        <v>14</v>
      </c>
      <c r="S46" s="705">
        <f t="shared" si="12"/>
        <v>100</v>
      </c>
      <c r="T46" s="704" t="s">
        <v>14</v>
      </c>
      <c r="U46" s="705">
        <f t="shared" si="13"/>
        <v>100</v>
      </c>
      <c r="V46" s="704" t="s">
        <v>14</v>
      </c>
      <c r="W46" s="705">
        <f t="shared" si="14"/>
        <v>100</v>
      </c>
      <c r="X46" s="1350"/>
      <c r="Y46" s="3818"/>
      <c r="Z46" s="1351">
        <f t="shared" si="15"/>
        <v>111</v>
      </c>
      <c r="AA46" s="1348">
        <f t="shared" si="3"/>
        <v>1</v>
      </c>
      <c r="AB46" s="1348">
        <f t="shared" si="4"/>
        <v>1</v>
      </c>
      <c r="AC46" s="1348">
        <f t="shared" si="5"/>
        <v>1</v>
      </c>
    </row>
    <row r="47" spans="1:29" ht="15">
      <c r="A47" s="430" t="s">
        <v>1692</v>
      </c>
      <c r="B47" s="431"/>
      <c r="C47" s="1150" t="s">
        <v>0</v>
      </c>
      <c r="D47" s="1151"/>
      <c r="E47" s="1152"/>
      <c r="F47" s="1153"/>
      <c r="G47" s="1154"/>
      <c r="H47" s="1155"/>
      <c r="I47" s="1152"/>
      <c r="J47" s="1155"/>
      <c r="K47" s="713"/>
      <c r="L47" s="2695"/>
      <c r="M47" s="2696"/>
      <c r="N47" s="2687"/>
      <c r="O47" s="2696"/>
      <c r="P47" s="3819" t="str">
        <f>A47</f>
        <v>成交单价（元/平方米）</v>
      </c>
      <c r="Q47" s="3819"/>
      <c r="R47" s="3806">
        <f>E47</f>
        <v>0</v>
      </c>
      <c r="S47" s="3806"/>
      <c r="T47" s="3806">
        <f>G47</f>
        <v>0</v>
      </c>
      <c r="U47" s="3806"/>
      <c r="V47" s="3806">
        <f>I47</f>
        <v>0</v>
      </c>
      <c r="W47" s="3806"/>
      <c r="X47" s="689"/>
      <c r="Y47" s="711"/>
      <c r="Z47" s="689"/>
      <c r="AA47" s="689"/>
      <c r="AB47" s="689"/>
      <c r="AC47" s="689"/>
    </row>
    <row r="48" spans="1:29" ht="15.7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819" t="str">
        <f>A48</f>
        <v>比较价值（元/平方米）</v>
      </c>
      <c r="Q48" s="3819"/>
      <c r="R48" s="3820" t="e">
        <f>IF(F1="售价",ROUND(PRODUCT(R47,AA7:AA46),0),ROUND(PRODUCT(R47,AA7:AA46),1))</f>
        <v>#DIV/0!</v>
      </c>
      <c r="S48" s="3820"/>
      <c r="T48" s="3820" t="e">
        <f>IF(F1="售价",ROUND(PRODUCT(T47,AB7:AB46),0),ROUND(PRODUCT(T47,AB7:AB46),1))</f>
        <v>#DIV/0!</v>
      </c>
      <c r="U48" s="3820"/>
      <c r="V48" s="3820" t="e">
        <f>IF(F1="售价",ROUND(PRODUCT(V47,AC7:AC46),0),ROUND(PRODUCT(V47,AC7:AC46),1))</f>
        <v>#DIV/0!</v>
      </c>
      <c r="W48" s="3820"/>
      <c r="X48" s="689"/>
      <c r="Y48" s="689"/>
      <c r="Z48" s="689"/>
      <c r="AA48" s="689"/>
      <c r="AB48" s="689"/>
      <c r="AC48" s="689"/>
    </row>
    <row r="49" spans="1:29" ht="15.75" thickBot="1">
      <c r="A49" s="441" t="s">
        <v>1778</v>
      </c>
      <c r="B49" s="442"/>
      <c r="C49" s="1159" t="e">
        <f>R49</f>
        <v>#DIV/0!</v>
      </c>
      <c r="D49" s="1159"/>
      <c r="E49" s="1159"/>
      <c r="F49" s="1159"/>
      <c r="G49" s="1159"/>
      <c r="H49" s="1159"/>
      <c r="I49" s="1159"/>
      <c r="J49" s="1159"/>
      <c r="K49" s="714"/>
      <c r="L49" s="2695"/>
      <c r="M49" s="2696"/>
      <c r="N49" s="2687"/>
      <c r="O49" s="2696"/>
      <c r="P49" s="3831" t="str">
        <f>A49</f>
        <v>估价对象XX用房的比较价值（楼面单价，元/平方米）</v>
      </c>
      <c r="Q49" s="3832"/>
      <c r="R49" s="3833" t="e">
        <f>IF(F1="售价",ROUND(IF(D48="简单平均",AVERAGE(R48:V48),R48*F48+T48*H48+V48*J48),0),ROUND(IF(D48="简单平均",AVERAGE(R48:V48),R48*F48+T48*H48+V48*J48),1))</f>
        <v>#DIV/0!</v>
      </c>
      <c r="S49" s="3833"/>
      <c r="T49" s="3833"/>
      <c r="U49" s="3833"/>
      <c r="V49" s="3833"/>
      <c r="W49" s="3833"/>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1.75"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5">
      <c r="A58" s="454" t="s">
        <v>1663</v>
      </c>
      <c r="B58" s="455"/>
      <c r="C58" s="1179" t="str">
        <f>YEAR(C7)&amp;"-"&amp;MONTH(C7)</f>
        <v>2024-1</v>
      </c>
      <c r="D58" s="1180">
        <f>EDATE(C58,-1)</f>
        <v>45261</v>
      </c>
      <c r="E58" s="1180">
        <f t="shared" ref="E58:N58" si="16">EDATE(D58,-1)</f>
        <v>45231</v>
      </c>
      <c r="F58" s="1180">
        <f t="shared" si="16"/>
        <v>45200</v>
      </c>
      <c r="G58" s="1180">
        <f t="shared" si="16"/>
        <v>45170</v>
      </c>
      <c r="H58" s="1180">
        <f t="shared" si="16"/>
        <v>45139</v>
      </c>
      <c r="I58" s="1180">
        <f t="shared" si="16"/>
        <v>45108</v>
      </c>
      <c r="J58" s="1180">
        <f t="shared" si="16"/>
        <v>45078</v>
      </c>
      <c r="K58" s="1180">
        <f t="shared" si="16"/>
        <v>45047</v>
      </c>
      <c r="L58" s="1180">
        <f t="shared" si="16"/>
        <v>45017</v>
      </c>
      <c r="M58" s="1180">
        <f t="shared" si="16"/>
        <v>44986</v>
      </c>
      <c r="N58" s="1180">
        <f t="shared" si="16"/>
        <v>44958</v>
      </c>
      <c r="O58" s="1180">
        <f>EDATE(N58,-1)</f>
        <v>44927</v>
      </c>
      <c r="P58" s="2711"/>
      <c r="Q58" s="2712"/>
      <c r="R58" s="2712"/>
      <c r="S58" s="2712"/>
      <c r="T58" s="2712"/>
      <c r="U58" s="2712"/>
      <c r="V58" s="2712"/>
      <c r="W58" s="2712"/>
      <c r="X58" s="2712"/>
      <c r="Y58" s="2712"/>
      <c r="Z58" s="2712"/>
      <c r="AA58" s="2712"/>
      <c r="AB58" s="2712"/>
      <c r="AC58" s="2712"/>
    </row>
    <row r="59" spans="1:29" s="108" customFormat="1" ht="15">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7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5">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5.75"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7.75"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5.75"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ht="15">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5.75"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5.75"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5.75"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5.75"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5.75"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5.75"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7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7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7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7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7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5.75"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5.75"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5.75"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5.75"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5.75"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5.75"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5.75"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5.75"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5.75"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5.75"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5"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5.75"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5"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5.75"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5"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5.75"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952" t="s">
        <v>1810</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1753</v>
      </c>
      <c r="B4" s="356"/>
      <c r="C4" s="3793" t="s">
        <v>1754</v>
      </c>
      <c r="D4" s="3794"/>
      <c r="E4" s="3795" t="s">
        <v>1755</v>
      </c>
      <c r="F4" s="3796"/>
      <c r="G4" s="3793" t="s">
        <v>1756</v>
      </c>
      <c r="H4" s="3794"/>
      <c r="I4" s="3793" t="s">
        <v>1757</v>
      </c>
      <c r="J4" s="3794"/>
      <c r="K4" s="559" t="s">
        <v>1758</v>
      </c>
      <c r="L4" s="909"/>
      <c r="M4" s="910"/>
      <c r="N4" s="910"/>
      <c r="O4" s="910"/>
      <c r="P4" s="3827" t="s">
        <v>1759</v>
      </c>
      <c r="Q4" s="3828"/>
      <c r="R4" s="3825" t="s">
        <v>1755</v>
      </c>
      <c r="S4" s="3826"/>
      <c r="T4" s="3825" t="s">
        <v>1756</v>
      </c>
      <c r="U4" s="3826"/>
      <c r="V4" s="3806" t="s">
        <v>1757</v>
      </c>
      <c r="W4" s="3806"/>
      <c r="X4" s="1350"/>
      <c r="Y4" s="3825" t="s">
        <v>1759</v>
      </c>
      <c r="Z4" s="3826"/>
      <c r="AA4" s="3824" t="s">
        <v>1755</v>
      </c>
      <c r="AB4" s="3773" t="s">
        <v>1756</v>
      </c>
      <c r="AC4" s="3824" t="s">
        <v>1757</v>
      </c>
    </row>
    <row r="5" spans="1:29" ht="15">
      <c r="A5" s="358"/>
      <c r="B5" s="359"/>
      <c r="C5" s="3783" t="s">
        <v>1657</v>
      </c>
      <c r="D5" s="3784"/>
      <c r="E5" s="3781" t="s">
        <v>1658</v>
      </c>
      <c r="F5" s="3782"/>
      <c r="G5" s="3783" t="s">
        <v>1659</v>
      </c>
      <c r="H5" s="3784"/>
      <c r="I5" s="3783" t="s">
        <v>1660</v>
      </c>
      <c r="J5" s="3784"/>
      <c r="K5" s="559"/>
      <c r="L5" s="909"/>
      <c r="M5" s="910"/>
      <c r="N5" s="910"/>
      <c r="O5" s="910"/>
      <c r="P5" s="3829"/>
      <c r="Q5" s="3800"/>
      <c r="R5" s="3779"/>
      <c r="S5" s="3780"/>
      <c r="T5" s="3779"/>
      <c r="U5" s="3780"/>
      <c r="V5" s="3806"/>
      <c r="W5" s="3806"/>
      <c r="X5" s="1350"/>
      <c r="Y5" s="3779"/>
      <c r="Z5" s="3780"/>
      <c r="AA5" s="3773"/>
      <c r="AB5" s="3773"/>
      <c r="AC5" s="3773"/>
    </row>
    <row r="6" spans="1:29" ht="15.75" thickBot="1">
      <c r="A6" s="360"/>
      <c r="B6" s="361"/>
      <c r="C6" s="3785" t="s">
        <v>1661</v>
      </c>
      <c r="D6" s="3786"/>
      <c r="E6" s="3787" t="s">
        <v>1661</v>
      </c>
      <c r="F6" s="3788"/>
      <c r="G6" s="3785" t="s">
        <v>1661</v>
      </c>
      <c r="H6" s="3786"/>
      <c r="I6" s="3785" t="s">
        <v>1661</v>
      </c>
      <c r="J6" s="3786"/>
      <c r="K6" s="559" t="s">
        <v>1662</v>
      </c>
      <c r="L6" s="909"/>
      <c r="M6" s="910"/>
      <c r="N6" s="910"/>
      <c r="O6" s="910"/>
      <c r="P6" s="3830"/>
      <c r="Q6" s="3802"/>
      <c r="R6" s="3779"/>
      <c r="S6" s="3780"/>
      <c r="T6" s="3803"/>
      <c r="U6" s="3804"/>
      <c r="V6" s="3806"/>
      <c r="W6" s="3806"/>
      <c r="X6" s="1350"/>
      <c r="Y6" s="3803"/>
      <c r="Z6" s="3804"/>
      <c r="AA6" s="3774"/>
      <c r="AB6" s="3774"/>
      <c r="AC6" s="3774"/>
    </row>
    <row r="7" spans="1:29" s="108" customFormat="1" ht="15.75" thickBot="1">
      <c r="A7" s="362" t="s">
        <v>1663</v>
      </c>
      <c r="B7" s="363"/>
      <c r="C7" s="364">
        <f>'数据-取费表'!B2</f>
        <v>45309</v>
      </c>
      <c r="D7" s="365">
        <v>100</v>
      </c>
      <c r="E7" s="366"/>
      <c r="F7" s="367">
        <f>SUMIF(52:52,YEAR(E7)&amp;"-"&amp;MONTH(E7),53:53)</f>
        <v>0</v>
      </c>
      <c r="G7" s="366"/>
      <c r="H7" s="365">
        <f>SUMIF(52:52,YEAR(G7)&amp;"-"&amp;MONTH(G7),53:53)</f>
        <v>0</v>
      </c>
      <c r="I7" s="366"/>
      <c r="J7" s="365">
        <f>SUMIF(52:52,YEAR(I7)&amp;"-"&amp;MONTH(I7),53:53)</f>
        <v>0</v>
      </c>
      <c r="K7" s="560"/>
      <c r="L7" s="911"/>
      <c r="M7" s="912"/>
      <c r="N7" s="912"/>
      <c r="O7" s="912"/>
      <c r="P7" s="3775" t="s">
        <v>1664</v>
      </c>
      <c r="Q7" s="3809"/>
      <c r="R7" s="700" t="s">
        <v>14</v>
      </c>
      <c r="S7" s="701">
        <f t="shared" ref="S7:S15" si="0">F7</f>
        <v>0</v>
      </c>
      <c r="T7" s="700" t="s">
        <v>14</v>
      </c>
      <c r="U7" s="701">
        <f t="shared" ref="U7:U15" si="1">H7</f>
        <v>0</v>
      </c>
      <c r="V7" s="700" t="s">
        <v>14</v>
      </c>
      <c r="W7" s="701">
        <f t="shared" ref="W7:W15" si="2">J7</f>
        <v>0</v>
      </c>
      <c r="X7" s="702"/>
      <c r="Y7" s="3775" t="s">
        <v>1664</v>
      </c>
      <c r="Z7" s="3776"/>
      <c r="AA7" s="703" t="e">
        <f>D7/F7</f>
        <v>#DIV/0!</v>
      </c>
      <c r="AB7" s="703" t="e">
        <f>D7/H7</f>
        <v>#DIV/0!</v>
      </c>
      <c r="AC7" s="703"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75" t="s">
        <v>1667</v>
      </c>
      <c r="Q8" s="3776"/>
      <c r="R8" s="700" t="s">
        <v>14</v>
      </c>
      <c r="S8" s="701">
        <f t="shared" si="0"/>
        <v>100</v>
      </c>
      <c r="T8" s="700" t="s">
        <v>14</v>
      </c>
      <c r="U8" s="701">
        <f t="shared" si="1"/>
        <v>100</v>
      </c>
      <c r="V8" s="700" t="s">
        <v>14</v>
      </c>
      <c r="W8" s="701">
        <f t="shared" si="2"/>
        <v>100</v>
      </c>
      <c r="X8" s="702"/>
      <c r="Y8" s="3775" t="s">
        <v>1667</v>
      </c>
      <c r="Z8" s="3776"/>
      <c r="AA8" s="703">
        <f t="shared" ref="AA8:AA40" si="3">D8/F8</f>
        <v>1</v>
      </c>
      <c r="AB8" s="703">
        <f t="shared" ref="AB8:AB40" si="4">D8/H8</f>
        <v>1</v>
      </c>
      <c r="AC8" s="703">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819" t="s">
        <v>1670</v>
      </c>
      <c r="Q9" s="1338" t="str">
        <f t="shared" ref="Q9:Q15" si="6">B9</f>
        <v>用途</v>
      </c>
      <c r="R9" s="700" t="s">
        <v>14</v>
      </c>
      <c r="S9" s="701">
        <f t="shared" si="0"/>
        <v>100</v>
      </c>
      <c r="T9" s="700" t="s">
        <v>14</v>
      </c>
      <c r="U9" s="701">
        <f t="shared" si="1"/>
        <v>100</v>
      </c>
      <c r="V9" s="700" t="s">
        <v>14</v>
      </c>
      <c r="W9" s="701">
        <f t="shared" si="2"/>
        <v>100</v>
      </c>
      <c r="X9" s="702"/>
      <c r="Y9" s="3721"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4"/>
      <c r="F10" s="127">
        <f>SUMIF(59:59,E10,60:60)-SUMIF(59:59,C10,60:60)+100</f>
        <v>100</v>
      </c>
      <c r="G10" s="3405"/>
      <c r="H10" s="127">
        <f>SUMIF(59:59,G10,60:60)-SUMIF(59:59,C10,60:60)+100</f>
        <v>100</v>
      </c>
      <c r="I10" s="3404"/>
      <c r="J10" s="127">
        <f>SUMIF(59:59,I10,60:60)-SUMIF(59:59,C10,60:60)+100</f>
        <v>100</v>
      </c>
      <c r="K10" s="560"/>
      <c r="L10" s="914"/>
      <c r="M10" s="915"/>
      <c r="N10" s="915"/>
      <c r="O10" s="916"/>
      <c r="P10" s="3819"/>
      <c r="Q10" s="1338" t="str">
        <f t="shared" si="6"/>
        <v>土地使用年限（年）</v>
      </c>
      <c r="R10" s="700" t="s">
        <v>14</v>
      </c>
      <c r="S10" s="701">
        <f t="shared" si="0"/>
        <v>100</v>
      </c>
      <c r="T10" s="700" t="s">
        <v>14</v>
      </c>
      <c r="U10" s="701">
        <f t="shared" si="1"/>
        <v>100</v>
      </c>
      <c r="V10" s="700" t="s">
        <v>14</v>
      </c>
      <c r="W10" s="701">
        <f t="shared" si="2"/>
        <v>100</v>
      </c>
      <c r="X10" s="702"/>
      <c r="Y10" s="3721"/>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819"/>
      <c r="Q11" s="1338" t="str">
        <f t="shared" si="6"/>
        <v>容积率</v>
      </c>
      <c r="R11" s="700" t="s">
        <v>14</v>
      </c>
      <c r="S11" s="701">
        <f t="shared" si="0"/>
        <v>100</v>
      </c>
      <c r="T11" s="700" t="s">
        <v>14</v>
      </c>
      <c r="U11" s="701">
        <f t="shared" si="1"/>
        <v>100</v>
      </c>
      <c r="V11" s="700" t="s">
        <v>14</v>
      </c>
      <c r="W11" s="701">
        <f t="shared" si="2"/>
        <v>100</v>
      </c>
      <c r="X11" s="702"/>
      <c r="Y11" s="3721"/>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819"/>
      <c r="Q12" s="1338">
        <f t="shared" si="6"/>
        <v>111</v>
      </c>
      <c r="R12" s="700" t="s">
        <v>14</v>
      </c>
      <c r="S12" s="701">
        <f t="shared" si="0"/>
        <v>100</v>
      </c>
      <c r="T12" s="700" t="s">
        <v>14</v>
      </c>
      <c r="U12" s="701">
        <f t="shared" si="1"/>
        <v>100</v>
      </c>
      <c r="V12" s="700" t="s">
        <v>14</v>
      </c>
      <c r="W12" s="701">
        <f t="shared" si="2"/>
        <v>100</v>
      </c>
      <c r="X12" s="702"/>
      <c r="Y12" s="3721"/>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819"/>
      <c r="Q13" s="1338">
        <f t="shared" si="6"/>
        <v>111</v>
      </c>
      <c r="R13" s="700" t="s">
        <v>14</v>
      </c>
      <c r="S13" s="701">
        <f t="shared" si="0"/>
        <v>100</v>
      </c>
      <c r="T13" s="700" t="s">
        <v>14</v>
      </c>
      <c r="U13" s="701">
        <f t="shared" si="1"/>
        <v>100</v>
      </c>
      <c r="V13" s="700" t="s">
        <v>14</v>
      </c>
      <c r="W13" s="701">
        <f t="shared" si="2"/>
        <v>100</v>
      </c>
      <c r="X13" s="702"/>
      <c r="Y13" s="3721"/>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819"/>
      <c r="Q14" s="1338">
        <f t="shared" si="6"/>
        <v>111</v>
      </c>
      <c r="R14" s="700" t="s">
        <v>14</v>
      </c>
      <c r="S14" s="701">
        <f t="shared" si="0"/>
        <v>100</v>
      </c>
      <c r="T14" s="700" t="s">
        <v>14</v>
      </c>
      <c r="U14" s="701">
        <f t="shared" si="1"/>
        <v>100</v>
      </c>
      <c r="V14" s="700" t="s">
        <v>14</v>
      </c>
      <c r="W14" s="701">
        <f t="shared" si="2"/>
        <v>100</v>
      </c>
      <c r="X14" s="702"/>
      <c r="Y14" s="3721"/>
      <c r="Z14" s="52">
        <f t="shared" si="7"/>
        <v>111</v>
      </c>
      <c r="AA14" s="703">
        <f t="shared" si="3"/>
        <v>1</v>
      </c>
      <c r="AB14" s="703">
        <f t="shared" si="4"/>
        <v>1</v>
      </c>
      <c r="AC14" s="703">
        <f t="shared" si="5"/>
        <v>1</v>
      </c>
    </row>
    <row r="15" spans="1:29" ht="57">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812" t="s">
        <v>1675</v>
      </c>
      <c r="Q15" s="1347" t="str">
        <f t="shared" si="6"/>
        <v>产业集聚程度</v>
      </c>
      <c r="R15" s="704" t="s">
        <v>14</v>
      </c>
      <c r="S15" s="705">
        <f t="shared" si="0"/>
        <v>100</v>
      </c>
      <c r="T15" s="704" t="s">
        <v>14</v>
      </c>
      <c r="U15" s="705">
        <f t="shared" si="1"/>
        <v>100</v>
      </c>
      <c r="V15" s="704" t="s">
        <v>14</v>
      </c>
      <c r="W15" s="705">
        <f t="shared" si="2"/>
        <v>100</v>
      </c>
      <c r="X15" s="1350"/>
      <c r="Y15" s="3812"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813"/>
      <c r="Q16" s="1347"/>
      <c r="R16" s="704"/>
      <c r="S16" s="705"/>
      <c r="T16" s="704"/>
      <c r="U16" s="705"/>
      <c r="V16" s="704"/>
      <c r="W16" s="705"/>
      <c r="X16" s="1350"/>
      <c r="Y16" s="3813"/>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813"/>
      <c r="Q17" s="1347" t="str">
        <f>B17</f>
        <v>交通便捷度</v>
      </c>
      <c r="R17" s="704" t="s">
        <v>14</v>
      </c>
      <c r="S17" s="705">
        <f>F17</f>
        <v>100</v>
      </c>
      <c r="T17" s="704" t="s">
        <v>14</v>
      </c>
      <c r="U17" s="705">
        <f>H17</f>
        <v>100</v>
      </c>
      <c r="V17" s="704" t="s">
        <v>14</v>
      </c>
      <c r="W17" s="705">
        <f>J17</f>
        <v>100</v>
      </c>
      <c r="X17" s="1350"/>
      <c r="Y17" s="3813"/>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813"/>
      <c r="Q18" s="1347"/>
      <c r="R18" s="704"/>
      <c r="S18" s="705"/>
      <c r="T18" s="704"/>
      <c r="U18" s="705"/>
      <c r="V18" s="704"/>
      <c r="W18" s="705"/>
      <c r="X18" s="1350"/>
      <c r="Y18" s="3813"/>
      <c r="Z18" s="1351"/>
      <c r="AA18" s="1348">
        <v>1</v>
      </c>
      <c r="AB18" s="1348">
        <v>1</v>
      </c>
      <c r="AC18" s="1348">
        <v>1</v>
      </c>
    </row>
    <row r="19" spans="1:29" ht="42.75">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813"/>
      <c r="Q19" s="1347" t="str">
        <f>B19</f>
        <v>公共配套设施</v>
      </c>
      <c r="R19" s="704" t="s">
        <v>14</v>
      </c>
      <c r="S19" s="705">
        <f>F19</f>
        <v>100</v>
      </c>
      <c r="T19" s="704" t="s">
        <v>14</v>
      </c>
      <c r="U19" s="705">
        <f>H19</f>
        <v>100</v>
      </c>
      <c r="V19" s="704" t="s">
        <v>14</v>
      </c>
      <c r="W19" s="705">
        <f>J19</f>
        <v>100</v>
      </c>
      <c r="X19" s="1350"/>
      <c r="Y19" s="3813"/>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813"/>
      <c r="Q20" s="1347"/>
      <c r="R20" s="704"/>
      <c r="S20" s="705"/>
      <c r="T20" s="704"/>
      <c r="U20" s="705"/>
      <c r="V20" s="704"/>
      <c r="W20" s="705"/>
      <c r="X20" s="1350"/>
      <c r="Y20" s="3813"/>
      <c r="Z20" s="1351"/>
      <c r="AA20" s="1348">
        <v>1</v>
      </c>
      <c r="AB20" s="1348">
        <v>1</v>
      </c>
      <c r="AC20" s="1348">
        <v>1</v>
      </c>
    </row>
    <row r="21" spans="1:29" ht="28.5">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813"/>
      <c r="Q21" s="1347" t="str">
        <f>B21</f>
        <v>基础设施水平</v>
      </c>
      <c r="R21" s="704" t="s">
        <v>14</v>
      </c>
      <c r="S21" s="705">
        <f>F21</f>
        <v>100</v>
      </c>
      <c r="T21" s="704" t="s">
        <v>14</v>
      </c>
      <c r="U21" s="705">
        <f>H21</f>
        <v>100</v>
      </c>
      <c r="V21" s="704" t="s">
        <v>14</v>
      </c>
      <c r="W21" s="705">
        <f>J21</f>
        <v>100</v>
      </c>
      <c r="X21" s="1350"/>
      <c r="Y21" s="3813"/>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813"/>
      <c r="Q22" s="1347"/>
      <c r="R22" s="704"/>
      <c r="S22" s="705"/>
      <c r="T22" s="704"/>
      <c r="U22" s="705"/>
      <c r="V22" s="704"/>
      <c r="W22" s="705"/>
      <c r="X22" s="1350"/>
      <c r="Y22" s="3813"/>
      <c r="Z22" s="1351"/>
      <c r="AA22" s="1348">
        <v>1</v>
      </c>
      <c r="AB22" s="1348">
        <v>1</v>
      </c>
      <c r="AC22" s="1348">
        <v>1</v>
      </c>
    </row>
    <row r="23" spans="1:29" ht="71.25">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813"/>
      <c r="Q23" s="1347" t="str">
        <f>B23</f>
        <v>环境质量</v>
      </c>
      <c r="R23" s="704" t="s">
        <v>14</v>
      </c>
      <c r="S23" s="705">
        <f>F23</f>
        <v>100</v>
      </c>
      <c r="T23" s="704" t="s">
        <v>14</v>
      </c>
      <c r="U23" s="705">
        <f>H23</f>
        <v>100</v>
      </c>
      <c r="V23" s="704" t="s">
        <v>14</v>
      </c>
      <c r="W23" s="705">
        <f>J23</f>
        <v>100</v>
      </c>
      <c r="X23" s="1350"/>
      <c r="Y23" s="3813"/>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813"/>
      <c r="Q24" s="1347"/>
      <c r="R24" s="704"/>
      <c r="S24" s="705"/>
      <c r="T24" s="704"/>
      <c r="U24" s="705"/>
      <c r="V24" s="704"/>
      <c r="W24" s="705"/>
      <c r="X24" s="1350"/>
      <c r="Y24" s="3813"/>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813"/>
      <c r="Q25" s="1347">
        <f>B25</f>
        <v>111</v>
      </c>
      <c r="R25" s="704" t="s">
        <v>14</v>
      </c>
      <c r="S25" s="705">
        <f>F25</f>
        <v>100</v>
      </c>
      <c r="T25" s="704" t="s">
        <v>14</v>
      </c>
      <c r="U25" s="705">
        <f>H25</f>
        <v>100</v>
      </c>
      <c r="V25" s="704" t="s">
        <v>14</v>
      </c>
      <c r="W25" s="705">
        <f>J25</f>
        <v>100</v>
      </c>
      <c r="X25" s="1350"/>
      <c r="Y25" s="3813"/>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813"/>
      <c r="Q26" s="1347">
        <f t="shared" ref="Q26:Q40" si="11">B26</f>
        <v>111</v>
      </c>
      <c r="R26" s="704" t="s">
        <v>14</v>
      </c>
      <c r="S26" s="705">
        <f>F26</f>
        <v>100</v>
      </c>
      <c r="T26" s="704" t="s">
        <v>14</v>
      </c>
      <c r="U26" s="705">
        <f>H26</f>
        <v>100</v>
      </c>
      <c r="V26" s="704" t="s">
        <v>14</v>
      </c>
      <c r="W26" s="705">
        <f>J26</f>
        <v>100</v>
      </c>
      <c r="X26" s="1350"/>
      <c r="Y26" s="3813"/>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813"/>
      <c r="Q27" s="1338">
        <f t="shared" si="11"/>
        <v>111</v>
      </c>
      <c r="R27" s="700" t="s">
        <v>14</v>
      </c>
      <c r="S27" s="701">
        <f>F27</f>
        <v>100</v>
      </c>
      <c r="T27" s="700" t="s">
        <v>14</v>
      </c>
      <c r="U27" s="701">
        <f>H27</f>
        <v>100</v>
      </c>
      <c r="V27" s="700" t="s">
        <v>14</v>
      </c>
      <c r="W27" s="701">
        <f>J27</f>
        <v>100</v>
      </c>
      <c r="X27" s="702"/>
      <c r="Y27" s="3813"/>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813"/>
      <c r="Q28" s="1347">
        <f t="shared" si="11"/>
        <v>111</v>
      </c>
      <c r="R28" s="704" t="s">
        <v>14</v>
      </c>
      <c r="S28" s="705">
        <f t="shared" ref="S28:S40" si="12">F28</f>
        <v>100</v>
      </c>
      <c r="T28" s="704" t="s">
        <v>14</v>
      </c>
      <c r="U28" s="705">
        <f t="shared" ref="U28:U40" si="13">H28</f>
        <v>100</v>
      </c>
      <c r="V28" s="704" t="s">
        <v>14</v>
      </c>
      <c r="W28" s="705">
        <f t="shared" ref="W28:W40" si="14">J28</f>
        <v>100</v>
      </c>
      <c r="X28" s="1350"/>
      <c r="Y28" s="3813"/>
      <c r="Z28" s="1351">
        <f t="shared" ref="Z28:Z40" si="15">Q28</f>
        <v>111</v>
      </c>
      <c r="AA28" s="1348">
        <f t="shared" si="3"/>
        <v>1</v>
      </c>
      <c r="AB28" s="1348">
        <f t="shared" si="4"/>
        <v>1</v>
      </c>
      <c r="AC28" s="1348">
        <f t="shared" si="5"/>
        <v>1</v>
      </c>
    </row>
    <row r="29" spans="1:29" ht="28.5">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34" t="s">
        <v>1680</v>
      </c>
      <c r="Q29" s="1347" t="str">
        <f t="shared" si="11"/>
        <v>建筑类型</v>
      </c>
      <c r="R29" s="704" t="s">
        <v>14</v>
      </c>
      <c r="S29" s="705">
        <f t="shared" si="12"/>
        <v>100</v>
      </c>
      <c r="T29" s="704" t="s">
        <v>14</v>
      </c>
      <c r="U29" s="705">
        <f t="shared" si="13"/>
        <v>100</v>
      </c>
      <c r="V29" s="704" t="s">
        <v>14</v>
      </c>
      <c r="W29" s="705">
        <f t="shared" si="14"/>
        <v>100</v>
      </c>
      <c r="X29" s="1350"/>
      <c r="Y29" s="3817"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817"/>
      <c r="Q30" s="706" t="str">
        <f t="shared" si="11"/>
        <v>项目建筑规模</v>
      </c>
      <c r="R30" s="707" t="s">
        <v>14</v>
      </c>
      <c r="S30" s="708" t="e">
        <f t="shared" si="12"/>
        <v>#N/A</v>
      </c>
      <c r="T30" s="707" t="s">
        <v>14</v>
      </c>
      <c r="U30" s="708" t="e">
        <f t="shared" si="13"/>
        <v>#N/A</v>
      </c>
      <c r="V30" s="707" t="s">
        <v>14</v>
      </c>
      <c r="W30" s="708" t="e">
        <f t="shared" si="14"/>
        <v>#N/A</v>
      </c>
      <c r="X30" s="709"/>
      <c r="Y30" s="3817"/>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817"/>
      <c r="Q31" s="1347" t="str">
        <f t="shared" si="11"/>
        <v>建筑结构</v>
      </c>
      <c r="R31" s="704" t="s">
        <v>14</v>
      </c>
      <c r="S31" s="705">
        <f t="shared" si="12"/>
        <v>100</v>
      </c>
      <c r="T31" s="704" t="s">
        <v>14</v>
      </c>
      <c r="U31" s="705">
        <f t="shared" si="13"/>
        <v>100</v>
      </c>
      <c r="V31" s="704" t="s">
        <v>14</v>
      </c>
      <c r="W31" s="705">
        <f t="shared" si="14"/>
        <v>100</v>
      </c>
      <c r="X31" s="1350"/>
      <c r="Y31" s="3817"/>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817"/>
      <c r="Q32" s="1347" t="str">
        <f t="shared" si="11"/>
        <v>公共部分装修</v>
      </c>
      <c r="R32" s="704" t="s">
        <v>14</v>
      </c>
      <c r="S32" s="705">
        <f t="shared" si="12"/>
        <v>100</v>
      </c>
      <c r="T32" s="704" t="s">
        <v>14</v>
      </c>
      <c r="U32" s="705">
        <f t="shared" si="13"/>
        <v>100</v>
      </c>
      <c r="V32" s="704" t="s">
        <v>14</v>
      </c>
      <c r="W32" s="705">
        <f t="shared" si="14"/>
        <v>100</v>
      </c>
      <c r="X32" s="1350"/>
      <c r="Y32" s="3817"/>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817"/>
      <c r="Q33" s="1347" t="str">
        <f t="shared" si="11"/>
        <v>成新度</v>
      </c>
      <c r="R33" s="704" t="s">
        <v>14</v>
      </c>
      <c r="S33" s="705" t="e">
        <f t="shared" si="12"/>
        <v>#N/A</v>
      </c>
      <c r="T33" s="704" t="s">
        <v>14</v>
      </c>
      <c r="U33" s="705" t="e">
        <f t="shared" si="13"/>
        <v>#N/A</v>
      </c>
      <c r="V33" s="704" t="s">
        <v>14</v>
      </c>
      <c r="W33" s="705" t="e">
        <f t="shared" si="14"/>
        <v>#N/A</v>
      </c>
      <c r="X33" s="1350"/>
      <c r="Y33" s="3817"/>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817"/>
      <c r="Q34" s="1338" t="str">
        <f t="shared" si="11"/>
        <v>物业管理</v>
      </c>
      <c r="R34" s="700" t="s">
        <v>14</v>
      </c>
      <c r="S34" s="701">
        <f t="shared" si="12"/>
        <v>100</v>
      </c>
      <c r="T34" s="700" t="s">
        <v>14</v>
      </c>
      <c r="U34" s="701">
        <f t="shared" si="13"/>
        <v>100</v>
      </c>
      <c r="V34" s="700" t="s">
        <v>14</v>
      </c>
      <c r="W34" s="701">
        <f t="shared" si="14"/>
        <v>100</v>
      </c>
      <c r="X34" s="702"/>
      <c r="Y34" s="3817"/>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817" t="s">
        <v>1680</v>
      </c>
      <c r="Q35" s="1347" t="str">
        <f t="shared" si="11"/>
        <v>市政基础设施</v>
      </c>
      <c r="R35" s="704" t="s">
        <v>14</v>
      </c>
      <c r="S35" s="705">
        <f t="shared" si="12"/>
        <v>100</v>
      </c>
      <c r="T35" s="704" t="s">
        <v>14</v>
      </c>
      <c r="U35" s="705">
        <f t="shared" si="13"/>
        <v>100</v>
      </c>
      <c r="V35" s="704" t="s">
        <v>14</v>
      </c>
      <c r="W35" s="705">
        <f t="shared" si="14"/>
        <v>100</v>
      </c>
      <c r="X35" s="1350"/>
      <c r="Y35" s="3817"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817"/>
      <c r="Q36" s="1347" t="str">
        <f t="shared" si="11"/>
        <v>内部装修</v>
      </c>
      <c r="R36" s="704" t="s">
        <v>14</v>
      </c>
      <c r="S36" s="705">
        <f t="shared" si="12"/>
        <v>100</v>
      </c>
      <c r="T36" s="704" t="s">
        <v>14</v>
      </c>
      <c r="U36" s="705">
        <f t="shared" si="13"/>
        <v>100</v>
      </c>
      <c r="V36" s="704" t="s">
        <v>14</v>
      </c>
      <c r="W36" s="705">
        <f t="shared" si="14"/>
        <v>100</v>
      </c>
      <c r="X36" s="1350"/>
      <c r="Y36" s="3817"/>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817"/>
      <c r="Q37" s="1347" t="str">
        <f t="shared" si="11"/>
        <v>内部装修状况</v>
      </c>
      <c r="R37" s="704" t="s">
        <v>14</v>
      </c>
      <c r="S37" s="705">
        <f t="shared" si="12"/>
        <v>100</v>
      </c>
      <c r="T37" s="704" t="s">
        <v>14</v>
      </c>
      <c r="U37" s="705">
        <f t="shared" si="13"/>
        <v>100</v>
      </c>
      <c r="V37" s="704" t="s">
        <v>14</v>
      </c>
      <c r="W37" s="705">
        <f t="shared" si="14"/>
        <v>100</v>
      </c>
      <c r="X37" s="1350"/>
      <c r="Y37" s="3817"/>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817"/>
      <c r="Q38" s="706">
        <f t="shared" si="11"/>
        <v>111</v>
      </c>
      <c r="R38" s="707" t="s">
        <v>14</v>
      </c>
      <c r="S38" s="708">
        <f t="shared" si="12"/>
        <v>100</v>
      </c>
      <c r="T38" s="707" t="s">
        <v>14</v>
      </c>
      <c r="U38" s="708">
        <f t="shared" si="13"/>
        <v>100</v>
      </c>
      <c r="V38" s="707" t="s">
        <v>14</v>
      </c>
      <c r="W38" s="708">
        <f t="shared" si="14"/>
        <v>100</v>
      </c>
      <c r="X38" s="709"/>
      <c r="Y38" s="3817"/>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817"/>
      <c r="Q39" s="1347">
        <f t="shared" si="11"/>
        <v>111</v>
      </c>
      <c r="R39" s="704" t="s">
        <v>14</v>
      </c>
      <c r="S39" s="705">
        <f t="shared" si="12"/>
        <v>100</v>
      </c>
      <c r="T39" s="704" t="s">
        <v>14</v>
      </c>
      <c r="U39" s="705">
        <f t="shared" si="13"/>
        <v>100</v>
      </c>
      <c r="V39" s="704" t="s">
        <v>14</v>
      </c>
      <c r="W39" s="705">
        <f t="shared" si="14"/>
        <v>100</v>
      </c>
      <c r="X39" s="1350"/>
      <c r="Y39" s="3817"/>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818"/>
      <c r="Q40" s="1347">
        <f t="shared" si="11"/>
        <v>111</v>
      </c>
      <c r="R40" s="704" t="s">
        <v>14</v>
      </c>
      <c r="S40" s="705">
        <f t="shared" si="12"/>
        <v>100</v>
      </c>
      <c r="T40" s="704" t="s">
        <v>14</v>
      </c>
      <c r="U40" s="705">
        <f t="shared" si="13"/>
        <v>100</v>
      </c>
      <c r="V40" s="704" t="s">
        <v>14</v>
      </c>
      <c r="W40" s="705">
        <f t="shared" si="14"/>
        <v>100</v>
      </c>
      <c r="X40" s="1350"/>
      <c r="Y40" s="3818"/>
      <c r="Z40" s="1351">
        <f t="shared" si="15"/>
        <v>111</v>
      </c>
      <c r="AA40" s="1348">
        <f t="shared" si="3"/>
        <v>1</v>
      </c>
      <c r="AB40" s="1348">
        <f t="shared" si="4"/>
        <v>1</v>
      </c>
      <c r="AC40" s="1348">
        <f t="shared" si="5"/>
        <v>1</v>
      </c>
    </row>
    <row r="41" spans="1:29" ht="15">
      <c r="A41" s="430" t="s">
        <v>1692</v>
      </c>
      <c r="B41" s="431"/>
      <c r="C41" s="1150" t="s">
        <v>0</v>
      </c>
      <c r="D41" s="1151"/>
      <c r="E41" s="1152"/>
      <c r="F41" s="1153"/>
      <c r="G41" s="1154"/>
      <c r="H41" s="1155"/>
      <c r="I41" s="1152"/>
      <c r="J41" s="1155"/>
      <c r="K41" s="713"/>
      <c r="L41" s="922"/>
      <c r="M41" s="923"/>
      <c r="N41" s="910"/>
      <c r="O41" s="923"/>
      <c r="P41" s="3819" t="str">
        <f>A41</f>
        <v>成交单价（元/平方米）</v>
      </c>
      <c r="Q41" s="3819"/>
      <c r="R41" s="3820">
        <f>E41</f>
        <v>0</v>
      </c>
      <c r="S41" s="3820"/>
      <c r="T41" s="3820">
        <f>G41</f>
        <v>0</v>
      </c>
      <c r="U41" s="3820"/>
      <c r="V41" s="3820">
        <f>I41</f>
        <v>0</v>
      </c>
      <c r="W41" s="3820"/>
      <c r="X41" s="689"/>
      <c r="Y41" s="711"/>
      <c r="Z41" s="689"/>
      <c r="AA41" s="689"/>
      <c r="AB41" s="689"/>
      <c r="AC41" s="689"/>
    </row>
    <row r="42" spans="1:29" ht="15.7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819" t="str">
        <f>A42</f>
        <v>比较价值（元/平方米）</v>
      </c>
      <c r="Q42" s="3819"/>
      <c r="R42" s="3820" t="e">
        <f>IF(F1="售价",ROUND(PRODUCT(R41,AA7:AA40),0),ROUND(PRODUCT(R41,AA7:AA40),1))</f>
        <v>#DIV/0!</v>
      </c>
      <c r="S42" s="3820"/>
      <c r="T42" s="3820" t="e">
        <f>IF(F1="售价",ROUND(PRODUCT(T41,AB7:AB40),0),ROUND(PRODUCT(T41,AB7:AB40),1))</f>
        <v>#DIV/0!</v>
      </c>
      <c r="U42" s="3820"/>
      <c r="V42" s="3820" t="e">
        <f>IF(F1="售价",ROUND(PRODUCT(V41,AC7:AC40),0),ROUND(PRODUCT(V41,AC7:AC40),1))</f>
        <v>#DIV/0!</v>
      </c>
      <c r="W42" s="3820"/>
      <c r="X42" s="689"/>
      <c r="Y42" s="689"/>
      <c r="Z42" s="689"/>
      <c r="AA42" s="689"/>
      <c r="AB42" s="689"/>
      <c r="AC42" s="689"/>
    </row>
    <row r="43" spans="1:29" ht="15.75" thickBot="1">
      <c r="A43" s="441" t="s">
        <v>1778</v>
      </c>
      <c r="B43" s="442"/>
      <c r="C43" s="1159" t="e">
        <f>R43</f>
        <v>#DIV/0!</v>
      </c>
      <c r="D43" s="1159"/>
      <c r="E43" s="1159"/>
      <c r="F43" s="1159"/>
      <c r="G43" s="1159"/>
      <c r="H43" s="1159"/>
      <c r="I43" s="1159"/>
      <c r="J43" s="1159"/>
      <c r="K43" s="714"/>
      <c r="L43" s="922"/>
      <c r="M43" s="923"/>
      <c r="N43" s="923"/>
      <c r="O43" s="923"/>
      <c r="P43" s="3831" t="str">
        <f>A43</f>
        <v>估价对象XX用房的比较价值（楼面单价，元/平方米）</v>
      </c>
      <c r="Q43" s="3832"/>
      <c r="R43" s="3833" t="e">
        <f>IF(F1="售价",ROUND(IF(D42="简单平均",AVERAGE(R42:V42),R42*F42+T42*H42+V42*J42),0),ROUND(IF(D42="简单平均",AVERAGE(R42:V42),R42*F42+T42*H42+V42*J42),1))</f>
        <v>#DIV/0!</v>
      </c>
      <c r="S43" s="3833"/>
      <c r="T43" s="3833"/>
      <c r="U43" s="3833"/>
      <c r="V43" s="3833"/>
      <c r="W43" s="3833"/>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1.75" thickBot="1">
      <c r="A51" s="693" t="s">
        <v>1782</v>
      </c>
      <c r="B51" s="689"/>
      <c r="C51" s="694"/>
      <c r="D51" s="694"/>
      <c r="E51" s="694"/>
      <c r="F51" s="695"/>
      <c r="G51" s="695"/>
      <c r="H51" s="694"/>
      <c r="I51" s="694"/>
      <c r="J51" s="694"/>
      <c r="K51" s="937"/>
      <c r="L51" s="938"/>
      <c r="M51" s="936"/>
      <c r="N51" s="936"/>
      <c r="O51" s="936"/>
      <c r="P51" s="452"/>
      <c r="Q51" s="453"/>
    </row>
    <row r="52" spans="1:17" s="457" customFormat="1" ht="15">
      <c r="A52" s="454" t="s">
        <v>1663</v>
      </c>
      <c r="B52" s="455"/>
      <c r="C52" s="1179" t="str">
        <f>YEAR(C7)&amp;"-"&amp;MONTH(C7)</f>
        <v>2024-1</v>
      </c>
      <c r="D52" s="1180">
        <f>EDATE(C52,-1)</f>
        <v>45261</v>
      </c>
      <c r="E52" s="1180">
        <f t="shared" ref="E52:O52" si="16">EDATE(D52,-1)</f>
        <v>45231</v>
      </c>
      <c r="F52" s="1180">
        <f t="shared" si="16"/>
        <v>45200</v>
      </c>
      <c r="G52" s="1180">
        <f t="shared" si="16"/>
        <v>45170</v>
      </c>
      <c r="H52" s="1180">
        <f t="shared" si="16"/>
        <v>45139</v>
      </c>
      <c r="I52" s="1180">
        <f t="shared" si="16"/>
        <v>45108</v>
      </c>
      <c r="J52" s="1180">
        <f t="shared" si="16"/>
        <v>45078</v>
      </c>
      <c r="K52" s="1180">
        <f t="shared" si="16"/>
        <v>45047</v>
      </c>
      <c r="L52" s="1180">
        <f t="shared" si="16"/>
        <v>45017</v>
      </c>
      <c r="M52" s="1180">
        <f t="shared" si="16"/>
        <v>44986</v>
      </c>
      <c r="N52" s="1180">
        <f t="shared" si="16"/>
        <v>44958</v>
      </c>
      <c r="O52" s="1180">
        <f t="shared" si="16"/>
        <v>44927</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1"/>
      <c r="O54" s="2742"/>
      <c r="P54" s="453"/>
      <c r="Q54" s="453"/>
    </row>
    <row r="55" spans="1:17" s="108" customFormat="1" ht="15">
      <c r="A55" s="470" t="s">
        <v>1665</v>
      </c>
      <c r="B55" s="459"/>
      <c r="C55" s="471" t="s">
        <v>1760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1703</v>
      </c>
      <c r="B57" s="477" t="s">
        <v>1669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1672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1678</v>
      </c>
      <c r="B88" s="477" t="s">
        <v>1720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3315</v>
      </c>
      <c r="C1" s="1219" t="s">
        <v>1646</v>
      </c>
      <c r="D1" s="1220"/>
      <c r="E1" s="3403"/>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5">
      <c r="A4" s="355" t="s">
        <v>1753</v>
      </c>
      <c r="B4" s="356"/>
      <c r="C4" s="3793" t="s">
        <v>1754</v>
      </c>
      <c r="D4" s="3794"/>
      <c r="E4" s="3795" t="s">
        <v>1755</v>
      </c>
      <c r="F4" s="3796"/>
      <c r="G4" s="3793" t="s">
        <v>1756</v>
      </c>
      <c r="H4" s="3794"/>
      <c r="I4" s="3793" t="s">
        <v>1757</v>
      </c>
      <c r="J4" s="3794"/>
      <c r="K4" s="559" t="s">
        <v>1758</v>
      </c>
      <c r="L4" s="2686"/>
      <c r="M4" s="2687"/>
      <c r="N4" s="2687"/>
      <c r="O4" s="2687"/>
      <c r="P4" s="3827" t="s">
        <v>1759</v>
      </c>
      <c r="Q4" s="3828"/>
      <c r="R4" s="3825" t="s">
        <v>1755</v>
      </c>
      <c r="S4" s="3826"/>
      <c r="T4" s="3825" t="s">
        <v>1756</v>
      </c>
      <c r="U4" s="3826"/>
      <c r="V4" s="3806" t="s">
        <v>1757</v>
      </c>
      <c r="W4" s="3806"/>
      <c r="X4" s="1350"/>
      <c r="Y4" s="3825" t="s">
        <v>1759</v>
      </c>
      <c r="Z4" s="3826"/>
      <c r="AA4" s="3824" t="s">
        <v>1755</v>
      </c>
      <c r="AB4" s="3773" t="s">
        <v>1756</v>
      </c>
      <c r="AC4" s="3824" t="s">
        <v>1757</v>
      </c>
    </row>
    <row r="5" spans="1:29" ht="15">
      <c r="A5" s="358"/>
      <c r="B5" s="359"/>
      <c r="C5" s="3783" t="s">
        <v>1657</v>
      </c>
      <c r="D5" s="3784"/>
      <c r="E5" s="3781" t="s">
        <v>1658</v>
      </c>
      <c r="F5" s="3782"/>
      <c r="G5" s="3783" t="s">
        <v>1659</v>
      </c>
      <c r="H5" s="3784"/>
      <c r="I5" s="3783" t="s">
        <v>1660</v>
      </c>
      <c r="J5" s="3784"/>
      <c r="K5" s="559"/>
      <c r="L5" s="2686"/>
      <c r="M5" s="2687"/>
      <c r="N5" s="2687"/>
      <c r="O5" s="2687"/>
      <c r="P5" s="3829"/>
      <c r="Q5" s="3800"/>
      <c r="R5" s="3779"/>
      <c r="S5" s="3780"/>
      <c r="T5" s="3779"/>
      <c r="U5" s="3780"/>
      <c r="V5" s="3806"/>
      <c r="W5" s="3806"/>
      <c r="X5" s="1350"/>
      <c r="Y5" s="3779"/>
      <c r="Z5" s="3780"/>
      <c r="AA5" s="3773"/>
      <c r="AB5" s="3773"/>
      <c r="AC5" s="3773"/>
    </row>
    <row r="6" spans="1:29" ht="15.75" thickBot="1">
      <c r="A6" s="360"/>
      <c r="B6" s="361"/>
      <c r="C6" s="3785" t="s">
        <v>1661</v>
      </c>
      <c r="D6" s="3786"/>
      <c r="E6" s="3787" t="s">
        <v>1661</v>
      </c>
      <c r="F6" s="3788"/>
      <c r="G6" s="3785" t="s">
        <v>1661</v>
      </c>
      <c r="H6" s="3786"/>
      <c r="I6" s="3785" t="s">
        <v>1661</v>
      </c>
      <c r="J6" s="3786"/>
      <c r="K6" s="559" t="s">
        <v>1662</v>
      </c>
      <c r="L6" s="2686"/>
      <c r="M6" s="2687"/>
      <c r="N6" s="2687"/>
      <c r="O6" s="2687"/>
      <c r="P6" s="3830"/>
      <c r="Q6" s="3802"/>
      <c r="R6" s="3779"/>
      <c r="S6" s="3780"/>
      <c r="T6" s="3803"/>
      <c r="U6" s="3804"/>
      <c r="V6" s="3806"/>
      <c r="W6" s="3806"/>
      <c r="X6" s="1350"/>
      <c r="Y6" s="3803"/>
      <c r="Z6" s="3804"/>
      <c r="AA6" s="3774"/>
      <c r="AB6" s="3774"/>
      <c r="AC6" s="3774"/>
    </row>
    <row r="7" spans="1:29" s="108" customFormat="1" ht="15.75" thickBot="1">
      <c r="A7" s="362" t="s">
        <v>1663</v>
      </c>
      <c r="B7" s="363"/>
      <c r="C7" s="364">
        <f>'数据-取费表'!B2</f>
        <v>45309</v>
      </c>
      <c r="D7" s="365">
        <v>100</v>
      </c>
      <c r="E7" s="366"/>
      <c r="F7" s="367">
        <f>SUMIF(48:48,YEAR(E7)&amp;"-"&amp;MONTH(E7),49:49)</f>
        <v>0</v>
      </c>
      <c r="G7" s="366"/>
      <c r="H7" s="365">
        <f>SUMIF(48:48,YEAR(G7)&amp;"-"&amp;MONTH(G7),49:49)</f>
        <v>0</v>
      </c>
      <c r="I7" s="366"/>
      <c r="J7" s="365">
        <f>SUMIF(48:48,YEAR(I7)&amp;"-"&amp;MONTH(I7),49:49)</f>
        <v>0</v>
      </c>
      <c r="K7" s="560"/>
      <c r="L7" s="2688"/>
      <c r="M7" s="2689"/>
      <c r="N7" s="2689"/>
      <c r="O7" s="2689"/>
      <c r="P7" s="3775" t="s">
        <v>1664</v>
      </c>
      <c r="Q7" s="3809"/>
      <c r="R7" s="700" t="s">
        <v>14</v>
      </c>
      <c r="S7" s="701">
        <f t="shared" ref="S7:S14" si="0">F7</f>
        <v>0</v>
      </c>
      <c r="T7" s="700" t="s">
        <v>14</v>
      </c>
      <c r="U7" s="701">
        <f t="shared" ref="U7:U14" si="1">H7</f>
        <v>0</v>
      </c>
      <c r="V7" s="700" t="s">
        <v>14</v>
      </c>
      <c r="W7" s="701">
        <f t="shared" ref="W7:W14" si="2">J7</f>
        <v>0</v>
      </c>
      <c r="X7" s="702"/>
      <c r="Y7" s="3775" t="s">
        <v>1664</v>
      </c>
      <c r="Z7" s="3776"/>
      <c r="AA7" s="703" t="e">
        <f>D7/F7</f>
        <v>#DIV/0!</v>
      </c>
      <c r="AB7" s="703" t="e">
        <f>D7/H7</f>
        <v>#DIV/0!</v>
      </c>
      <c r="AC7" s="703"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775" t="s">
        <v>1667</v>
      </c>
      <c r="Q8" s="3776"/>
      <c r="R8" s="700" t="s">
        <v>14</v>
      </c>
      <c r="S8" s="701">
        <f t="shared" si="0"/>
        <v>100</v>
      </c>
      <c r="T8" s="700" t="s">
        <v>14</v>
      </c>
      <c r="U8" s="701">
        <f t="shared" si="1"/>
        <v>100</v>
      </c>
      <c r="V8" s="700" t="s">
        <v>14</v>
      </c>
      <c r="W8" s="701">
        <f t="shared" si="2"/>
        <v>100</v>
      </c>
      <c r="X8" s="702"/>
      <c r="Y8" s="3775" t="s">
        <v>1667</v>
      </c>
      <c r="Z8" s="3776"/>
      <c r="AA8" s="703">
        <f t="shared" ref="AA8:AA36" si="3">D8/F8</f>
        <v>1</v>
      </c>
      <c r="AB8" s="703">
        <f t="shared" ref="AB8:AB36" si="4">D8/H8</f>
        <v>1</v>
      </c>
      <c r="AC8" s="703">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819" t="s">
        <v>1670</v>
      </c>
      <c r="Q9" s="1338" t="str">
        <f t="shared" ref="Q9:Q14" si="6">B9</f>
        <v>用途</v>
      </c>
      <c r="R9" s="700" t="s">
        <v>14</v>
      </c>
      <c r="S9" s="701">
        <f t="shared" si="0"/>
        <v>100</v>
      </c>
      <c r="T9" s="700" t="s">
        <v>14</v>
      </c>
      <c r="U9" s="701">
        <f t="shared" si="1"/>
        <v>100</v>
      </c>
      <c r="V9" s="700" t="s">
        <v>14</v>
      </c>
      <c r="W9" s="701">
        <f t="shared" si="2"/>
        <v>100</v>
      </c>
      <c r="X9" s="702"/>
      <c r="Y9" s="3721" t="s">
        <v>1671</v>
      </c>
      <c r="Z9" s="52" t="str">
        <f t="shared" ref="Z9:Z14" si="7">Q9</f>
        <v>用途</v>
      </c>
      <c r="AA9" s="703">
        <f t="shared" si="3"/>
        <v>1</v>
      </c>
      <c r="AB9" s="703">
        <f t="shared" si="4"/>
        <v>1</v>
      </c>
      <c r="AC9" s="703">
        <f t="shared" si="5"/>
        <v>1</v>
      </c>
    </row>
    <row r="10" spans="1:29" s="378" customFormat="1" ht="27">
      <c r="A10" s="589"/>
      <c r="B10" s="590" t="s">
        <v>1672</v>
      </c>
      <c r="C10" s="3404"/>
      <c r="D10" s="127">
        <v>100</v>
      </c>
      <c r="E10" s="3404"/>
      <c r="F10" s="127">
        <f>SUMIF(55:55,E10,56:56)-SUMIF(55:55,C10,56:56)+100</f>
        <v>100</v>
      </c>
      <c r="G10" s="3405"/>
      <c r="H10" s="127">
        <f>SUMIF(55:55,G10,56:56)-SUMIF(55:55,C10,56:56)+100</f>
        <v>100</v>
      </c>
      <c r="I10" s="3404"/>
      <c r="J10" s="127">
        <f>SUMIF(55:55,I10,56:56)-SUMIF(55:55,C10,56:56)+100</f>
        <v>100</v>
      </c>
      <c r="K10" s="560"/>
      <c r="L10" s="2690"/>
      <c r="M10" s="2691"/>
      <c r="N10" s="2691"/>
      <c r="O10" s="2691"/>
      <c r="P10" s="3819"/>
      <c r="Q10" s="1338" t="str">
        <f t="shared" si="6"/>
        <v>土地使用年限（年）</v>
      </c>
      <c r="R10" s="700" t="s">
        <v>14</v>
      </c>
      <c r="S10" s="701">
        <f t="shared" si="0"/>
        <v>100</v>
      </c>
      <c r="T10" s="700" t="s">
        <v>14</v>
      </c>
      <c r="U10" s="701">
        <f t="shared" si="1"/>
        <v>100</v>
      </c>
      <c r="V10" s="700" t="s">
        <v>14</v>
      </c>
      <c r="W10" s="701">
        <f t="shared" si="2"/>
        <v>100</v>
      </c>
      <c r="X10" s="702"/>
      <c r="Y10" s="372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819"/>
      <c r="Q11" s="1338">
        <f t="shared" si="6"/>
        <v>111</v>
      </c>
      <c r="R11" s="700" t="s">
        <v>14</v>
      </c>
      <c r="S11" s="701">
        <f t="shared" si="0"/>
        <v>100</v>
      </c>
      <c r="T11" s="700" t="s">
        <v>14</v>
      </c>
      <c r="U11" s="701">
        <f t="shared" si="1"/>
        <v>100</v>
      </c>
      <c r="V11" s="700" t="s">
        <v>14</v>
      </c>
      <c r="W11" s="701">
        <f t="shared" si="2"/>
        <v>100</v>
      </c>
      <c r="X11" s="702"/>
      <c r="Y11" s="372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819"/>
      <c r="Q12" s="1338">
        <f t="shared" si="6"/>
        <v>111</v>
      </c>
      <c r="R12" s="700" t="s">
        <v>14</v>
      </c>
      <c r="S12" s="701">
        <f t="shared" si="0"/>
        <v>100</v>
      </c>
      <c r="T12" s="700" t="s">
        <v>14</v>
      </c>
      <c r="U12" s="701">
        <f t="shared" si="1"/>
        <v>100</v>
      </c>
      <c r="V12" s="700" t="s">
        <v>14</v>
      </c>
      <c r="W12" s="701">
        <f t="shared" si="2"/>
        <v>100</v>
      </c>
      <c r="X12" s="702"/>
      <c r="Y12" s="3721"/>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819"/>
      <c r="Q13" s="1338">
        <f t="shared" si="6"/>
        <v>111</v>
      </c>
      <c r="R13" s="700" t="s">
        <v>14</v>
      </c>
      <c r="S13" s="701">
        <f t="shared" si="0"/>
        <v>100</v>
      </c>
      <c r="T13" s="700" t="s">
        <v>14</v>
      </c>
      <c r="U13" s="701">
        <f t="shared" si="1"/>
        <v>100</v>
      </c>
      <c r="V13" s="700" t="s">
        <v>14</v>
      </c>
      <c r="W13" s="701">
        <f t="shared" si="2"/>
        <v>100</v>
      </c>
      <c r="X13" s="702"/>
      <c r="Y13" s="3721"/>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812" t="s">
        <v>1675</v>
      </c>
      <c r="Q14" s="1347" t="str">
        <f t="shared" si="6"/>
        <v>交通便捷度</v>
      </c>
      <c r="R14" s="704" t="s">
        <v>14</v>
      </c>
      <c r="S14" s="705">
        <f t="shared" si="0"/>
        <v>100</v>
      </c>
      <c r="T14" s="704" t="s">
        <v>14</v>
      </c>
      <c r="U14" s="705">
        <f t="shared" si="1"/>
        <v>100</v>
      </c>
      <c r="V14" s="704" t="s">
        <v>14</v>
      </c>
      <c r="W14" s="705">
        <f t="shared" si="2"/>
        <v>100</v>
      </c>
      <c r="X14" s="1350"/>
      <c r="Y14" s="3812"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813"/>
      <c r="Q15" s="1347"/>
      <c r="R15" s="704"/>
      <c r="S15" s="705"/>
      <c r="T15" s="704"/>
      <c r="U15" s="705"/>
      <c r="V15" s="704"/>
      <c r="W15" s="705"/>
      <c r="X15" s="1350"/>
      <c r="Y15" s="3813"/>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813"/>
      <c r="Q16" s="1347" t="str">
        <f>B16</f>
        <v>公共配套设施</v>
      </c>
      <c r="R16" s="704" t="s">
        <v>14</v>
      </c>
      <c r="S16" s="705">
        <f>F16</f>
        <v>100</v>
      </c>
      <c r="T16" s="704" t="s">
        <v>14</v>
      </c>
      <c r="U16" s="705">
        <f>H16</f>
        <v>100</v>
      </c>
      <c r="V16" s="704" t="s">
        <v>14</v>
      </c>
      <c r="W16" s="705">
        <f>J16</f>
        <v>100</v>
      </c>
      <c r="X16" s="1350"/>
      <c r="Y16" s="3813"/>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813"/>
      <c r="Q17" s="1347"/>
      <c r="R17" s="704"/>
      <c r="S17" s="705"/>
      <c r="T17" s="704"/>
      <c r="U17" s="705"/>
      <c r="V17" s="704"/>
      <c r="W17" s="705"/>
      <c r="X17" s="1350"/>
      <c r="Y17" s="3813"/>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813"/>
      <c r="Q18" s="1347" t="str">
        <f>B18</f>
        <v>基础设施水平</v>
      </c>
      <c r="R18" s="704" t="s">
        <v>14</v>
      </c>
      <c r="S18" s="705">
        <f>F18</f>
        <v>100</v>
      </c>
      <c r="T18" s="704" t="s">
        <v>14</v>
      </c>
      <c r="U18" s="705">
        <f>H18</f>
        <v>100</v>
      </c>
      <c r="V18" s="704" t="s">
        <v>14</v>
      </c>
      <c r="W18" s="705">
        <f>J18</f>
        <v>100</v>
      </c>
      <c r="X18" s="1350"/>
      <c r="Y18" s="3813"/>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813"/>
      <c r="Q19" s="1347"/>
      <c r="R19" s="704"/>
      <c r="S19" s="705"/>
      <c r="T19" s="704"/>
      <c r="U19" s="705"/>
      <c r="V19" s="704"/>
      <c r="W19" s="705"/>
      <c r="X19" s="1350"/>
      <c r="Y19" s="3813"/>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813"/>
      <c r="Q20" s="1347" t="str">
        <f>B20</f>
        <v>自然及人文环境</v>
      </c>
      <c r="R20" s="704" t="s">
        <v>14</v>
      </c>
      <c r="S20" s="705">
        <f>F20</f>
        <v>100</v>
      </c>
      <c r="T20" s="704" t="s">
        <v>14</v>
      </c>
      <c r="U20" s="705">
        <f>H20</f>
        <v>100</v>
      </c>
      <c r="V20" s="704" t="s">
        <v>14</v>
      </c>
      <c r="W20" s="705">
        <f>J20</f>
        <v>100</v>
      </c>
      <c r="X20" s="1350"/>
      <c r="Y20" s="3813"/>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813"/>
      <c r="Q21" s="1347"/>
      <c r="R21" s="704"/>
      <c r="S21" s="705"/>
      <c r="T21" s="704"/>
      <c r="U21" s="705"/>
      <c r="V21" s="704"/>
      <c r="W21" s="705"/>
      <c r="X21" s="1350"/>
      <c r="Y21" s="3813"/>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813"/>
      <c r="Q22" s="1347" t="str">
        <f>B22</f>
        <v>楼层</v>
      </c>
      <c r="R22" s="704" t="s">
        <v>14</v>
      </c>
      <c r="S22" s="705">
        <f>F22</f>
        <v>100</v>
      </c>
      <c r="T22" s="704" t="s">
        <v>14</v>
      </c>
      <c r="U22" s="705">
        <f>H22</f>
        <v>100</v>
      </c>
      <c r="V22" s="704" t="s">
        <v>14</v>
      </c>
      <c r="W22" s="705">
        <f>J22</f>
        <v>100</v>
      </c>
      <c r="X22" s="1350"/>
      <c r="Y22" s="3813"/>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813"/>
      <c r="Q23" s="1347">
        <f>B23</f>
        <v>111</v>
      </c>
      <c r="R23" s="704" t="s">
        <v>14</v>
      </c>
      <c r="S23" s="705">
        <f>F23</f>
        <v>100</v>
      </c>
      <c r="T23" s="704" t="s">
        <v>14</v>
      </c>
      <c r="U23" s="705">
        <f>H23</f>
        <v>100</v>
      </c>
      <c r="V23" s="704" t="s">
        <v>14</v>
      </c>
      <c r="W23" s="705">
        <f>J23</f>
        <v>100</v>
      </c>
      <c r="X23" s="1350"/>
      <c r="Y23" s="3813"/>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813"/>
      <c r="Q24" s="1347">
        <f t="shared" ref="Q24:Q36" si="11">B24</f>
        <v>111</v>
      </c>
      <c r="R24" s="704" t="s">
        <v>14</v>
      </c>
      <c r="S24" s="705">
        <f>F24</f>
        <v>100</v>
      </c>
      <c r="T24" s="704" t="s">
        <v>14</v>
      </c>
      <c r="U24" s="705">
        <f>H24</f>
        <v>100</v>
      </c>
      <c r="V24" s="704" t="s">
        <v>14</v>
      </c>
      <c r="W24" s="705">
        <f>J24</f>
        <v>100</v>
      </c>
      <c r="X24" s="1350"/>
      <c r="Y24" s="3813"/>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813"/>
      <c r="Q25" s="1338">
        <f t="shared" si="11"/>
        <v>111</v>
      </c>
      <c r="R25" s="700" t="s">
        <v>14</v>
      </c>
      <c r="S25" s="701">
        <f>F25</f>
        <v>100</v>
      </c>
      <c r="T25" s="700" t="s">
        <v>14</v>
      </c>
      <c r="U25" s="701">
        <f>H25</f>
        <v>100</v>
      </c>
      <c r="V25" s="700" t="s">
        <v>14</v>
      </c>
      <c r="W25" s="701">
        <f>J25</f>
        <v>100</v>
      </c>
      <c r="X25" s="702"/>
      <c r="Y25" s="3813"/>
      <c r="Z25" s="52">
        <f>Q25</f>
        <v>111</v>
      </c>
      <c r="AA25" s="1348">
        <f>D25/F25</f>
        <v>1</v>
      </c>
      <c r="AB25" s="1348">
        <f>D25/H25</f>
        <v>1</v>
      </c>
      <c r="AC25" s="1348">
        <f>D25/J25</f>
        <v>1</v>
      </c>
    </row>
    <row r="26" spans="1:29" ht="28.5">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34"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817"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817"/>
      <c r="Q27" s="706" t="str">
        <f t="shared" si="11"/>
        <v>项目停车位配比</v>
      </c>
      <c r="R27" s="707" t="s">
        <v>14</v>
      </c>
      <c r="S27" s="708">
        <f t="shared" si="12"/>
        <v>100</v>
      </c>
      <c r="T27" s="707" t="s">
        <v>14</v>
      </c>
      <c r="U27" s="708">
        <f t="shared" si="13"/>
        <v>100</v>
      </c>
      <c r="V27" s="707" t="s">
        <v>14</v>
      </c>
      <c r="W27" s="708">
        <f t="shared" si="14"/>
        <v>100</v>
      </c>
      <c r="X27" s="709"/>
      <c r="Y27" s="3817"/>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817"/>
      <c r="Q28" s="1347" t="str">
        <f t="shared" si="11"/>
        <v>公共部分装修</v>
      </c>
      <c r="R28" s="704" t="s">
        <v>14</v>
      </c>
      <c r="S28" s="705">
        <f t="shared" si="12"/>
        <v>100</v>
      </c>
      <c r="T28" s="704" t="s">
        <v>14</v>
      </c>
      <c r="U28" s="705">
        <f t="shared" si="13"/>
        <v>100</v>
      </c>
      <c r="V28" s="704" t="s">
        <v>14</v>
      </c>
      <c r="W28" s="705">
        <f t="shared" si="14"/>
        <v>100</v>
      </c>
      <c r="X28" s="1350"/>
      <c r="Y28" s="3817"/>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817"/>
      <c r="Q29" s="1347" t="str">
        <f t="shared" si="11"/>
        <v>成新率</v>
      </c>
      <c r="R29" s="704" t="s">
        <v>14</v>
      </c>
      <c r="S29" s="705" t="e">
        <f t="shared" si="12"/>
        <v>#N/A</v>
      </c>
      <c r="T29" s="704" t="s">
        <v>14</v>
      </c>
      <c r="U29" s="705" t="e">
        <f t="shared" si="13"/>
        <v>#N/A</v>
      </c>
      <c r="V29" s="704" t="s">
        <v>14</v>
      </c>
      <c r="W29" s="705" t="e">
        <f t="shared" si="14"/>
        <v>#N/A</v>
      </c>
      <c r="X29" s="1350"/>
      <c r="Y29" s="3817"/>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817"/>
      <c r="Q30" s="1347" t="str">
        <f t="shared" si="11"/>
        <v>物业等级</v>
      </c>
      <c r="R30" s="704" t="s">
        <v>14</v>
      </c>
      <c r="S30" s="705">
        <f t="shared" si="12"/>
        <v>100</v>
      </c>
      <c r="T30" s="704" t="s">
        <v>14</v>
      </c>
      <c r="U30" s="705">
        <f t="shared" si="13"/>
        <v>100</v>
      </c>
      <c r="V30" s="704" t="s">
        <v>14</v>
      </c>
      <c r="W30" s="705">
        <f t="shared" si="14"/>
        <v>100</v>
      </c>
      <c r="X30" s="1350"/>
      <c r="Y30" s="3817"/>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817"/>
      <c r="Q31" s="1338" t="str">
        <f t="shared" si="11"/>
        <v>停车位面积</v>
      </c>
      <c r="R31" s="700" t="s">
        <v>14</v>
      </c>
      <c r="S31" s="701" t="e">
        <f t="shared" si="12"/>
        <v>#N/A</v>
      </c>
      <c r="T31" s="700" t="s">
        <v>14</v>
      </c>
      <c r="U31" s="701" t="e">
        <f t="shared" si="13"/>
        <v>#N/A</v>
      </c>
      <c r="V31" s="700" t="s">
        <v>14</v>
      </c>
      <c r="W31" s="701" t="e">
        <f t="shared" si="14"/>
        <v>#N/A</v>
      </c>
      <c r="X31" s="702"/>
      <c r="Y31" s="3817"/>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817" t="s">
        <v>1680</v>
      </c>
      <c r="Q32" s="1347" t="str">
        <f t="shared" si="11"/>
        <v>车位类型</v>
      </c>
      <c r="R32" s="704" t="s">
        <v>14</v>
      </c>
      <c r="S32" s="705">
        <f t="shared" si="12"/>
        <v>100</v>
      </c>
      <c r="T32" s="704" t="s">
        <v>14</v>
      </c>
      <c r="U32" s="705">
        <f t="shared" si="13"/>
        <v>100</v>
      </c>
      <c r="V32" s="704" t="s">
        <v>14</v>
      </c>
      <c r="W32" s="705">
        <f t="shared" si="14"/>
        <v>100</v>
      </c>
      <c r="X32" s="1350"/>
      <c r="Y32" s="3817"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817"/>
      <c r="Q33" s="1347" t="str">
        <f t="shared" si="11"/>
        <v>是否直接入户</v>
      </c>
      <c r="R33" s="704" t="s">
        <v>14</v>
      </c>
      <c r="S33" s="705">
        <f t="shared" si="12"/>
        <v>100</v>
      </c>
      <c r="T33" s="704" t="s">
        <v>14</v>
      </c>
      <c r="U33" s="705">
        <f t="shared" si="13"/>
        <v>100</v>
      </c>
      <c r="V33" s="704" t="s">
        <v>14</v>
      </c>
      <c r="W33" s="705">
        <f t="shared" si="14"/>
        <v>100</v>
      </c>
      <c r="X33" s="1350"/>
      <c r="Y33" s="3817"/>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817"/>
      <c r="Q34" s="1347">
        <f t="shared" si="11"/>
        <v>111</v>
      </c>
      <c r="R34" s="704" t="s">
        <v>14</v>
      </c>
      <c r="S34" s="705">
        <f t="shared" si="12"/>
        <v>100</v>
      </c>
      <c r="T34" s="704" t="s">
        <v>14</v>
      </c>
      <c r="U34" s="705">
        <f t="shared" si="13"/>
        <v>100</v>
      </c>
      <c r="V34" s="704" t="s">
        <v>14</v>
      </c>
      <c r="W34" s="705">
        <f t="shared" si="14"/>
        <v>100</v>
      </c>
      <c r="X34" s="1350"/>
      <c r="Y34" s="3817"/>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817"/>
      <c r="Q35" s="706">
        <f t="shared" si="11"/>
        <v>111</v>
      </c>
      <c r="R35" s="707" t="s">
        <v>14</v>
      </c>
      <c r="S35" s="708">
        <f t="shared" si="12"/>
        <v>100</v>
      </c>
      <c r="T35" s="707" t="s">
        <v>14</v>
      </c>
      <c r="U35" s="708">
        <f t="shared" si="13"/>
        <v>100</v>
      </c>
      <c r="V35" s="707" t="s">
        <v>14</v>
      </c>
      <c r="W35" s="708">
        <f t="shared" si="14"/>
        <v>100</v>
      </c>
      <c r="X35" s="709"/>
      <c r="Y35" s="3817"/>
      <c r="Z35" s="710">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817"/>
      <c r="Q36" s="1347">
        <f t="shared" si="11"/>
        <v>111</v>
      </c>
      <c r="R36" s="704" t="s">
        <v>14</v>
      </c>
      <c r="S36" s="705">
        <f t="shared" si="12"/>
        <v>100</v>
      </c>
      <c r="T36" s="704" t="s">
        <v>14</v>
      </c>
      <c r="U36" s="705">
        <f t="shared" si="13"/>
        <v>100</v>
      </c>
      <c r="V36" s="704" t="s">
        <v>14</v>
      </c>
      <c r="W36" s="705">
        <f t="shared" si="14"/>
        <v>100</v>
      </c>
      <c r="X36" s="1350"/>
      <c r="Y36" s="3817"/>
      <c r="Z36" s="1351">
        <f t="shared" si="15"/>
        <v>111</v>
      </c>
      <c r="AA36" s="1348">
        <f t="shared" si="3"/>
        <v>1</v>
      </c>
      <c r="AB36" s="1348">
        <f t="shared" si="4"/>
        <v>1</v>
      </c>
      <c r="AC36" s="1348">
        <f t="shared" si="5"/>
        <v>1</v>
      </c>
    </row>
    <row r="37" spans="1:29" ht="15">
      <c r="A37" s="430" t="s">
        <v>1828</v>
      </c>
      <c r="B37" s="1968" t="s">
        <v>3335</v>
      </c>
      <c r="C37" s="1150" t="s">
        <v>0</v>
      </c>
      <c r="D37" s="1151"/>
      <c r="E37" s="1152"/>
      <c r="F37" s="1153"/>
      <c r="G37" s="1154"/>
      <c r="H37" s="1155"/>
      <c r="I37" s="1152"/>
      <c r="J37" s="1155"/>
      <c r="K37" s="568"/>
      <c r="L37" s="2695"/>
      <c r="M37" s="2696"/>
      <c r="N37" s="2687"/>
      <c r="O37" s="2696"/>
      <c r="P37" s="3819" t="str">
        <f>A37</f>
        <v>成交单价</v>
      </c>
      <c r="Q37" s="3819"/>
      <c r="R37" s="3820">
        <f>E37</f>
        <v>0</v>
      </c>
      <c r="S37" s="3820"/>
      <c r="T37" s="3820">
        <f>G37</f>
        <v>0</v>
      </c>
      <c r="U37" s="3820"/>
      <c r="V37" s="3820">
        <f>I37</f>
        <v>0</v>
      </c>
      <c r="W37" s="3820"/>
      <c r="X37" s="689"/>
      <c r="Y37" s="711"/>
      <c r="Z37" s="689"/>
      <c r="AA37" s="689"/>
      <c r="AB37" s="689"/>
      <c r="AC37" s="689"/>
    </row>
    <row r="38" spans="1:29" ht="15.7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819" t="str">
        <f>A38</f>
        <v>比较价值（元/平方米）</v>
      </c>
      <c r="Q38" s="3819"/>
      <c r="R38" s="3820" t="e">
        <f>IF(F1="售价",ROUND(PRODUCT(R37,AA7:AA36),0),ROUND(PRODUCT(R37,AA7:AA36),1))</f>
        <v>#DIV/0!</v>
      </c>
      <c r="S38" s="3820"/>
      <c r="T38" s="3820" t="e">
        <f>IF(F1="售价",ROUND(PRODUCT(T37,AB7:AB36),0),ROUND(PRODUCT(T37,AB7:AB36),1))</f>
        <v>#DIV/0!</v>
      </c>
      <c r="U38" s="3820"/>
      <c r="V38" s="3820" t="e">
        <f>IF(F1="售价",ROUND(PRODUCT(V37,AC7:AC36),0),ROUND(PRODUCT(V37,AC7:AC36),1))</f>
        <v>#DIV/0!</v>
      </c>
      <c r="W38" s="3820"/>
      <c r="X38" s="689"/>
      <c r="Y38" s="689"/>
      <c r="Z38" s="689"/>
      <c r="AA38" s="689"/>
      <c r="AB38" s="689"/>
      <c r="AC38" s="689"/>
    </row>
    <row r="39" spans="1:29" ht="15.75" thickBot="1">
      <c r="A39" s="441" t="s">
        <v>1830</v>
      </c>
      <c r="B39" s="442"/>
      <c r="C39" s="1159" t="e">
        <f>R39</f>
        <v>#DIV/0!</v>
      </c>
      <c r="D39" s="1159"/>
      <c r="E39" s="1159"/>
      <c r="F39" s="1159"/>
      <c r="G39" s="1159"/>
      <c r="H39" s="1159"/>
      <c r="I39" s="1159"/>
      <c r="J39" s="1159"/>
      <c r="K39" s="569"/>
      <c r="L39" s="2695"/>
      <c r="M39" s="2696"/>
      <c r="N39" s="2696"/>
      <c r="O39" s="2696"/>
      <c r="P39" s="3831" t="str">
        <f>A39</f>
        <v>估价对象XX用房的比较价值（楼面单价，元/平方米）</v>
      </c>
      <c r="Q39" s="3832"/>
      <c r="R39" s="3835" t="e">
        <f>IF(F1="售价",ROUND(IF(D38="简单平均",AVERAGE(R38:W38),R38*F38+T38*H38+V38*J38),0),ROUND(IF(D38="简单平均",AVERAGE(R38:V38),R38*F38+T38*H38+V38*J38),1))</f>
        <v>#DIV/0!</v>
      </c>
      <c r="S39" s="3835"/>
      <c r="T39" s="3835"/>
      <c r="U39" s="3835"/>
      <c r="V39" s="3835"/>
      <c r="W39" s="3835"/>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1.75"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5">
      <c r="A48" s="454" t="s">
        <v>1835</v>
      </c>
      <c r="B48" s="455"/>
      <c r="C48" s="1179" t="str">
        <f>YEAR(C7)&amp;"-"&amp;MONTH(C7)</f>
        <v>2024-1</v>
      </c>
      <c r="D48" s="1180">
        <f>EDATE(C48,-1)</f>
        <v>45261</v>
      </c>
      <c r="E48" s="1180">
        <f t="shared" ref="E48:O48" si="16">EDATE(D48,-1)</f>
        <v>45231</v>
      </c>
      <c r="F48" s="1180">
        <f t="shared" si="16"/>
        <v>45200</v>
      </c>
      <c r="G48" s="1180">
        <f t="shared" si="16"/>
        <v>45170</v>
      </c>
      <c r="H48" s="1180">
        <f t="shared" si="16"/>
        <v>45139</v>
      </c>
      <c r="I48" s="1180">
        <f t="shared" si="16"/>
        <v>45108</v>
      </c>
      <c r="J48" s="1180">
        <f t="shared" si="16"/>
        <v>45078</v>
      </c>
      <c r="K48" s="1180">
        <f t="shared" si="16"/>
        <v>45047</v>
      </c>
      <c r="L48" s="1180">
        <f t="shared" si="16"/>
        <v>45017</v>
      </c>
      <c r="M48" s="1180">
        <f t="shared" si="16"/>
        <v>44986</v>
      </c>
      <c r="N48" s="1180">
        <f t="shared" si="16"/>
        <v>44958</v>
      </c>
      <c r="O48" s="1180">
        <f t="shared" si="16"/>
        <v>44927</v>
      </c>
      <c r="P48" s="2730"/>
      <c r="Q48" s="2712"/>
      <c r="R48" s="2712"/>
      <c r="S48" s="2712"/>
      <c r="T48" s="2712"/>
      <c r="U48" s="2712"/>
      <c r="V48" s="2712"/>
      <c r="W48" s="2712"/>
      <c r="X48" s="2712"/>
      <c r="Y48" s="2712"/>
      <c r="Z48" s="2712"/>
      <c r="AA48" s="2712"/>
      <c r="AB48" s="2712"/>
      <c r="AC48" s="2712"/>
    </row>
    <row r="49" spans="1:29" s="108" customFormat="1" ht="15">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7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5">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5.75"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7.75"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5.75"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5.75"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5.75"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5.75"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5.75"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5.75"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5.75"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7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7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7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7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5.75"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5.75"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7.75"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7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5.75"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5"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5.75"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5"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5.75"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5"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5"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受贵公司委托，我公司对北京市西城区西直门外大街南路甲28号房地产市场价值进行了预评估。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属开发建设的，该项目尚在开发建设中。根据《国有土地使用证》[]，估价对象（分摊）出让国有建设用地使用权面积为10591.91平方米，规划建筑面积为84373.1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2024年1月18日（评估专业人员实地查勘之日）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3316</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793" t="s">
        <v>1754</v>
      </c>
      <c r="D4" s="3794"/>
      <c r="E4" s="3795" t="s">
        <v>1755</v>
      </c>
      <c r="F4" s="3796"/>
      <c r="G4" s="3793" t="s">
        <v>1756</v>
      </c>
      <c r="H4" s="3794"/>
      <c r="I4" s="3793" t="s">
        <v>1757</v>
      </c>
      <c r="J4" s="3794"/>
      <c r="K4" s="559" t="s">
        <v>1758</v>
      </c>
      <c r="L4" s="2686"/>
      <c r="M4" s="2687"/>
      <c r="N4" s="2687"/>
      <c r="O4" s="2687"/>
      <c r="P4" s="3827" t="s">
        <v>1759</v>
      </c>
      <c r="Q4" s="3828"/>
      <c r="R4" s="3825" t="s">
        <v>1755</v>
      </c>
      <c r="S4" s="3826"/>
      <c r="T4" s="3825" t="s">
        <v>1756</v>
      </c>
      <c r="U4" s="3826"/>
      <c r="V4" s="3806" t="s">
        <v>1757</v>
      </c>
      <c r="W4" s="3806"/>
      <c r="X4" s="1350"/>
      <c r="Y4" s="3825" t="s">
        <v>1759</v>
      </c>
      <c r="Z4" s="3826"/>
      <c r="AA4" s="3824" t="s">
        <v>1755</v>
      </c>
      <c r="AB4" s="3773" t="s">
        <v>1756</v>
      </c>
      <c r="AC4" s="3824" t="s">
        <v>1757</v>
      </c>
    </row>
    <row r="5" spans="1:29" ht="15">
      <c r="A5" s="358"/>
      <c r="B5" s="359"/>
      <c r="C5" s="3783" t="s">
        <v>1657</v>
      </c>
      <c r="D5" s="3784"/>
      <c r="E5" s="3781" t="s">
        <v>1658</v>
      </c>
      <c r="F5" s="3782"/>
      <c r="G5" s="3783" t="s">
        <v>1659</v>
      </c>
      <c r="H5" s="3784"/>
      <c r="I5" s="3783" t="s">
        <v>1660</v>
      </c>
      <c r="J5" s="3784"/>
      <c r="K5" s="559"/>
      <c r="L5" s="2686"/>
      <c r="M5" s="2687"/>
      <c r="N5" s="2687"/>
      <c r="O5" s="2687"/>
      <c r="P5" s="3829"/>
      <c r="Q5" s="3800"/>
      <c r="R5" s="3779"/>
      <c r="S5" s="3780"/>
      <c r="T5" s="3779"/>
      <c r="U5" s="3780"/>
      <c r="V5" s="3806"/>
      <c r="W5" s="3806"/>
      <c r="X5" s="1350"/>
      <c r="Y5" s="3779"/>
      <c r="Z5" s="3780"/>
      <c r="AA5" s="3773"/>
      <c r="AB5" s="3773"/>
      <c r="AC5" s="3773"/>
    </row>
    <row r="6" spans="1:29" ht="15.75" thickBot="1">
      <c r="A6" s="360"/>
      <c r="B6" s="361"/>
      <c r="C6" s="3785" t="s">
        <v>1661</v>
      </c>
      <c r="D6" s="3786"/>
      <c r="E6" s="3787" t="s">
        <v>1661</v>
      </c>
      <c r="F6" s="3788"/>
      <c r="G6" s="3785" t="s">
        <v>1661</v>
      </c>
      <c r="H6" s="3786"/>
      <c r="I6" s="3785" t="s">
        <v>1661</v>
      </c>
      <c r="J6" s="3786"/>
      <c r="K6" s="559" t="s">
        <v>1662</v>
      </c>
      <c r="L6" s="2686"/>
      <c r="M6" s="2687"/>
      <c r="N6" s="2687"/>
      <c r="O6" s="2687"/>
      <c r="P6" s="3830"/>
      <c r="Q6" s="3802"/>
      <c r="R6" s="3779"/>
      <c r="S6" s="3780"/>
      <c r="T6" s="3803"/>
      <c r="U6" s="3804"/>
      <c r="V6" s="3806"/>
      <c r="W6" s="3806"/>
      <c r="X6" s="1350"/>
      <c r="Y6" s="3803"/>
      <c r="Z6" s="3804"/>
      <c r="AA6" s="3774"/>
      <c r="AB6" s="3774"/>
      <c r="AC6" s="3774"/>
    </row>
    <row r="7" spans="1:29" s="108" customFormat="1" ht="15.75" thickBot="1">
      <c r="A7" s="362" t="s">
        <v>1663</v>
      </c>
      <c r="B7" s="363"/>
      <c r="C7" s="364">
        <f>'数据-取费表'!B2</f>
        <v>45309</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775" t="s">
        <v>1664</v>
      </c>
      <c r="Q7" s="3809"/>
      <c r="R7" s="700" t="s">
        <v>14</v>
      </c>
      <c r="S7" s="701">
        <f t="shared" ref="S7:S14" si="0">F7</f>
        <v>0</v>
      </c>
      <c r="T7" s="700" t="s">
        <v>14</v>
      </c>
      <c r="U7" s="701">
        <f t="shared" ref="U7:U14" si="1">H7</f>
        <v>0</v>
      </c>
      <c r="V7" s="700" t="s">
        <v>14</v>
      </c>
      <c r="W7" s="701">
        <f t="shared" ref="W7:W14" si="2">J7</f>
        <v>0</v>
      </c>
      <c r="X7" s="702"/>
      <c r="Y7" s="3775" t="s">
        <v>1664</v>
      </c>
      <c r="Z7" s="3776"/>
      <c r="AA7" s="703" t="e">
        <f>D7/F7</f>
        <v>#DIV/0!</v>
      </c>
      <c r="AB7" s="703" t="e">
        <f>D7/H7</f>
        <v>#DIV/0!</v>
      </c>
      <c r="AC7" s="703"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775" t="s">
        <v>1667</v>
      </c>
      <c r="Q8" s="3776"/>
      <c r="R8" s="700" t="s">
        <v>14</v>
      </c>
      <c r="S8" s="701">
        <f t="shared" si="0"/>
        <v>100</v>
      </c>
      <c r="T8" s="700" t="s">
        <v>14</v>
      </c>
      <c r="U8" s="701">
        <f t="shared" si="1"/>
        <v>100</v>
      </c>
      <c r="V8" s="700" t="s">
        <v>14</v>
      </c>
      <c r="W8" s="701">
        <f t="shared" si="2"/>
        <v>100</v>
      </c>
      <c r="X8" s="702"/>
      <c r="Y8" s="3775" t="s">
        <v>1667</v>
      </c>
      <c r="Z8" s="3776"/>
      <c r="AA8" s="703">
        <f t="shared" ref="AA8:AA34" si="3">D8/F8</f>
        <v>1</v>
      </c>
      <c r="AB8" s="703">
        <f t="shared" ref="AB8:AB34" si="4">D8/H8</f>
        <v>1</v>
      </c>
      <c r="AC8" s="703">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819" t="s">
        <v>1670</v>
      </c>
      <c r="Q9" s="1338" t="str">
        <f t="shared" ref="Q9:Q14" si="6">B9</f>
        <v>用途</v>
      </c>
      <c r="R9" s="700" t="s">
        <v>14</v>
      </c>
      <c r="S9" s="701">
        <f t="shared" si="0"/>
        <v>100</v>
      </c>
      <c r="T9" s="700" t="s">
        <v>14</v>
      </c>
      <c r="U9" s="701">
        <f t="shared" si="1"/>
        <v>100</v>
      </c>
      <c r="V9" s="700" t="s">
        <v>14</v>
      </c>
      <c r="W9" s="701">
        <f t="shared" si="2"/>
        <v>100</v>
      </c>
      <c r="X9" s="702"/>
      <c r="Y9" s="3721" t="s">
        <v>1671</v>
      </c>
      <c r="Z9" s="52" t="str">
        <f t="shared" ref="Z9:Z14" si="7">Q9</f>
        <v>用途</v>
      </c>
      <c r="AA9" s="703">
        <f t="shared" si="3"/>
        <v>1</v>
      </c>
      <c r="AB9" s="703">
        <f t="shared" si="4"/>
        <v>1</v>
      </c>
      <c r="AC9" s="703">
        <f t="shared" si="5"/>
        <v>1</v>
      </c>
    </row>
    <row r="10" spans="1:29" s="378" customFormat="1" ht="27">
      <c r="A10" s="374"/>
      <c r="B10" s="375" t="s">
        <v>1672</v>
      </c>
      <c r="C10" s="3404"/>
      <c r="D10" s="127">
        <v>100</v>
      </c>
      <c r="E10" s="3404"/>
      <c r="F10" s="376">
        <f>SUMIF(53:53,E10,54:54)-SUMIF(53:53,C10,54:54)+100</f>
        <v>100</v>
      </c>
      <c r="G10" s="3404"/>
      <c r="H10" s="127">
        <f>SUMIF(53:53,G10,54:54)-SUMIF(53:53,C10,54:54)+100</f>
        <v>100</v>
      </c>
      <c r="I10" s="3404"/>
      <c r="J10" s="127">
        <f>SUMIF(53:53,I10,54:54)-SUMIF(53:53,C10,54:54)+100</f>
        <v>100</v>
      </c>
      <c r="K10" s="560"/>
      <c r="L10" s="2690"/>
      <c r="M10" s="2691"/>
      <c r="N10" s="2691"/>
      <c r="O10" s="2744"/>
      <c r="P10" s="3819"/>
      <c r="Q10" s="1338" t="str">
        <f t="shared" si="6"/>
        <v>土地使用年限（年）</v>
      </c>
      <c r="R10" s="700" t="s">
        <v>14</v>
      </c>
      <c r="S10" s="701">
        <f t="shared" si="0"/>
        <v>100</v>
      </c>
      <c r="T10" s="700" t="s">
        <v>14</v>
      </c>
      <c r="U10" s="701">
        <f t="shared" si="1"/>
        <v>100</v>
      </c>
      <c r="V10" s="700" t="s">
        <v>14</v>
      </c>
      <c r="W10" s="701">
        <f t="shared" si="2"/>
        <v>100</v>
      </c>
      <c r="X10" s="702"/>
      <c r="Y10" s="3721"/>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819"/>
      <c r="Q11" s="1338">
        <f t="shared" si="6"/>
        <v>111</v>
      </c>
      <c r="R11" s="700" t="s">
        <v>14</v>
      </c>
      <c r="S11" s="701">
        <f t="shared" si="0"/>
        <v>100</v>
      </c>
      <c r="T11" s="700" t="s">
        <v>14</v>
      </c>
      <c r="U11" s="701">
        <f t="shared" si="1"/>
        <v>100</v>
      </c>
      <c r="V11" s="700" t="s">
        <v>14</v>
      </c>
      <c r="W11" s="701">
        <f t="shared" si="2"/>
        <v>100</v>
      </c>
      <c r="X11" s="702"/>
      <c r="Y11" s="3721"/>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819"/>
      <c r="Q12" s="1338">
        <f t="shared" si="6"/>
        <v>111</v>
      </c>
      <c r="R12" s="700" t="s">
        <v>14</v>
      </c>
      <c r="S12" s="701">
        <f t="shared" si="0"/>
        <v>100</v>
      </c>
      <c r="T12" s="700" t="s">
        <v>14</v>
      </c>
      <c r="U12" s="701">
        <f t="shared" si="1"/>
        <v>100</v>
      </c>
      <c r="V12" s="700" t="s">
        <v>14</v>
      </c>
      <c r="W12" s="701">
        <f t="shared" si="2"/>
        <v>100</v>
      </c>
      <c r="X12" s="702"/>
      <c r="Y12" s="3721"/>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819"/>
      <c r="Q13" s="1338">
        <f t="shared" si="6"/>
        <v>111</v>
      </c>
      <c r="R13" s="700" t="s">
        <v>14</v>
      </c>
      <c r="S13" s="701">
        <f t="shared" si="0"/>
        <v>100</v>
      </c>
      <c r="T13" s="700" t="s">
        <v>14</v>
      </c>
      <c r="U13" s="701">
        <f t="shared" si="1"/>
        <v>100</v>
      </c>
      <c r="V13" s="700" t="s">
        <v>14</v>
      </c>
      <c r="W13" s="701">
        <f t="shared" si="2"/>
        <v>100</v>
      </c>
      <c r="X13" s="702"/>
      <c r="Y13" s="3721"/>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812" t="s">
        <v>1675</v>
      </c>
      <c r="Q14" s="1347" t="str">
        <f t="shared" si="6"/>
        <v>交通便捷度</v>
      </c>
      <c r="R14" s="704" t="s">
        <v>14</v>
      </c>
      <c r="S14" s="705">
        <f t="shared" si="0"/>
        <v>100</v>
      </c>
      <c r="T14" s="704" t="s">
        <v>14</v>
      </c>
      <c r="U14" s="705">
        <f t="shared" si="1"/>
        <v>100</v>
      </c>
      <c r="V14" s="704" t="s">
        <v>14</v>
      </c>
      <c r="W14" s="705">
        <f t="shared" si="2"/>
        <v>100</v>
      </c>
      <c r="X14" s="1350"/>
      <c r="Y14" s="3812"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813"/>
      <c r="Q15" s="1347"/>
      <c r="R15" s="704"/>
      <c r="S15" s="705"/>
      <c r="T15" s="704"/>
      <c r="U15" s="705"/>
      <c r="V15" s="704"/>
      <c r="W15" s="705"/>
      <c r="X15" s="1350"/>
      <c r="Y15" s="3813"/>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813"/>
      <c r="Q16" s="1347" t="str">
        <f>B16</f>
        <v>公共配套设施</v>
      </c>
      <c r="R16" s="704" t="s">
        <v>14</v>
      </c>
      <c r="S16" s="705">
        <f>F16</f>
        <v>100</v>
      </c>
      <c r="T16" s="704" t="s">
        <v>14</v>
      </c>
      <c r="U16" s="705">
        <f>H16</f>
        <v>100</v>
      </c>
      <c r="V16" s="704" t="s">
        <v>14</v>
      </c>
      <c r="W16" s="705">
        <f>J16</f>
        <v>100</v>
      </c>
      <c r="X16" s="1350"/>
      <c r="Y16" s="3813"/>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813"/>
      <c r="Q17" s="1347"/>
      <c r="R17" s="704"/>
      <c r="S17" s="705"/>
      <c r="T17" s="704"/>
      <c r="U17" s="705"/>
      <c r="V17" s="704"/>
      <c r="W17" s="705"/>
      <c r="X17" s="1350"/>
      <c r="Y17" s="3813"/>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813"/>
      <c r="Q18" s="1347" t="str">
        <f>B18</f>
        <v>基础设施水平</v>
      </c>
      <c r="R18" s="704" t="s">
        <v>14</v>
      </c>
      <c r="S18" s="705">
        <f>F18</f>
        <v>100</v>
      </c>
      <c r="T18" s="704" t="s">
        <v>14</v>
      </c>
      <c r="U18" s="705">
        <f>H18</f>
        <v>100</v>
      </c>
      <c r="V18" s="704" t="s">
        <v>14</v>
      </c>
      <c r="W18" s="705">
        <f>J18</f>
        <v>100</v>
      </c>
      <c r="X18" s="1350"/>
      <c r="Y18" s="3813"/>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813"/>
      <c r="Q19" s="1347"/>
      <c r="R19" s="704"/>
      <c r="S19" s="705"/>
      <c r="T19" s="704"/>
      <c r="U19" s="705"/>
      <c r="V19" s="704"/>
      <c r="W19" s="705"/>
      <c r="X19" s="1350"/>
      <c r="Y19" s="3813"/>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813"/>
      <c r="Q20" s="1347" t="str">
        <f>B20</f>
        <v>自然及人文环境</v>
      </c>
      <c r="R20" s="704" t="s">
        <v>14</v>
      </c>
      <c r="S20" s="705">
        <f>F20</f>
        <v>100</v>
      </c>
      <c r="T20" s="704" t="s">
        <v>14</v>
      </c>
      <c r="U20" s="705">
        <f>H20</f>
        <v>100</v>
      </c>
      <c r="V20" s="704" t="s">
        <v>14</v>
      </c>
      <c r="W20" s="705">
        <f>J20</f>
        <v>100</v>
      </c>
      <c r="X20" s="1350"/>
      <c r="Y20" s="3813"/>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813"/>
      <c r="Q21" s="1347"/>
      <c r="R21" s="704"/>
      <c r="S21" s="705"/>
      <c r="T21" s="704"/>
      <c r="U21" s="705"/>
      <c r="V21" s="704"/>
      <c r="W21" s="705"/>
      <c r="X21" s="1350"/>
      <c r="Y21" s="3813"/>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813"/>
      <c r="Q22" s="1347" t="str">
        <f>B22</f>
        <v>楼层</v>
      </c>
      <c r="R22" s="704" t="s">
        <v>14</v>
      </c>
      <c r="S22" s="705">
        <f>F22</f>
        <v>100</v>
      </c>
      <c r="T22" s="704" t="s">
        <v>14</v>
      </c>
      <c r="U22" s="705">
        <f>H22</f>
        <v>100</v>
      </c>
      <c r="V22" s="704" t="s">
        <v>14</v>
      </c>
      <c r="W22" s="705">
        <f>J22</f>
        <v>100</v>
      </c>
      <c r="X22" s="1350"/>
      <c r="Y22" s="3813"/>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813"/>
      <c r="Q23" s="1347">
        <f>B23</f>
        <v>111</v>
      </c>
      <c r="R23" s="704" t="s">
        <v>14</v>
      </c>
      <c r="S23" s="705">
        <f>F23</f>
        <v>100</v>
      </c>
      <c r="T23" s="704" t="s">
        <v>14</v>
      </c>
      <c r="U23" s="705">
        <f>H23</f>
        <v>100</v>
      </c>
      <c r="V23" s="704" t="s">
        <v>14</v>
      </c>
      <c r="W23" s="705">
        <f>J23</f>
        <v>100</v>
      </c>
      <c r="X23" s="1350"/>
      <c r="Y23" s="3813"/>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813"/>
      <c r="Q24" s="1347">
        <f t="shared" ref="Q24:Q34" si="11">B24</f>
        <v>111</v>
      </c>
      <c r="R24" s="704" t="s">
        <v>14</v>
      </c>
      <c r="S24" s="705">
        <f>F24</f>
        <v>100</v>
      </c>
      <c r="T24" s="704" t="s">
        <v>14</v>
      </c>
      <c r="U24" s="705">
        <f>H24</f>
        <v>100</v>
      </c>
      <c r="V24" s="704" t="s">
        <v>14</v>
      </c>
      <c r="W24" s="705">
        <f>J24</f>
        <v>100</v>
      </c>
      <c r="X24" s="1350"/>
      <c r="Y24" s="3813"/>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813"/>
      <c r="Q25" s="1338">
        <f t="shared" si="11"/>
        <v>111</v>
      </c>
      <c r="R25" s="700" t="s">
        <v>14</v>
      </c>
      <c r="S25" s="701">
        <f>F25</f>
        <v>100</v>
      </c>
      <c r="T25" s="700" t="s">
        <v>14</v>
      </c>
      <c r="U25" s="701">
        <f>H25</f>
        <v>100</v>
      </c>
      <c r="V25" s="700" t="s">
        <v>14</v>
      </c>
      <c r="W25" s="701">
        <f>J25</f>
        <v>100</v>
      </c>
      <c r="X25" s="702"/>
      <c r="Y25" s="3813"/>
      <c r="Z25" s="52">
        <f>Q25</f>
        <v>111</v>
      </c>
      <c r="AA25" s="1348">
        <f>D25/F25</f>
        <v>1</v>
      </c>
      <c r="AB25" s="1348">
        <f>D25/H25</f>
        <v>1</v>
      </c>
      <c r="AC25" s="1348">
        <f>D25/J25</f>
        <v>1</v>
      </c>
    </row>
    <row r="26" spans="1:29" ht="28.5">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34"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817"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817"/>
      <c r="Q27" s="706" t="str">
        <f t="shared" si="11"/>
        <v>成新率</v>
      </c>
      <c r="R27" s="707" t="s">
        <v>14</v>
      </c>
      <c r="S27" s="708" t="e">
        <f t="shared" si="12"/>
        <v>#N/A</v>
      </c>
      <c r="T27" s="707" t="s">
        <v>14</v>
      </c>
      <c r="U27" s="708" t="e">
        <f t="shared" si="13"/>
        <v>#N/A</v>
      </c>
      <c r="V27" s="707" t="s">
        <v>14</v>
      </c>
      <c r="W27" s="708" t="e">
        <f t="shared" si="14"/>
        <v>#N/A</v>
      </c>
      <c r="X27" s="709"/>
      <c r="Y27" s="3817"/>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817"/>
      <c r="Q28" s="1347" t="str">
        <f t="shared" si="11"/>
        <v>物业等级</v>
      </c>
      <c r="R28" s="704" t="s">
        <v>14</v>
      </c>
      <c r="S28" s="705">
        <f t="shared" si="12"/>
        <v>100</v>
      </c>
      <c r="T28" s="704" t="s">
        <v>14</v>
      </c>
      <c r="U28" s="705">
        <f t="shared" si="13"/>
        <v>100</v>
      </c>
      <c r="V28" s="704" t="s">
        <v>14</v>
      </c>
      <c r="W28" s="705">
        <f t="shared" si="14"/>
        <v>100</v>
      </c>
      <c r="X28" s="1350"/>
      <c r="Y28" s="3817"/>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817"/>
      <c r="Q29" s="1347" t="str">
        <f t="shared" si="11"/>
        <v>有无电梯</v>
      </c>
      <c r="R29" s="704" t="s">
        <v>14</v>
      </c>
      <c r="S29" s="705">
        <f t="shared" si="12"/>
        <v>100</v>
      </c>
      <c r="T29" s="704" t="s">
        <v>14</v>
      </c>
      <c r="U29" s="705">
        <f t="shared" si="13"/>
        <v>100</v>
      </c>
      <c r="V29" s="704" t="s">
        <v>14</v>
      </c>
      <c r="W29" s="705">
        <f t="shared" si="14"/>
        <v>100</v>
      </c>
      <c r="X29" s="1350"/>
      <c r="Y29" s="3817"/>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817"/>
      <c r="Q30" s="1347" t="str">
        <f t="shared" si="11"/>
        <v>建筑面积</v>
      </c>
      <c r="R30" s="704" t="s">
        <v>14</v>
      </c>
      <c r="S30" s="705" t="e">
        <f t="shared" si="12"/>
        <v>#N/A</v>
      </c>
      <c r="T30" s="704" t="s">
        <v>14</v>
      </c>
      <c r="U30" s="705" t="e">
        <f t="shared" si="13"/>
        <v>#N/A</v>
      </c>
      <c r="V30" s="704" t="s">
        <v>14</v>
      </c>
      <c r="W30" s="705" t="e">
        <f t="shared" si="14"/>
        <v>#N/A</v>
      </c>
      <c r="X30" s="1350"/>
      <c r="Y30" s="3817"/>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817"/>
      <c r="Q31" s="1338" t="str">
        <f t="shared" si="11"/>
        <v>是否封闭</v>
      </c>
      <c r="R31" s="700" t="s">
        <v>14</v>
      </c>
      <c r="S31" s="701">
        <f t="shared" si="12"/>
        <v>100</v>
      </c>
      <c r="T31" s="700" t="s">
        <v>14</v>
      </c>
      <c r="U31" s="701">
        <f t="shared" si="13"/>
        <v>100</v>
      </c>
      <c r="V31" s="700" t="s">
        <v>14</v>
      </c>
      <c r="W31" s="701">
        <f t="shared" si="14"/>
        <v>100</v>
      </c>
      <c r="X31" s="702"/>
      <c r="Y31" s="3817"/>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817" t="s">
        <v>1680</v>
      </c>
      <c r="Q32" s="1347">
        <f t="shared" si="11"/>
        <v>111</v>
      </c>
      <c r="R32" s="704" t="s">
        <v>14</v>
      </c>
      <c r="S32" s="705">
        <f t="shared" si="12"/>
        <v>100</v>
      </c>
      <c r="T32" s="704" t="s">
        <v>14</v>
      </c>
      <c r="U32" s="705">
        <f t="shared" si="13"/>
        <v>100</v>
      </c>
      <c r="V32" s="704" t="s">
        <v>14</v>
      </c>
      <c r="W32" s="705">
        <f t="shared" si="14"/>
        <v>100</v>
      </c>
      <c r="X32" s="1350"/>
      <c r="Y32" s="3817"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817"/>
      <c r="Q33" s="1347">
        <f t="shared" si="11"/>
        <v>111</v>
      </c>
      <c r="R33" s="704" t="s">
        <v>14</v>
      </c>
      <c r="S33" s="705">
        <f t="shared" si="12"/>
        <v>100</v>
      </c>
      <c r="T33" s="704" t="s">
        <v>14</v>
      </c>
      <c r="U33" s="705">
        <f t="shared" si="13"/>
        <v>100</v>
      </c>
      <c r="V33" s="704" t="s">
        <v>14</v>
      </c>
      <c r="W33" s="705">
        <f t="shared" si="14"/>
        <v>100</v>
      </c>
      <c r="X33" s="1350"/>
      <c r="Y33" s="3817"/>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817"/>
      <c r="Q34" s="1347">
        <f t="shared" si="11"/>
        <v>111</v>
      </c>
      <c r="R34" s="704" t="s">
        <v>14</v>
      </c>
      <c r="S34" s="705">
        <f t="shared" si="12"/>
        <v>100</v>
      </c>
      <c r="T34" s="704" t="s">
        <v>14</v>
      </c>
      <c r="U34" s="705">
        <f t="shared" si="13"/>
        <v>100</v>
      </c>
      <c r="V34" s="704" t="s">
        <v>14</v>
      </c>
      <c r="W34" s="705">
        <f t="shared" si="14"/>
        <v>100</v>
      </c>
      <c r="X34" s="1350"/>
      <c r="Y34" s="3817"/>
      <c r="Z34" s="1351">
        <f t="shared" si="15"/>
        <v>111</v>
      </c>
      <c r="AA34" s="1348">
        <f t="shared" si="3"/>
        <v>1</v>
      </c>
      <c r="AB34" s="1348">
        <f t="shared" si="4"/>
        <v>1</v>
      </c>
      <c r="AC34" s="1348">
        <f t="shared" si="5"/>
        <v>1</v>
      </c>
    </row>
    <row r="35" spans="1:30" ht="15">
      <c r="A35" s="430" t="s">
        <v>1692</v>
      </c>
      <c r="B35" s="431"/>
      <c r="C35" s="1150" t="s">
        <v>0</v>
      </c>
      <c r="D35" s="1151"/>
      <c r="E35" s="1152"/>
      <c r="F35" s="1153"/>
      <c r="G35" s="1154"/>
      <c r="H35" s="1155"/>
      <c r="I35" s="1152"/>
      <c r="J35" s="1155"/>
      <c r="K35" s="713"/>
      <c r="L35" s="2695"/>
      <c r="M35" s="2696"/>
      <c r="N35" s="2687"/>
      <c r="O35" s="2696"/>
      <c r="P35" s="3819" t="str">
        <f>A35</f>
        <v>成交单价（元/平方米）</v>
      </c>
      <c r="Q35" s="3819"/>
      <c r="R35" s="3820">
        <f>E35</f>
        <v>0</v>
      </c>
      <c r="S35" s="3820"/>
      <c r="T35" s="3820">
        <f>G35</f>
        <v>0</v>
      </c>
      <c r="U35" s="3820"/>
      <c r="V35" s="3820">
        <f>I35</f>
        <v>0</v>
      </c>
      <c r="W35" s="3820"/>
      <c r="X35" s="689"/>
      <c r="Y35" s="711"/>
      <c r="Z35" s="689"/>
      <c r="AA35" s="689"/>
      <c r="AB35" s="689"/>
      <c r="AC35" s="689"/>
    </row>
    <row r="36" spans="1:30" ht="15.7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819" t="str">
        <f>A36</f>
        <v>比较价值（元/平方米）</v>
      </c>
      <c r="Q36" s="3819"/>
      <c r="R36" s="3820" t="e">
        <f>IF(F1="售价",ROUND(PRODUCT(R35,AA7:AA34),0),ROUND(PRODUCT(R35,AA7:AA34),1))</f>
        <v>#DIV/0!</v>
      </c>
      <c r="S36" s="3820"/>
      <c r="T36" s="3820" t="e">
        <f>IF(F1="售价",ROUND(PRODUCT(T35,AB7:AB34),0),ROUND(PRODUCT(T35,AB7:AB34),1))</f>
        <v>#DIV/0!</v>
      </c>
      <c r="U36" s="3820"/>
      <c r="V36" s="3820" t="e">
        <f>IF(F1="售价",ROUND(PRODUCT(V35,AC7:AC34),0),ROUND(PRODUCT(V35,AC7:AC34),1))</f>
        <v>#DIV/0!</v>
      </c>
      <c r="W36" s="3820"/>
      <c r="X36" s="689"/>
      <c r="Y36" s="689"/>
      <c r="Z36" s="689"/>
      <c r="AA36" s="689"/>
      <c r="AB36" s="689"/>
      <c r="AC36" s="689"/>
    </row>
    <row r="37" spans="1:30" ht="15.75" thickBot="1">
      <c r="A37" s="441" t="s">
        <v>1778</v>
      </c>
      <c r="B37" s="442"/>
      <c r="C37" s="1159" t="e">
        <f>R37</f>
        <v>#DIV/0!</v>
      </c>
      <c r="D37" s="1159"/>
      <c r="E37" s="1159"/>
      <c r="F37" s="1159"/>
      <c r="G37" s="1159"/>
      <c r="H37" s="1159"/>
      <c r="I37" s="1159"/>
      <c r="J37" s="1159"/>
      <c r="K37" s="714"/>
      <c r="L37" s="2695"/>
      <c r="M37" s="2696"/>
      <c r="N37" s="2696"/>
      <c r="O37" s="2696"/>
      <c r="P37" s="3831" t="str">
        <f>A37</f>
        <v>估价对象XX用房的比较价值（楼面单价，元/平方米）</v>
      </c>
      <c r="Q37" s="3832"/>
      <c r="R37" s="3835" t="e">
        <f>IF(F1="售价",ROUND(IF(D36="简单平均",AVERAGE(R36:W36),R36*F36+T36*H36+V36*J36),0),ROUND(IF(D36="简单平均",AVERAGE(R36:V36),R36*F36+T36*H36+V36*J36),1))</f>
        <v>#DIV/0!</v>
      </c>
      <c r="S37" s="3835"/>
      <c r="T37" s="3835"/>
      <c r="U37" s="3835"/>
      <c r="V37" s="3835"/>
      <c r="W37" s="3835"/>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1.75"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5">
      <c r="A46" s="454" t="s">
        <v>1663</v>
      </c>
      <c r="B46" s="455"/>
      <c r="C46" s="1179" t="str">
        <f>YEAR(C7)&amp;"-"&amp;MONTH(C7)</f>
        <v>2024-1</v>
      </c>
      <c r="D46" s="1180">
        <f>EDATE(C46,-1)</f>
        <v>45261</v>
      </c>
      <c r="E46" s="1180">
        <f t="shared" ref="E46:O46" si="16">EDATE(D46,-1)</f>
        <v>45231</v>
      </c>
      <c r="F46" s="1180">
        <f t="shared" si="16"/>
        <v>45200</v>
      </c>
      <c r="G46" s="1180">
        <f t="shared" si="16"/>
        <v>45170</v>
      </c>
      <c r="H46" s="1180">
        <f t="shared" si="16"/>
        <v>45139</v>
      </c>
      <c r="I46" s="1180">
        <f t="shared" si="16"/>
        <v>45108</v>
      </c>
      <c r="J46" s="1180">
        <f t="shared" si="16"/>
        <v>45078</v>
      </c>
      <c r="K46" s="1180">
        <f t="shared" si="16"/>
        <v>45047</v>
      </c>
      <c r="L46" s="1180">
        <f t="shared" si="16"/>
        <v>45017</v>
      </c>
      <c r="M46" s="1180">
        <f t="shared" si="16"/>
        <v>44986</v>
      </c>
      <c r="N46" s="1180">
        <f t="shared" si="16"/>
        <v>44958</v>
      </c>
      <c r="O46" s="1180">
        <f t="shared" si="16"/>
        <v>44927</v>
      </c>
      <c r="P46" s="2747"/>
      <c r="Q46" s="2712"/>
      <c r="R46" s="2712"/>
      <c r="S46" s="2712"/>
      <c r="T46" s="2712"/>
      <c r="U46" s="2712"/>
      <c r="V46" s="2712"/>
      <c r="W46" s="2712"/>
      <c r="X46" s="2712"/>
      <c r="Y46" s="2712"/>
      <c r="Z46" s="2712"/>
      <c r="AA46" s="2712"/>
      <c r="AB46" s="2712"/>
      <c r="AC46" s="2712"/>
      <c r="AD46" s="2712"/>
    </row>
    <row r="47" spans="1:30" s="108" customFormat="1" ht="15">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7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5">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5.75"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7.75"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5.75"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5.75"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5.75"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5.75"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5.75"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5.75"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5.75"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7.75"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7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7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7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5.75"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5.75"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5.75"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ht="15">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5.75"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5.75"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5"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5.75"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5"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5.75"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5"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5.75"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5"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793" t="s">
        <v>1754</v>
      </c>
      <c r="D4" s="3794"/>
      <c r="E4" s="3795" t="s">
        <v>1755</v>
      </c>
      <c r="F4" s="3796"/>
      <c r="G4" s="3793" t="s">
        <v>1756</v>
      </c>
      <c r="H4" s="3794"/>
      <c r="I4" s="3793" t="s">
        <v>1757</v>
      </c>
      <c r="J4" s="3794"/>
      <c r="K4" s="559" t="s">
        <v>1758</v>
      </c>
      <c r="L4" s="2686"/>
      <c r="M4" s="2687"/>
      <c r="N4" s="2687"/>
      <c r="O4" s="2687"/>
      <c r="P4" s="3827" t="s">
        <v>1759</v>
      </c>
      <c r="Q4" s="3828"/>
      <c r="R4" s="3825" t="s">
        <v>1755</v>
      </c>
      <c r="S4" s="3826"/>
      <c r="T4" s="3825" t="s">
        <v>1756</v>
      </c>
      <c r="U4" s="3826"/>
      <c r="V4" s="3806" t="s">
        <v>1757</v>
      </c>
      <c r="W4" s="3806"/>
      <c r="X4" s="1350"/>
      <c r="Y4" s="3825" t="s">
        <v>1759</v>
      </c>
      <c r="Z4" s="3826"/>
      <c r="AA4" s="3824" t="s">
        <v>1755</v>
      </c>
      <c r="AB4" s="3773" t="s">
        <v>1756</v>
      </c>
      <c r="AC4" s="3824" t="s">
        <v>1757</v>
      </c>
    </row>
    <row r="5" spans="1:29" ht="15">
      <c r="A5" s="358"/>
      <c r="B5" s="359"/>
      <c r="C5" s="3783" t="s">
        <v>1657</v>
      </c>
      <c r="D5" s="3784"/>
      <c r="E5" s="3781" t="s">
        <v>1658</v>
      </c>
      <c r="F5" s="3782"/>
      <c r="G5" s="3783" t="s">
        <v>1659</v>
      </c>
      <c r="H5" s="3784"/>
      <c r="I5" s="3783" t="s">
        <v>1660</v>
      </c>
      <c r="J5" s="3784"/>
      <c r="K5" s="559"/>
      <c r="L5" s="2686"/>
      <c r="M5" s="2687"/>
      <c r="N5" s="2687"/>
      <c r="O5" s="2687"/>
      <c r="P5" s="3829"/>
      <c r="Q5" s="3800"/>
      <c r="R5" s="3779"/>
      <c r="S5" s="3780"/>
      <c r="T5" s="3779"/>
      <c r="U5" s="3780"/>
      <c r="V5" s="3806"/>
      <c r="W5" s="3806"/>
      <c r="X5" s="1350"/>
      <c r="Y5" s="3779"/>
      <c r="Z5" s="3780"/>
      <c r="AA5" s="3773"/>
      <c r="AB5" s="3773"/>
      <c r="AC5" s="3773"/>
    </row>
    <row r="6" spans="1:29" ht="15.75" thickBot="1">
      <c r="A6" s="360"/>
      <c r="B6" s="361"/>
      <c r="C6" s="3839" t="s">
        <v>1903</v>
      </c>
      <c r="D6" s="3840"/>
      <c r="E6" s="3841" t="s">
        <v>1903</v>
      </c>
      <c r="F6" s="3842"/>
      <c r="G6" s="3839" t="s">
        <v>1903</v>
      </c>
      <c r="H6" s="3840"/>
      <c r="I6" s="3839" t="s">
        <v>1903</v>
      </c>
      <c r="J6" s="3840"/>
      <c r="K6" s="559" t="s">
        <v>1662</v>
      </c>
      <c r="L6" s="2686"/>
      <c r="M6" s="2687"/>
      <c r="N6" s="2687"/>
      <c r="O6" s="2687"/>
      <c r="P6" s="3830"/>
      <c r="Q6" s="3802"/>
      <c r="R6" s="3779"/>
      <c r="S6" s="3780"/>
      <c r="T6" s="3803"/>
      <c r="U6" s="3804"/>
      <c r="V6" s="3806"/>
      <c r="W6" s="3806"/>
      <c r="X6" s="1350"/>
      <c r="Y6" s="3803"/>
      <c r="Z6" s="3804"/>
      <c r="AA6" s="3774"/>
      <c r="AB6" s="3774"/>
      <c r="AC6" s="3774"/>
    </row>
    <row r="7" spans="1:29" s="108" customFormat="1" ht="15.75" thickBot="1">
      <c r="A7" s="362" t="s">
        <v>1663</v>
      </c>
      <c r="B7" s="363"/>
      <c r="C7" s="364">
        <f>'数据-取费表'!B2</f>
        <v>45309</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775" t="s">
        <v>1664</v>
      </c>
      <c r="Q7" s="3809"/>
      <c r="R7" s="700" t="s">
        <v>14</v>
      </c>
      <c r="S7" s="701">
        <f t="shared" ref="S7:S15" si="0">F7</f>
        <v>0</v>
      </c>
      <c r="T7" s="700" t="s">
        <v>14</v>
      </c>
      <c r="U7" s="701">
        <f t="shared" ref="U7:U15" si="1">H7</f>
        <v>0</v>
      </c>
      <c r="V7" s="700" t="s">
        <v>14</v>
      </c>
      <c r="W7" s="701">
        <f t="shared" ref="W7:W15" si="2">J7</f>
        <v>0</v>
      </c>
      <c r="X7" s="702"/>
      <c r="Y7" s="3775" t="s">
        <v>1664</v>
      </c>
      <c r="Z7" s="3776"/>
      <c r="AA7" s="703" t="e">
        <f>D7/F7</f>
        <v>#DIV/0!</v>
      </c>
      <c r="AB7" s="703" t="e">
        <f>D7/H7</f>
        <v>#DIV/0!</v>
      </c>
      <c r="AC7" s="703"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775" t="s">
        <v>1667</v>
      </c>
      <c r="Q8" s="3776"/>
      <c r="R8" s="700" t="s">
        <v>14</v>
      </c>
      <c r="S8" s="701">
        <f t="shared" si="0"/>
        <v>0</v>
      </c>
      <c r="T8" s="700" t="s">
        <v>14</v>
      </c>
      <c r="U8" s="701">
        <f t="shared" si="1"/>
        <v>0</v>
      </c>
      <c r="V8" s="700" t="s">
        <v>14</v>
      </c>
      <c r="W8" s="701">
        <f t="shared" si="2"/>
        <v>0</v>
      </c>
      <c r="X8" s="702"/>
      <c r="Y8" s="3775" t="s">
        <v>1667</v>
      </c>
      <c r="Z8" s="3776"/>
      <c r="AA8" s="703" t="e">
        <f t="shared" ref="AA8:AA40" si="3">D8/F8</f>
        <v>#DIV/0!</v>
      </c>
      <c r="AB8" s="703" t="e">
        <f t="shared" ref="AB8:AB40" si="4">D8/H8</f>
        <v>#DIV/0!</v>
      </c>
      <c r="AC8" s="703" t="e">
        <f t="shared" ref="AC8:AC40" si="5">D8/J8</f>
        <v>#DIV/0!</v>
      </c>
    </row>
    <row r="9" spans="1:29" s="108" customFormat="1">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819" t="s">
        <v>1670</v>
      </c>
      <c r="Q9" s="1338" t="str">
        <f t="shared" ref="Q9:Q15" si="6">B9</f>
        <v>用途</v>
      </c>
      <c r="R9" s="700" t="s">
        <v>14</v>
      </c>
      <c r="S9" s="701">
        <f t="shared" si="0"/>
        <v>100</v>
      </c>
      <c r="T9" s="700" t="s">
        <v>14</v>
      </c>
      <c r="U9" s="701">
        <f t="shared" si="1"/>
        <v>100</v>
      </c>
      <c r="V9" s="700" t="s">
        <v>14</v>
      </c>
      <c r="W9" s="701">
        <f t="shared" si="2"/>
        <v>100</v>
      </c>
      <c r="X9" s="702"/>
      <c r="Y9" s="3721" t="s">
        <v>1671</v>
      </c>
      <c r="Z9" s="52" t="str">
        <f t="shared" ref="Z9:Z15" si="7">Q9</f>
        <v>用途</v>
      </c>
      <c r="AA9" s="703">
        <f t="shared" si="3"/>
        <v>1</v>
      </c>
      <c r="AB9" s="703">
        <f t="shared" si="4"/>
        <v>1</v>
      </c>
      <c r="AC9" s="703">
        <f t="shared" si="5"/>
        <v>1</v>
      </c>
    </row>
    <row r="10" spans="1:29" s="378" customFormat="1" ht="27">
      <c r="A10" s="374"/>
      <c r="B10" s="375" t="s">
        <v>1672</v>
      </c>
      <c r="C10" s="383"/>
      <c r="D10" s="127">
        <v>100</v>
      </c>
      <c r="E10" s="383"/>
      <c r="F10" s="127">
        <f>ROUND(100/'数据-取费表'!G16,0)</f>
        <v>125</v>
      </c>
      <c r="G10" s="383"/>
      <c r="H10" s="127">
        <f>ROUND(100/'数据-取费表'!G16,0)</f>
        <v>125</v>
      </c>
      <c r="I10" s="383"/>
      <c r="J10" s="127">
        <f>ROUND(100/'数据-取费表'!G16,0)</f>
        <v>125</v>
      </c>
      <c r="K10" s="620"/>
      <c r="L10" s="2690"/>
      <c r="M10" s="2691"/>
      <c r="N10" s="2691"/>
      <c r="O10" s="2744"/>
      <c r="P10" s="3819"/>
      <c r="Q10" s="1338" t="str">
        <f t="shared" si="6"/>
        <v>土地使用年限（年）</v>
      </c>
      <c r="R10" s="700" t="s">
        <v>14</v>
      </c>
      <c r="S10" s="701">
        <f t="shared" si="0"/>
        <v>125</v>
      </c>
      <c r="T10" s="700" t="s">
        <v>14</v>
      </c>
      <c r="U10" s="701">
        <f t="shared" si="1"/>
        <v>125</v>
      </c>
      <c r="V10" s="700" t="s">
        <v>14</v>
      </c>
      <c r="W10" s="701">
        <f t="shared" si="2"/>
        <v>125</v>
      </c>
      <c r="X10" s="702"/>
      <c r="Y10" s="3721"/>
      <c r="Z10" s="52" t="str">
        <f t="shared" si="7"/>
        <v>土地使用年限（年）</v>
      </c>
      <c r="AA10" s="703">
        <f t="shared" si="3"/>
        <v>0.8</v>
      </c>
      <c r="AB10" s="703">
        <f t="shared" si="4"/>
        <v>0.8</v>
      </c>
      <c r="AC10" s="703">
        <f t="shared" si="5"/>
        <v>0.8</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819"/>
      <c r="Q11" s="1338" t="str">
        <f t="shared" si="6"/>
        <v>容积率</v>
      </c>
      <c r="R11" s="700" t="s">
        <v>14</v>
      </c>
      <c r="S11" s="701" t="e">
        <f t="shared" si="0"/>
        <v>#N/A</v>
      </c>
      <c r="T11" s="700" t="s">
        <v>14</v>
      </c>
      <c r="U11" s="701" t="e">
        <f t="shared" si="1"/>
        <v>#N/A</v>
      </c>
      <c r="V11" s="700" t="s">
        <v>14</v>
      </c>
      <c r="W11" s="701" t="e">
        <f t="shared" si="2"/>
        <v>#N/A</v>
      </c>
      <c r="X11" s="702"/>
      <c r="Y11" s="3721"/>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819"/>
      <c r="Q12" s="1338">
        <f t="shared" si="6"/>
        <v>111</v>
      </c>
      <c r="R12" s="700" t="s">
        <v>14</v>
      </c>
      <c r="S12" s="701">
        <f t="shared" si="0"/>
        <v>100</v>
      </c>
      <c r="T12" s="700" t="s">
        <v>14</v>
      </c>
      <c r="U12" s="701">
        <f t="shared" si="1"/>
        <v>100</v>
      </c>
      <c r="V12" s="700" t="s">
        <v>14</v>
      </c>
      <c r="W12" s="701">
        <f t="shared" si="2"/>
        <v>100</v>
      </c>
      <c r="X12" s="702"/>
      <c r="Y12" s="3721"/>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819"/>
      <c r="Q13" s="1338">
        <f t="shared" si="6"/>
        <v>111</v>
      </c>
      <c r="R13" s="700" t="s">
        <v>14</v>
      </c>
      <c r="S13" s="701">
        <f t="shared" si="0"/>
        <v>100</v>
      </c>
      <c r="T13" s="700" t="s">
        <v>14</v>
      </c>
      <c r="U13" s="701">
        <f t="shared" si="1"/>
        <v>100</v>
      </c>
      <c r="V13" s="700" t="s">
        <v>14</v>
      </c>
      <c r="W13" s="701">
        <f t="shared" si="2"/>
        <v>100</v>
      </c>
      <c r="X13" s="702"/>
      <c r="Y13" s="3721"/>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819"/>
      <c r="Q14" s="1338">
        <f t="shared" si="6"/>
        <v>111</v>
      </c>
      <c r="R14" s="700" t="s">
        <v>14</v>
      </c>
      <c r="S14" s="701">
        <f t="shared" si="0"/>
        <v>100</v>
      </c>
      <c r="T14" s="700" t="s">
        <v>14</v>
      </c>
      <c r="U14" s="701">
        <f t="shared" si="1"/>
        <v>100</v>
      </c>
      <c r="V14" s="700" t="s">
        <v>14</v>
      </c>
      <c r="W14" s="701">
        <f t="shared" si="2"/>
        <v>100</v>
      </c>
      <c r="X14" s="702"/>
      <c r="Y14" s="3721"/>
      <c r="Z14" s="52">
        <f t="shared" si="7"/>
        <v>111</v>
      </c>
      <c r="AA14" s="703">
        <f t="shared" si="3"/>
        <v>1</v>
      </c>
      <c r="AB14" s="703">
        <f t="shared" si="4"/>
        <v>1</v>
      </c>
      <c r="AC14" s="703">
        <f t="shared" si="5"/>
        <v>1</v>
      </c>
    </row>
    <row r="15" spans="1:29" ht="57">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812" t="s">
        <v>1675</v>
      </c>
      <c r="Q15" s="1347" t="str">
        <f t="shared" si="6"/>
        <v>产业集聚程度</v>
      </c>
      <c r="R15" s="704" t="s">
        <v>14</v>
      </c>
      <c r="S15" s="705">
        <f t="shared" si="0"/>
        <v>100</v>
      </c>
      <c r="T15" s="704" t="s">
        <v>14</v>
      </c>
      <c r="U15" s="705">
        <f t="shared" si="1"/>
        <v>100</v>
      </c>
      <c r="V15" s="704" t="s">
        <v>14</v>
      </c>
      <c r="W15" s="705">
        <f t="shared" si="2"/>
        <v>100</v>
      </c>
      <c r="X15" s="1350"/>
      <c r="Y15" s="3812"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813"/>
      <c r="Q16" s="1347"/>
      <c r="R16" s="704"/>
      <c r="S16" s="705"/>
      <c r="T16" s="704"/>
      <c r="U16" s="705"/>
      <c r="V16" s="704"/>
      <c r="W16" s="705"/>
      <c r="X16" s="1350"/>
      <c r="Y16" s="3813"/>
      <c r="Z16" s="1351"/>
      <c r="AA16" s="1348">
        <v>1</v>
      </c>
      <c r="AB16" s="1348">
        <v>1</v>
      </c>
      <c r="AC16" s="1348">
        <v>1</v>
      </c>
    </row>
    <row r="17" spans="1:29" ht="85.5">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813"/>
      <c r="Q17" s="1347" t="str">
        <f>B17</f>
        <v>交通便捷度</v>
      </c>
      <c r="R17" s="704" t="s">
        <v>14</v>
      </c>
      <c r="S17" s="705">
        <f>F17</f>
        <v>100</v>
      </c>
      <c r="T17" s="704" t="s">
        <v>14</v>
      </c>
      <c r="U17" s="705">
        <f>H17</f>
        <v>100</v>
      </c>
      <c r="V17" s="704" t="s">
        <v>14</v>
      </c>
      <c r="W17" s="705">
        <f>J17</f>
        <v>100</v>
      </c>
      <c r="X17" s="1350"/>
      <c r="Y17" s="3813"/>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813"/>
      <c r="Q18" s="1347"/>
      <c r="R18" s="704"/>
      <c r="S18" s="705"/>
      <c r="T18" s="704"/>
      <c r="U18" s="705"/>
      <c r="V18" s="704"/>
      <c r="W18" s="705"/>
      <c r="X18" s="1350"/>
      <c r="Y18" s="3813"/>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813"/>
      <c r="Q19" s="1347" t="str">
        <f t="shared" ref="Q19:Q33" si="8">B19</f>
        <v>区域土地利用方向</v>
      </c>
      <c r="R19" s="704" t="s">
        <v>14</v>
      </c>
      <c r="S19" s="705">
        <f>F19</f>
        <v>100</v>
      </c>
      <c r="T19" s="704" t="s">
        <v>14</v>
      </c>
      <c r="U19" s="705">
        <f>H19</f>
        <v>100</v>
      </c>
      <c r="V19" s="704" t="s">
        <v>14</v>
      </c>
      <c r="W19" s="705">
        <f>J19</f>
        <v>100</v>
      </c>
      <c r="X19" s="1350"/>
      <c r="Y19" s="3813"/>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813"/>
      <c r="Q20" s="1347"/>
      <c r="R20" s="704"/>
      <c r="S20" s="705"/>
      <c r="T20" s="704"/>
      <c r="U20" s="705"/>
      <c r="V20" s="704"/>
      <c r="W20" s="705"/>
      <c r="X20" s="1350"/>
      <c r="Y20" s="3813"/>
      <c r="Z20" s="1351"/>
      <c r="AA20" s="1348"/>
      <c r="AB20" s="1348"/>
      <c r="AC20" s="1348"/>
    </row>
    <row r="21" spans="1:29" ht="71.25">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813"/>
      <c r="Q21" s="1347" t="str">
        <f t="shared" si="8"/>
        <v>环境状况</v>
      </c>
      <c r="R21" s="704" t="s">
        <v>14</v>
      </c>
      <c r="S21" s="705">
        <f>F21</f>
        <v>100</v>
      </c>
      <c r="T21" s="704" t="s">
        <v>14</v>
      </c>
      <c r="U21" s="705">
        <f>H21</f>
        <v>100</v>
      </c>
      <c r="V21" s="704" t="s">
        <v>14</v>
      </c>
      <c r="W21" s="705">
        <f>J21</f>
        <v>100</v>
      </c>
      <c r="X21" s="1350"/>
      <c r="Y21" s="3813"/>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813"/>
      <c r="Q22" s="1347"/>
      <c r="R22" s="704"/>
      <c r="S22" s="705"/>
      <c r="T22" s="704"/>
      <c r="U22" s="705"/>
      <c r="V22" s="704"/>
      <c r="W22" s="705"/>
      <c r="X22" s="1350"/>
      <c r="Y22" s="3813"/>
      <c r="Z22" s="1351"/>
      <c r="AA22" s="1348">
        <v>1</v>
      </c>
      <c r="AB22" s="1348">
        <v>1</v>
      </c>
      <c r="AC22" s="1348">
        <v>1</v>
      </c>
    </row>
    <row r="23" spans="1:29" s="108" customFormat="1" ht="42.75">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813"/>
      <c r="Q23" s="1338" t="str">
        <f t="shared" si="8"/>
        <v>公共配套设施</v>
      </c>
      <c r="R23" s="700" t="s">
        <v>14</v>
      </c>
      <c r="S23" s="701">
        <f>F23</f>
        <v>100</v>
      </c>
      <c r="T23" s="700" t="s">
        <v>14</v>
      </c>
      <c r="U23" s="701">
        <f>H23</f>
        <v>100</v>
      </c>
      <c r="V23" s="700" t="s">
        <v>14</v>
      </c>
      <c r="W23" s="701">
        <f>J23</f>
        <v>100</v>
      </c>
      <c r="X23" s="702"/>
      <c r="Y23" s="3813"/>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813"/>
      <c r="Q24" s="1338"/>
      <c r="R24" s="700"/>
      <c r="S24" s="701"/>
      <c r="T24" s="700"/>
      <c r="U24" s="701"/>
      <c r="V24" s="700"/>
      <c r="W24" s="701"/>
      <c r="X24" s="702"/>
      <c r="Y24" s="3813"/>
      <c r="Z24" s="52"/>
      <c r="AA24" s="703">
        <v>1</v>
      </c>
      <c r="AB24" s="703">
        <v>1</v>
      </c>
      <c r="AC24" s="703">
        <v>1</v>
      </c>
    </row>
    <row r="25" spans="1:29" s="108" customFormat="1" ht="28.5">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813"/>
      <c r="Q25" s="1338" t="str">
        <f t="shared" ref="Q25" si="9">B25</f>
        <v>基础设施水平</v>
      </c>
      <c r="R25" s="700" t="s">
        <v>14</v>
      </c>
      <c r="S25" s="701">
        <f>F25</f>
        <v>100</v>
      </c>
      <c r="T25" s="700" t="s">
        <v>14</v>
      </c>
      <c r="U25" s="701">
        <f>H25</f>
        <v>100</v>
      </c>
      <c r="V25" s="700" t="s">
        <v>14</v>
      </c>
      <c r="W25" s="701">
        <f>J25</f>
        <v>100</v>
      </c>
      <c r="X25" s="702"/>
      <c r="Y25" s="3813"/>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813"/>
      <c r="Q26" s="1338"/>
      <c r="R26" s="700"/>
      <c r="S26" s="701"/>
      <c r="T26" s="700"/>
      <c r="U26" s="701"/>
      <c r="V26" s="700"/>
      <c r="W26" s="701"/>
      <c r="X26" s="702"/>
      <c r="Y26" s="3813"/>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813"/>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813"/>
      <c r="Z27" s="1351" t="str">
        <f t="shared" ref="Z27:Z40" si="13">Q27</f>
        <v>临街状况</v>
      </c>
      <c r="AA27" s="1348">
        <f t="shared" si="3"/>
        <v>1</v>
      </c>
      <c r="AB27" s="1348">
        <f t="shared" si="4"/>
        <v>1</v>
      </c>
      <c r="AC27" s="1348">
        <f t="shared" si="5"/>
        <v>1</v>
      </c>
    </row>
    <row r="28" spans="1:29" ht="27">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813"/>
      <c r="Q28" s="1347" t="str">
        <f t="shared" si="8"/>
        <v>毗邻道路的类型与等级</v>
      </c>
      <c r="R28" s="704" t="s">
        <v>14</v>
      </c>
      <c r="S28" s="705">
        <f t="shared" si="10"/>
        <v>100</v>
      </c>
      <c r="T28" s="704" t="s">
        <v>14</v>
      </c>
      <c r="U28" s="705">
        <f t="shared" si="11"/>
        <v>100</v>
      </c>
      <c r="V28" s="704" t="s">
        <v>14</v>
      </c>
      <c r="W28" s="705">
        <f t="shared" si="12"/>
        <v>100</v>
      </c>
      <c r="X28" s="1350"/>
      <c r="Y28" s="3813"/>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813"/>
      <c r="Q29" s="1347"/>
      <c r="R29" s="704"/>
      <c r="S29" s="705"/>
      <c r="T29" s="704"/>
      <c r="U29" s="705"/>
      <c r="V29" s="704"/>
      <c r="W29" s="705"/>
      <c r="X29" s="1350"/>
      <c r="Y29" s="3813"/>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813"/>
      <c r="Q30" s="1347" t="str">
        <f t="shared" si="8"/>
        <v>土地级别</v>
      </c>
      <c r="R30" s="704" t="s">
        <v>14</v>
      </c>
      <c r="S30" s="705">
        <f t="shared" si="10"/>
        <v>100</v>
      </c>
      <c r="T30" s="704" t="s">
        <v>14</v>
      </c>
      <c r="U30" s="705">
        <f t="shared" si="11"/>
        <v>100</v>
      </c>
      <c r="V30" s="704" t="s">
        <v>14</v>
      </c>
      <c r="W30" s="705">
        <f t="shared" si="12"/>
        <v>100</v>
      </c>
      <c r="X30" s="1350"/>
      <c r="Y30" s="3813"/>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813"/>
      <c r="Q31" s="1347">
        <f t="shared" si="8"/>
        <v>111</v>
      </c>
      <c r="R31" s="704" t="s">
        <v>14</v>
      </c>
      <c r="S31" s="705">
        <f t="shared" si="10"/>
        <v>100</v>
      </c>
      <c r="T31" s="704" t="s">
        <v>14</v>
      </c>
      <c r="U31" s="705">
        <f t="shared" si="11"/>
        <v>100</v>
      </c>
      <c r="V31" s="704" t="s">
        <v>14</v>
      </c>
      <c r="W31" s="705">
        <f t="shared" si="12"/>
        <v>100</v>
      </c>
      <c r="X31" s="1350"/>
      <c r="Y31" s="3813"/>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34" t="s">
        <v>1680</v>
      </c>
      <c r="Q32" s="1347">
        <f t="shared" si="8"/>
        <v>111</v>
      </c>
      <c r="R32" s="704" t="s">
        <v>14</v>
      </c>
      <c r="S32" s="705">
        <f t="shared" si="10"/>
        <v>100</v>
      </c>
      <c r="T32" s="704" t="s">
        <v>14</v>
      </c>
      <c r="U32" s="705">
        <f t="shared" si="11"/>
        <v>100</v>
      </c>
      <c r="V32" s="704" t="s">
        <v>14</v>
      </c>
      <c r="W32" s="705">
        <f t="shared" si="12"/>
        <v>100</v>
      </c>
      <c r="X32" s="1350"/>
      <c r="Y32" s="3817" t="s">
        <v>1680</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817"/>
      <c r="Q33" s="1347">
        <f t="shared" si="8"/>
        <v>111</v>
      </c>
      <c r="R33" s="707" t="s">
        <v>14</v>
      </c>
      <c r="S33" s="708">
        <f t="shared" si="10"/>
        <v>100</v>
      </c>
      <c r="T33" s="707" t="s">
        <v>14</v>
      </c>
      <c r="U33" s="708">
        <f t="shared" si="11"/>
        <v>100</v>
      </c>
      <c r="V33" s="707" t="s">
        <v>14</v>
      </c>
      <c r="W33" s="708">
        <f t="shared" si="12"/>
        <v>100</v>
      </c>
      <c r="X33" s="709"/>
      <c r="Y33" s="3817"/>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817"/>
      <c r="Q34" s="1347" t="str">
        <f>B34</f>
        <v>宗地面积</v>
      </c>
      <c r="R34" s="704" t="s">
        <v>14</v>
      </c>
      <c r="S34" s="705" t="e">
        <f t="shared" si="10"/>
        <v>#N/A</v>
      </c>
      <c r="T34" s="704" t="s">
        <v>14</v>
      </c>
      <c r="U34" s="705" t="e">
        <f t="shared" si="11"/>
        <v>#N/A</v>
      </c>
      <c r="V34" s="704" t="s">
        <v>14</v>
      </c>
      <c r="W34" s="705" t="e">
        <f t="shared" si="12"/>
        <v>#N/A</v>
      </c>
      <c r="X34" s="1350"/>
      <c r="Y34" s="3817"/>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817"/>
      <c r="Q35" s="1347" t="str">
        <f t="shared" ref="Q35:Q40" si="14">B35</f>
        <v>宗地形状</v>
      </c>
      <c r="R35" s="704" t="s">
        <v>14</v>
      </c>
      <c r="S35" s="705">
        <f t="shared" si="10"/>
        <v>100</v>
      </c>
      <c r="T35" s="704" t="s">
        <v>14</v>
      </c>
      <c r="U35" s="705">
        <f t="shared" si="11"/>
        <v>100</v>
      </c>
      <c r="V35" s="704" t="s">
        <v>14</v>
      </c>
      <c r="W35" s="705">
        <f t="shared" si="12"/>
        <v>100</v>
      </c>
      <c r="X35" s="1350"/>
      <c r="Y35" s="3817"/>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817"/>
      <c r="Q36" s="1347" t="str">
        <f t="shared" si="14"/>
        <v>宗地开发程度</v>
      </c>
      <c r="R36" s="700" t="s">
        <v>14</v>
      </c>
      <c r="S36" s="701">
        <f t="shared" si="10"/>
        <v>100</v>
      </c>
      <c r="T36" s="700" t="s">
        <v>14</v>
      </c>
      <c r="U36" s="701">
        <f t="shared" si="11"/>
        <v>100</v>
      </c>
      <c r="V36" s="700" t="s">
        <v>14</v>
      </c>
      <c r="W36" s="701">
        <f t="shared" si="12"/>
        <v>100</v>
      </c>
      <c r="X36" s="702"/>
      <c r="Y36" s="3817"/>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817" t="s">
        <v>1680</v>
      </c>
      <c r="Q37" s="1347" t="str">
        <f t="shared" si="14"/>
        <v>工程地质条件</v>
      </c>
      <c r="R37" s="704" t="s">
        <v>14</v>
      </c>
      <c r="S37" s="705">
        <f t="shared" si="10"/>
        <v>100</v>
      </c>
      <c r="T37" s="704" t="s">
        <v>14</v>
      </c>
      <c r="U37" s="705">
        <f t="shared" si="11"/>
        <v>100</v>
      </c>
      <c r="V37" s="704" t="s">
        <v>14</v>
      </c>
      <c r="W37" s="705">
        <f t="shared" si="12"/>
        <v>100</v>
      </c>
      <c r="X37" s="1350"/>
      <c r="Y37" s="3817"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817"/>
      <c r="Q38" s="1347">
        <f t="shared" si="14"/>
        <v>111</v>
      </c>
      <c r="R38" s="704" t="s">
        <v>14</v>
      </c>
      <c r="S38" s="705">
        <f t="shared" si="10"/>
        <v>100</v>
      </c>
      <c r="T38" s="704" t="s">
        <v>14</v>
      </c>
      <c r="U38" s="705">
        <f t="shared" si="11"/>
        <v>100</v>
      </c>
      <c r="V38" s="704" t="s">
        <v>14</v>
      </c>
      <c r="W38" s="705">
        <f t="shared" si="12"/>
        <v>100</v>
      </c>
      <c r="X38" s="1350"/>
      <c r="Y38" s="3817"/>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817"/>
      <c r="Q39" s="1347">
        <f t="shared" si="14"/>
        <v>111</v>
      </c>
      <c r="R39" s="704" t="s">
        <v>14</v>
      </c>
      <c r="S39" s="705">
        <f t="shared" si="10"/>
        <v>100</v>
      </c>
      <c r="T39" s="704" t="s">
        <v>14</v>
      </c>
      <c r="U39" s="705">
        <f t="shared" si="11"/>
        <v>100</v>
      </c>
      <c r="V39" s="704" t="s">
        <v>14</v>
      </c>
      <c r="W39" s="705">
        <f t="shared" si="12"/>
        <v>100</v>
      </c>
      <c r="X39" s="1350"/>
      <c r="Y39" s="3817"/>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817"/>
      <c r="Q40" s="1347">
        <f t="shared" si="14"/>
        <v>111</v>
      </c>
      <c r="R40" s="707" t="s">
        <v>14</v>
      </c>
      <c r="S40" s="708">
        <f t="shared" si="10"/>
        <v>100</v>
      </c>
      <c r="T40" s="707" t="s">
        <v>14</v>
      </c>
      <c r="U40" s="708">
        <f t="shared" si="11"/>
        <v>100</v>
      </c>
      <c r="V40" s="707" t="s">
        <v>14</v>
      </c>
      <c r="W40" s="708">
        <f t="shared" si="12"/>
        <v>100</v>
      </c>
      <c r="X40" s="709"/>
      <c r="Y40" s="3817"/>
      <c r="Z40" s="710">
        <f t="shared" si="13"/>
        <v>111</v>
      </c>
      <c r="AA40" s="1348">
        <f t="shared" si="3"/>
        <v>1</v>
      </c>
      <c r="AB40" s="1348">
        <f t="shared" si="4"/>
        <v>1</v>
      </c>
      <c r="AC40" s="1348">
        <f t="shared" si="5"/>
        <v>1</v>
      </c>
    </row>
    <row r="41" spans="1:31" ht="15">
      <c r="A41" s="430" t="s">
        <v>1828</v>
      </c>
      <c r="B41" s="1977" t="s">
        <v>1906</v>
      </c>
      <c r="C41" s="630" t="s">
        <v>0</v>
      </c>
      <c r="D41" s="432"/>
      <c r="E41" s="433"/>
      <c r="F41" s="434"/>
      <c r="G41" s="435"/>
      <c r="H41" s="436"/>
      <c r="I41" s="433"/>
      <c r="J41" s="436"/>
      <c r="K41" s="713"/>
      <c r="L41" s="2695"/>
      <c r="M41" s="2687"/>
      <c r="N41" s="2687"/>
      <c r="O41" s="2696"/>
      <c r="P41" s="3819" t="str">
        <f>A41</f>
        <v>成交单价</v>
      </c>
      <c r="Q41" s="3819"/>
      <c r="R41" s="3806">
        <f>E41</f>
        <v>0</v>
      </c>
      <c r="S41" s="3806"/>
      <c r="T41" s="3806">
        <f>G41</f>
        <v>0</v>
      </c>
      <c r="U41" s="3806"/>
      <c r="V41" s="3806">
        <f>I41</f>
        <v>0</v>
      </c>
      <c r="W41" s="3806"/>
      <c r="X41" s="689"/>
      <c r="Y41" s="711"/>
      <c r="Z41" s="689"/>
      <c r="AA41" s="689"/>
      <c r="AB41" s="689"/>
      <c r="AC41" s="689"/>
    </row>
    <row r="42" spans="1:31" ht="15.7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819" t="str">
        <f>A42</f>
        <v>比较价值（元/平方米）</v>
      </c>
      <c r="Q42" s="3819"/>
      <c r="R42" s="3837" t="e">
        <f>ROUND(PRODUCT(R41,AA7:AA40),0)</f>
        <v>#DIV/0!</v>
      </c>
      <c r="S42" s="3837"/>
      <c r="T42" s="3837" t="e">
        <f>ROUND(PRODUCT(T41,AB7:AB40),0)</f>
        <v>#DIV/0!</v>
      </c>
      <c r="U42" s="3837"/>
      <c r="V42" s="3837" t="e">
        <f>ROUND(PRODUCT(V41,AC7:AC40),0)</f>
        <v>#DIV/0!</v>
      </c>
      <c r="W42" s="3837"/>
      <c r="X42" s="689"/>
      <c r="Y42" s="689"/>
      <c r="Z42" s="689"/>
      <c r="AA42" s="689"/>
      <c r="AB42" s="689"/>
      <c r="AC42" s="689"/>
    </row>
    <row r="43" spans="1:31" ht="15.75" thickBot="1">
      <c r="A43" s="441" t="s">
        <v>1778</v>
      </c>
      <c r="B43" s="442"/>
      <c r="C43" s="443" t="e">
        <f>R43</f>
        <v>#DIV/0!</v>
      </c>
      <c r="D43" s="443"/>
      <c r="E43" s="443"/>
      <c r="F43" s="443"/>
      <c r="G43" s="443"/>
      <c r="H43" s="443"/>
      <c r="I43" s="443"/>
      <c r="J43" s="443"/>
      <c r="K43" s="714"/>
      <c r="L43" s="2695"/>
      <c r="M43" s="2687"/>
      <c r="N43" s="2687"/>
      <c r="O43" s="2696"/>
      <c r="P43" s="3831" t="str">
        <f>A43</f>
        <v>估价对象XX用房的比较价值（楼面单价，元/平方米）</v>
      </c>
      <c r="Q43" s="3832"/>
      <c r="R43" s="3836" t="e">
        <f>ROUND(IF(D42="简单平均",AVERAGE(R42:W42),R42*F42+T42*H42+V42*J42),0)</f>
        <v>#DIV/0!</v>
      </c>
      <c r="S43" s="3836"/>
      <c r="T43" s="3836"/>
      <c r="U43" s="3836"/>
      <c r="V43" s="3836"/>
      <c r="W43" s="3836"/>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5"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7">
      <c r="A50" s="632" t="s">
        <v>1865</v>
      </c>
      <c r="B50" s="633" t="s">
        <v>1866</v>
      </c>
      <c r="C50" s="1978" t="s">
        <v>1867</v>
      </c>
      <c r="D50" s="1979" t="s">
        <v>1868</v>
      </c>
      <c r="E50" s="634" t="s">
        <v>1869</v>
      </c>
      <c r="F50" s="635" t="s">
        <v>1870</v>
      </c>
      <c r="G50" s="3793" t="s">
        <v>1871</v>
      </c>
      <c r="H50" s="3838"/>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789"/>
      <c r="H51" s="3819"/>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5"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5"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696"/>
      <c r="Q63" s="2696"/>
      <c r="R63" s="2696"/>
      <c r="S63" s="2696"/>
      <c r="T63" s="2696"/>
      <c r="U63" s="2696"/>
      <c r="V63" s="2696"/>
      <c r="W63" s="2696"/>
      <c r="X63" s="2696"/>
      <c r="Y63" s="2696"/>
      <c r="Z63" s="2696"/>
      <c r="AA63" s="2696"/>
      <c r="AB63" s="2696"/>
      <c r="AC63" s="2696"/>
      <c r="AD63" s="2696"/>
      <c r="AE63" s="2696"/>
    </row>
    <row r="64" spans="1:31" ht="21.75"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5">
      <c r="A65" s="1984" t="s">
        <v>1888</v>
      </c>
      <c r="B65" s="1105"/>
      <c r="C65" s="1177" t="str">
        <f>YEAR(C63)&amp;"-"&amp;ROUNDUP(MONTH(C63)/3,0)</f>
        <v>2024-1</v>
      </c>
      <c r="D65" s="1177" t="str">
        <f t="shared" ref="D65:O65" si="19">YEAR(D63)&amp;"-"&amp;ROUNDUP(MONTH(D63)/3,0)</f>
        <v>2023-4</v>
      </c>
      <c r="E65" s="1177" t="str">
        <f t="shared" si="19"/>
        <v>2023-3</v>
      </c>
      <c r="F65" s="1177" t="str">
        <f t="shared" si="19"/>
        <v>2023-2</v>
      </c>
      <c r="G65" s="1177" t="str">
        <f t="shared" si="19"/>
        <v>2023-1</v>
      </c>
      <c r="H65" s="1177" t="str">
        <f t="shared" si="19"/>
        <v>2022-4</v>
      </c>
      <c r="I65" s="1177" t="str">
        <f t="shared" si="19"/>
        <v>2022-3</v>
      </c>
      <c r="J65" s="1177" t="str">
        <f t="shared" si="19"/>
        <v>2022-2</v>
      </c>
      <c r="K65" s="1177" t="str">
        <f t="shared" si="19"/>
        <v>2022-1</v>
      </c>
      <c r="L65" s="1177" t="str">
        <f t="shared" si="19"/>
        <v>2021-4</v>
      </c>
      <c r="M65" s="1177" t="str">
        <f t="shared" si="19"/>
        <v>2021-3</v>
      </c>
      <c r="N65" s="1177" t="str">
        <f t="shared" si="19"/>
        <v>2021-2</v>
      </c>
      <c r="O65" s="1177" t="str">
        <f t="shared" si="19"/>
        <v>2021-1</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7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5">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5.75"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7.75"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5.75"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ht="15">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5.75"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5.75"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5.75"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5.75"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5.75"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5.75"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7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7.75"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7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5.75"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5.75"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5"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5.75"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5"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5.75"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ht="15">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5.75"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5"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5.75"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5"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5.75"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5"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5.75"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748" t="s">
        <v>694</v>
      </c>
      <c r="C6" s="1070" t="e">
        <f ca="1">ROUND(F6*F8*F7*(1-F9)/10000,0)</f>
        <v>#N/A</v>
      </c>
      <c r="D6" s="155" t="s">
        <v>2091</v>
      </c>
      <c r="E6" s="302" t="s">
        <v>696</v>
      </c>
      <c r="F6" s="303" t="e">
        <f ca="1">INDIRECT("'数据-取费表'!u"&amp;$G$1)</f>
        <v>#N/A</v>
      </c>
      <c r="G6" s="1379"/>
      <c r="H6" s="1065" t="s">
        <v>398</v>
      </c>
      <c r="I6" s="3748" t="s">
        <v>694</v>
      </c>
      <c r="J6" s="301" t="e">
        <f ca="1">ROUND(M6*M8*M7*(1-M9)/10000,0)</f>
        <v>#N/A</v>
      </c>
      <c r="K6" s="155" t="s">
        <v>2090</v>
      </c>
      <c r="L6" s="302" t="s">
        <v>696</v>
      </c>
      <c r="M6" s="303" t="e">
        <f ca="1">INDIRECT("'数据-取费表'!z"&amp;$G$1)</f>
        <v>#N/A</v>
      </c>
    </row>
    <row r="7" spans="1:37" ht="18" customHeight="1">
      <c r="A7" s="1069"/>
      <c r="B7" s="3749"/>
      <c r="C7" s="1071"/>
      <c r="D7" s="307"/>
      <c r="E7" s="3422" t="s">
        <v>697</v>
      </c>
      <c r="F7" s="303" t="e">
        <f ca="1">IF(INDIRECT("'数据-取费表'!ah"&amp;$G$1)="",INDIRECT("'数据-取费表'!k"&amp;$G$1),INDIRECT("'数据-取费表'!ah"&amp;$G$1))</f>
        <v>#N/A</v>
      </c>
      <c r="G7" s="1379"/>
      <c r="H7" s="304"/>
      <c r="I7" s="3749"/>
      <c r="J7" s="306"/>
      <c r="K7" s="307"/>
      <c r="L7" s="302" t="s">
        <v>697</v>
      </c>
      <c r="M7" s="303" t="e">
        <f ca="1">F7</f>
        <v>#N/A</v>
      </c>
    </row>
    <row r="8" spans="1:37" ht="18" customHeight="1">
      <c r="A8" s="304"/>
      <c r="B8" s="3749"/>
      <c r="C8" s="306"/>
      <c r="D8" s="307"/>
      <c r="E8" s="302" t="s">
        <v>698</v>
      </c>
      <c r="F8" s="303" t="e">
        <f ca="1">INDIRECT("'数据-取费表'!ai"&amp;$G$1)</f>
        <v>#N/A</v>
      </c>
      <c r="G8" s="1379"/>
      <c r="H8" s="304"/>
      <c r="I8" s="3749"/>
      <c r="J8" s="306"/>
      <c r="K8" s="307"/>
      <c r="L8" s="302" t="s">
        <v>698</v>
      </c>
      <c r="M8" s="303" t="e">
        <f ca="1">INDIRECT("'数据-取费表'!ai"&amp;$G$1)</f>
        <v>#N/A</v>
      </c>
    </row>
    <row r="9" spans="1:37" ht="18" customHeight="1">
      <c r="A9" s="304"/>
      <c r="B9" s="3750"/>
      <c r="C9" s="306"/>
      <c r="D9" s="307"/>
      <c r="E9" s="302" t="s">
        <v>699</v>
      </c>
      <c r="F9" s="312" t="e">
        <f ca="1">INDIRECT("'数据-取费表'!w"&amp;$G$1)</f>
        <v>#N/A</v>
      </c>
      <c r="G9" s="1379"/>
      <c r="H9" s="304"/>
      <c r="I9" s="3750"/>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9" t="s">
        <v>705</v>
      </c>
      <c r="E13" s="3419"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5" t="s">
        <v>708</v>
      </c>
      <c r="E14" s="3424"/>
      <c r="F14" s="319"/>
      <c r="G14" s="1379"/>
      <c r="H14" s="978" t="s">
        <v>398</v>
      </c>
      <c r="I14" s="302" t="s">
        <v>709</v>
      </c>
      <c r="J14" s="21" t="e">
        <f ca="1">C29</f>
        <v>#N/A</v>
      </c>
      <c r="K14" s="3421"/>
      <c r="L14" s="803"/>
      <c r="M14" s="804"/>
    </row>
    <row r="15" spans="1:37" s="1392" customFormat="1" ht="18" customHeight="1" thickBot="1">
      <c r="A15" s="978" t="s">
        <v>399</v>
      </c>
      <c r="B15" s="302" t="s">
        <v>710</v>
      </c>
      <c r="C15" s="21" t="e">
        <f ca="1">ROUND(C14*F15,0)</f>
        <v>#N/A</v>
      </c>
      <c r="D15" s="3420" t="s">
        <v>711</v>
      </c>
      <c r="E15" s="3420"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7"/>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5" t="s">
        <v>720</v>
      </c>
      <c r="L17" s="3426"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6"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9"/>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0.02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9"/>
      <c r="F22" s="23"/>
      <c r="G22" s="1379"/>
      <c r="H22" s="978" t="s">
        <v>402</v>
      </c>
      <c r="I22" s="302" t="s">
        <v>738</v>
      </c>
      <c r="J22" s="21" t="e">
        <f ca="1">ROUND(J14*M22,2)</f>
        <v>#N/A</v>
      </c>
      <c r="K22" s="3426"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6"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9"/>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20"/>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7"/>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5" t="s">
        <v>720</v>
      </c>
      <c r="E31" s="3426"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6"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6"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6"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28" t="e">
        <f ca="1">C49+C53+C55</f>
        <v>#N/A</v>
      </c>
      <c r="D48" s="1108"/>
      <c r="E48" s="1109"/>
      <c r="F48" s="958"/>
      <c r="G48" s="721"/>
      <c r="H48" s="722"/>
      <c r="I48" s="1416" t="s">
        <v>819</v>
      </c>
      <c r="J48" s="1417" t="s">
        <v>3385</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5"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751" t="s">
        <v>837</v>
      </c>
      <c r="L53" s="3752"/>
      <c r="O53" s="1413" t="s">
        <v>409</v>
      </c>
      <c r="P53" s="1414" t="s">
        <v>838</v>
      </c>
      <c r="Q53" s="1415" t="e">
        <f ca="1">Q47+Q48</f>
        <v>#N/A</v>
      </c>
      <c r="R53" s="1415" t="s">
        <v>410</v>
      </c>
    </row>
    <row r="54" spans="1:18" s="1379" customFormat="1" ht="13.5" thickBot="1">
      <c r="A54" s="1149"/>
      <c r="B54" s="1362" t="s">
        <v>679</v>
      </c>
      <c r="C54" s="955"/>
      <c r="D54" s="1361"/>
      <c r="E54" s="3423"/>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23"/>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3">
        <v>2</v>
      </c>
      <c r="B56" s="954" t="s">
        <v>704</v>
      </c>
      <c r="C56" s="232" t="e">
        <f ca="1">C13</f>
        <v>#N/A</v>
      </c>
      <c r="D56" s="1442"/>
      <c r="E56" s="1443"/>
      <c r="F56" s="1435"/>
      <c r="I56" s="1444" t="s">
        <v>842</v>
      </c>
      <c r="J56" s="1445" t="s">
        <v>3386</v>
      </c>
      <c r="K56" s="1416" t="s">
        <v>843</v>
      </c>
      <c r="L56" s="1419" t="e">
        <f ca="1">IF(L48&lt;J51,"——",L48-J53)</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5" customWidth="1"/>
    <col min="14" max="14" width="10" style="3045" customWidth="1"/>
    <col min="15" max="16" width="8.25" style="3045"/>
    <col min="17" max="17" width="34.125" style="3045" customWidth="1"/>
    <col min="18" max="18" width="8.25" style="3045" customWidth="1"/>
    <col min="19" max="19" width="8.25" style="3045"/>
    <col min="20" max="20" width="11.625" style="3045" customWidth="1"/>
    <col min="21" max="16384" width="8.2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850" t="s">
        <v>2589</v>
      </c>
      <c r="B20" s="3843" t="s">
        <v>2610</v>
      </c>
      <c r="C20" s="3074" t="s">
        <v>2421</v>
      </c>
      <c r="D20" s="3075"/>
      <c r="E20" s="3076">
        <v>1</v>
      </c>
      <c r="F20" s="3077" t="s">
        <v>2422</v>
      </c>
      <c r="G20" s="3077"/>
    </row>
    <row r="21" spans="1:13" ht="19.5" customHeight="1">
      <c r="A21" s="3851"/>
      <c r="B21" s="3844"/>
      <c r="C21" s="3078" t="s">
        <v>2423</v>
      </c>
      <c r="D21" s="3079"/>
      <c r="E21" s="3080">
        <v>1</v>
      </c>
      <c r="F21" s="3077" t="s">
        <v>2424</v>
      </c>
      <c r="G21" s="3077"/>
    </row>
    <row r="22" spans="1:13" ht="19.5" customHeight="1">
      <c r="A22" s="3851"/>
      <c r="B22" s="3844"/>
      <c r="C22" s="3078" t="s">
        <v>2425</v>
      </c>
      <c r="D22" s="3079"/>
      <c r="E22" s="3080">
        <v>0.9</v>
      </c>
      <c r="F22" s="3077" t="s">
        <v>2426</v>
      </c>
      <c r="G22" s="3077"/>
    </row>
    <row r="23" spans="1:13" ht="19.5" customHeight="1">
      <c r="A23" s="3851"/>
      <c r="B23" s="3844"/>
      <c r="C23" s="3078" t="s">
        <v>2427</v>
      </c>
      <c r="D23" s="3079"/>
      <c r="E23" s="3080">
        <v>0.9</v>
      </c>
      <c r="F23" s="3077" t="s">
        <v>2428</v>
      </c>
      <c r="G23" s="3077"/>
    </row>
    <row r="24" spans="1:13" ht="19.5" customHeight="1">
      <c r="A24" s="3851"/>
      <c r="B24" s="3844"/>
      <c r="C24" s="3078" t="s">
        <v>2429</v>
      </c>
      <c r="D24" s="3079"/>
      <c r="E24" s="3080">
        <v>0.8</v>
      </c>
      <c r="F24" s="3077" t="s">
        <v>2430</v>
      </c>
      <c r="G24" s="3077"/>
    </row>
    <row r="25" spans="1:13" ht="19.5" customHeight="1" thickBot="1">
      <c r="A25" s="3852"/>
      <c r="B25" s="3845"/>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846" t="s">
        <v>2613</v>
      </c>
      <c r="B27" s="3843" t="s">
        <v>2594</v>
      </c>
      <c r="C27" s="3074" t="s">
        <v>2434</v>
      </c>
      <c r="D27" s="3075"/>
      <c r="E27" s="3076">
        <v>1</v>
      </c>
      <c r="F27" s="3077" t="s">
        <v>2435</v>
      </c>
      <c r="G27" s="3077"/>
    </row>
    <row r="28" spans="1:13" ht="19.5" customHeight="1">
      <c r="A28" s="3847"/>
      <c r="B28" s="3844"/>
      <c r="C28" s="3078" t="s">
        <v>2436</v>
      </c>
      <c r="D28" s="3079"/>
      <c r="E28" s="3080">
        <v>1</v>
      </c>
      <c r="F28" s="3077" t="s">
        <v>2437</v>
      </c>
      <c r="G28" s="3077"/>
    </row>
    <row r="29" spans="1:13" ht="19.5" customHeight="1">
      <c r="A29" s="3847"/>
      <c r="B29" s="3844"/>
      <c r="C29" s="3078" t="s">
        <v>2438</v>
      </c>
      <c r="D29" s="3079"/>
      <c r="E29" s="3080">
        <v>0.8</v>
      </c>
      <c r="F29" s="3077" t="s">
        <v>2439</v>
      </c>
      <c r="G29" s="3077"/>
    </row>
    <row r="30" spans="1:13" ht="19.5" customHeight="1">
      <c r="A30" s="3847"/>
      <c r="B30" s="3844"/>
      <c r="C30" s="3078" t="s">
        <v>2440</v>
      </c>
      <c r="D30" s="3079"/>
      <c r="E30" s="3080">
        <v>0.8</v>
      </c>
      <c r="F30" s="3077" t="s">
        <v>2441</v>
      </c>
      <c r="G30" s="3077"/>
    </row>
    <row r="31" spans="1:13" ht="19.5" customHeight="1">
      <c r="A31" s="3847"/>
      <c r="B31" s="3844"/>
      <c r="C31" s="3078" t="s">
        <v>2442</v>
      </c>
      <c r="D31" s="3079"/>
      <c r="E31" s="3080">
        <v>0.8</v>
      </c>
      <c r="F31" s="3077" t="s">
        <v>2443</v>
      </c>
      <c r="G31" s="3077"/>
    </row>
    <row r="32" spans="1:13" ht="19.5" customHeight="1">
      <c r="A32" s="3847"/>
      <c r="B32" s="3844"/>
      <c r="C32" s="3078" t="s">
        <v>2444</v>
      </c>
      <c r="D32" s="3079"/>
      <c r="E32" s="3080">
        <v>0.7</v>
      </c>
      <c r="F32" s="3077" t="s">
        <v>2445</v>
      </c>
      <c r="G32" s="3077"/>
    </row>
    <row r="33" spans="1:7" ht="19.5" customHeight="1">
      <c r="A33" s="3847"/>
      <c r="B33" s="3844"/>
      <c r="C33" s="3078" t="s">
        <v>2446</v>
      </c>
      <c r="D33" s="3079"/>
      <c r="E33" s="3080">
        <v>0.8</v>
      </c>
      <c r="F33" s="3077" t="s">
        <v>2447</v>
      </c>
      <c r="G33" s="3077"/>
    </row>
    <row r="34" spans="1:7" ht="19.5" customHeight="1">
      <c r="A34" s="3847"/>
      <c r="B34" s="3844"/>
      <c r="C34" s="3078" t="s">
        <v>2448</v>
      </c>
      <c r="D34" s="3079"/>
      <c r="E34" s="3080">
        <v>0.6</v>
      </c>
      <c r="F34" s="3077" t="s">
        <v>2449</v>
      </c>
      <c r="G34" s="3077"/>
    </row>
    <row r="35" spans="1:7" ht="19.5" customHeight="1">
      <c r="A35" s="3847"/>
      <c r="B35" s="3844"/>
      <c r="C35" s="3078" t="s">
        <v>2450</v>
      </c>
      <c r="D35" s="3079"/>
      <c r="E35" s="3080">
        <v>0.2</v>
      </c>
      <c r="F35" s="3077" t="s">
        <v>2451</v>
      </c>
      <c r="G35" s="3077"/>
    </row>
    <row r="36" spans="1:7" ht="19.5" customHeight="1">
      <c r="A36" s="3847"/>
      <c r="B36" s="3844"/>
      <c r="C36" s="3078" t="s">
        <v>2452</v>
      </c>
      <c r="D36" s="3079"/>
      <c r="E36" s="3080">
        <v>0.2</v>
      </c>
      <c r="F36" s="3077" t="s">
        <v>2453</v>
      </c>
      <c r="G36" s="3077"/>
    </row>
    <row r="37" spans="1:7" ht="19.5" customHeight="1">
      <c r="A37" s="3847"/>
      <c r="B37" s="3849" t="s">
        <v>2614</v>
      </c>
      <c r="C37" s="3078" t="s">
        <v>2454</v>
      </c>
      <c r="D37" s="3079"/>
      <c r="E37" s="3080">
        <v>0.6</v>
      </c>
      <c r="F37" s="3077" t="s">
        <v>2455</v>
      </c>
      <c r="G37" s="3077"/>
    </row>
    <row r="38" spans="1:7" ht="19.5" customHeight="1">
      <c r="A38" s="3847"/>
      <c r="B38" s="3844"/>
      <c r="C38" s="3078" t="s">
        <v>2456</v>
      </c>
      <c r="D38" s="3079"/>
      <c r="E38" s="3080">
        <v>0.6</v>
      </c>
      <c r="F38" s="3077" t="s">
        <v>2457</v>
      </c>
      <c r="G38" s="3077"/>
    </row>
    <row r="39" spans="1:7" ht="19.5" customHeight="1" thickBot="1">
      <c r="A39" s="3848"/>
      <c r="B39" s="3845"/>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850" t="s">
        <v>2592</v>
      </c>
      <c r="B41" s="3843" t="s">
        <v>2616</v>
      </c>
      <c r="C41" s="3074" t="s">
        <v>2461</v>
      </c>
      <c r="D41" s="3075"/>
      <c r="E41" s="3076">
        <v>1</v>
      </c>
      <c r="F41" s="3077" t="s">
        <v>2462</v>
      </c>
      <c r="G41" s="3077"/>
    </row>
    <row r="42" spans="1:7" ht="19.5" customHeight="1">
      <c r="A42" s="3851"/>
      <c r="B42" s="3844"/>
      <c r="C42" s="3078" t="s">
        <v>2463</v>
      </c>
      <c r="D42" s="3079"/>
      <c r="E42" s="3080">
        <v>1</v>
      </c>
      <c r="F42" s="3077" t="s">
        <v>2464</v>
      </c>
      <c r="G42" s="3077"/>
    </row>
    <row r="43" spans="1:7" ht="19.5" customHeight="1">
      <c r="A43" s="3851"/>
      <c r="B43" s="3853"/>
      <c r="C43" s="3078" t="s">
        <v>2465</v>
      </c>
      <c r="D43" s="3079"/>
      <c r="E43" s="3080">
        <v>1.5</v>
      </c>
      <c r="F43" s="3077" t="s">
        <v>2466</v>
      </c>
      <c r="G43" s="3077"/>
    </row>
    <row r="44" spans="1:7" ht="19.5" customHeight="1">
      <c r="A44" s="3851"/>
      <c r="B44" s="3089" t="s">
        <v>2617</v>
      </c>
      <c r="C44" s="3078" t="s">
        <v>2618</v>
      </c>
      <c r="D44" s="3079"/>
      <c r="E44" s="3080">
        <v>2</v>
      </c>
      <c r="F44" s="3077" t="s">
        <v>2467</v>
      </c>
      <c r="G44" s="3077"/>
    </row>
    <row r="45" spans="1:7" ht="19.5" customHeight="1">
      <c r="A45" s="3851"/>
      <c r="B45" s="3849" t="s">
        <v>2619</v>
      </c>
      <c r="C45" s="3078" t="s">
        <v>2468</v>
      </c>
      <c r="D45" s="3079"/>
      <c r="E45" s="3080">
        <v>1</v>
      </c>
      <c r="F45" s="3077" t="s">
        <v>2469</v>
      </c>
      <c r="G45" s="3077"/>
    </row>
    <row r="46" spans="1:7" ht="19.5" customHeight="1">
      <c r="A46" s="3851"/>
      <c r="B46" s="3844"/>
      <c r="C46" s="3078" t="s">
        <v>2470</v>
      </c>
      <c r="D46" s="3079"/>
      <c r="E46" s="3080">
        <v>1</v>
      </c>
      <c r="F46" s="3077" t="s">
        <v>2471</v>
      </c>
      <c r="G46" s="3077"/>
    </row>
    <row r="47" spans="1:7" ht="19.5" customHeight="1">
      <c r="A47" s="3851"/>
      <c r="B47" s="3844"/>
      <c r="C47" s="3078" t="s">
        <v>2472</v>
      </c>
      <c r="D47" s="3079"/>
      <c r="E47" s="3080">
        <v>1</v>
      </c>
      <c r="F47" s="3077" t="s">
        <v>2473</v>
      </c>
      <c r="G47" s="3077"/>
    </row>
    <row r="48" spans="1:7" ht="19.5" customHeight="1">
      <c r="A48" s="3851"/>
      <c r="B48" s="3844"/>
      <c r="C48" s="3078" t="s">
        <v>2474</v>
      </c>
      <c r="D48" s="3079"/>
      <c r="E48" s="3080">
        <v>1</v>
      </c>
      <c r="F48" s="3077" t="s">
        <v>2475</v>
      </c>
      <c r="G48" s="3077"/>
    </row>
    <row r="49" spans="1:7" ht="19.5" customHeight="1">
      <c r="A49" s="3851"/>
      <c r="B49" s="3844"/>
      <c r="C49" s="3078" t="s">
        <v>2476</v>
      </c>
      <c r="D49" s="3079"/>
      <c r="E49" s="3080">
        <v>1</v>
      </c>
      <c r="F49" s="3077" t="s">
        <v>2477</v>
      </c>
      <c r="G49" s="3077"/>
    </row>
    <row r="50" spans="1:7" ht="19.5" customHeight="1">
      <c r="A50" s="3851"/>
      <c r="B50" s="3844"/>
      <c r="C50" s="3078" t="s">
        <v>2478</v>
      </c>
      <c r="D50" s="3079"/>
      <c r="E50" s="3080">
        <v>1</v>
      </c>
      <c r="F50" s="3077" t="s">
        <v>2479</v>
      </c>
      <c r="G50" s="3077"/>
    </row>
    <row r="51" spans="1:7" ht="19.5" customHeight="1" thickBot="1">
      <c r="A51" s="3852"/>
      <c r="B51" s="3845"/>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3.5">
      <c r="A72" s="3089"/>
      <c r="B72" s="3089"/>
      <c r="C72" s="3089" t="s">
        <v>2632</v>
      </c>
      <c r="D72" s="3089"/>
      <c r="E72" s="3089" t="s">
        <v>2603</v>
      </c>
      <c r="F72" s="3089" t="s">
        <v>2603</v>
      </c>
    </row>
    <row r="73" spans="1:7" ht="13.5">
      <c r="A73" s="3089">
        <v>1</v>
      </c>
      <c r="B73" s="3849" t="s">
        <v>2633</v>
      </c>
      <c r="C73" s="3063" t="s">
        <v>2634</v>
      </c>
      <c r="D73" s="3063" t="s">
        <v>2635</v>
      </c>
      <c r="E73" s="3089">
        <v>0.2</v>
      </c>
      <c r="F73" s="3089">
        <v>25</v>
      </c>
    </row>
    <row r="74" spans="1:7" ht="24">
      <c r="A74" s="3089">
        <v>2</v>
      </c>
      <c r="B74" s="3844"/>
      <c r="C74" s="3063" t="s">
        <v>2636</v>
      </c>
      <c r="D74" s="3063" t="s">
        <v>2637</v>
      </c>
      <c r="E74" s="3089">
        <v>0.2</v>
      </c>
      <c r="F74" s="3089">
        <v>25</v>
      </c>
    </row>
    <row r="75" spans="1:7" ht="24">
      <c r="A75" s="3089">
        <v>3</v>
      </c>
      <c r="B75" s="3844"/>
      <c r="C75" s="3063" t="s">
        <v>2638</v>
      </c>
      <c r="D75" s="3063" t="s">
        <v>2639</v>
      </c>
      <c r="E75" s="3089">
        <v>0.2</v>
      </c>
      <c r="F75" s="3089">
        <v>25</v>
      </c>
    </row>
    <row r="76" spans="1:7" ht="13.5">
      <c r="A76" s="3089">
        <v>4</v>
      </c>
      <c r="B76" s="3844"/>
      <c r="C76" s="3063" t="s">
        <v>2640</v>
      </c>
      <c r="D76" s="3063" t="s">
        <v>2641</v>
      </c>
      <c r="E76" s="3089">
        <v>0.15</v>
      </c>
      <c r="F76" s="3089">
        <v>20</v>
      </c>
    </row>
    <row r="77" spans="1:7" ht="24">
      <c r="A77" s="3089">
        <v>5</v>
      </c>
      <c r="B77" s="3844"/>
      <c r="C77" s="3063" t="s">
        <v>2642</v>
      </c>
      <c r="D77" s="3063" t="s">
        <v>2643</v>
      </c>
      <c r="E77" s="3089">
        <v>0.15</v>
      </c>
      <c r="F77" s="3089">
        <v>20</v>
      </c>
    </row>
    <row r="78" spans="1:7" ht="24">
      <c r="A78" s="3089">
        <v>6</v>
      </c>
      <c r="B78" s="3844"/>
      <c r="C78" s="3063" t="s">
        <v>2644</v>
      </c>
      <c r="D78" s="3063" t="s">
        <v>2645</v>
      </c>
      <c r="E78" s="3089">
        <v>0.15</v>
      </c>
      <c r="F78" s="3089">
        <v>20</v>
      </c>
    </row>
    <row r="79" spans="1:7" ht="24">
      <c r="A79" s="3089">
        <v>7</v>
      </c>
      <c r="B79" s="3844"/>
      <c r="C79" s="3063" t="s">
        <v>2646</v>
      </c>
      <c r="D79" s="3063" t="s">
        <v>2647</v>
      </c>
      <c r="E79" s="3089">
        <v>0.15</v>
      </c>
      <c r="F79" s="3089">
        <v>20</v>
      </c>
    </row>
    <row r="80" spans="1:7" ht="24">
      <c r="A80" s="3089">
        <v>8</v>
      </c>
      <c r="B80" s="3844"/>
      <c r="C80" s="3063" t="s">
        <v>2648</v>
      </c>
      <c r="D80" s="3063" t="s">
        <v>2649</v>
      </c>
      <c r="E80" s="3089">
        <v>0.1</v>
      </c>
      <c r="F80" s="3089">
        <v>15</v>
      </c>
    </row>
    <row r="81" spans="1:6" ht="24">
      <c r="A81" s="3089">
        <v>9</v>
      </c>
      <c r="B81" s="3844"/>
      <c r="C81" s="3063" t="s">
        <v>2650</v>
      </c>
      <c r="D81" s="3063" t="s">
        <v>2651</v>
      </c>
      <c r="E81" s="3089">
        <v>0.1</v>
      </c>
      <c r="F81" s="3089">
        <v>15</v>
      </c>
    </row>
    <row r="82" spans="1:6" ht="24">
      <c r="A82" s="3089">
        <v>10</v>
      </c>
      <c r="B82" s="3844"/>
      <c r="C82" s="3063" t="s">
        <v>2652</v>
      </c>
      <c r="D82" s="3063" t="s">
        <v>2653</v>
      </c>
      <c r="E82" s="3089">
        <v>0.1</v>
      </c>
      <c r="F82" s="3089">
        <v>15</v>
      </c>
    </row>
    <row r="83" spans="1:6" ht="24">
      <c r="A83" s="3089">
        <v>11</v>
      </c>
      <c r="B83" s="3844"/>
      <c r="C83" s="3063" t="s">
        <v>2654</v>
      </c>
      <c r="D83" s="3063" t="s">
        <v>2655</v>
      </c>
      <c r="E83" s="3089">
        <v>0.1</v>
      </c>
      <c r="F83" s="3089">
        <v>15</v>
      </c>
    </row>
    <row r="84" spans="1:6" ht="24">
      <c r="A84" s="3089">
        <v>12</v>
      </c>
      <c r="B84" s="3844"/>
      <c r="C84" s="3063" t="s">
        <v>2656</v>
      </c>
      <c r="D84" s="3063" t="s">
        <v>2657</v>
      </c>
      <c r="E84" s="3089">
        <v>0.1</v>
      </c>
      <c r="F84" s="3089">
        <v>15</v>
      </c>
    </row>
    <row r="85" spans="1:6" ht="13.5">
      <c r="A85" s="3089">
        <v>13</v>
      </c>
      <c r="B85" s="3844"/>
      <c r="C85" s="3063" t="s">
        <v>2658</v>
      </c>
      <c r="D85" s="3063" t="s">
        <v>2659</v>
      </c>
      <c r="E85" s="3089">
        <v>0.1</v>
      </c>
      <c r="F85" s="3089">
        <v>15</v>
      </c>
    </row>
    <row r="86" spans="1:6" ht="13.5">
      <c r="A86" s="3089">
        <v>14</v>
      </c>
      <c r="B86" s="3844"/>
      <c r="C86" s="3063" t="s">
        <v>2660</v>
      </c>
      <c r="D86" s="3063" t="s">
        <v>2661</v>
      </c>
      <c r="E86" s="3089">
        <v>0.1</v>
      </c>
      <c r="F86" s="3089">
        <v>15</v>
      </c>
    </row>
    <row r="87" spans="1:6" ht="13.5">
      <c r="A87" s="3089">
        <v>15</v>
      </c>
      <c r="B87" s="3844"/>
      <c r="C87" s="3063" t="s">
        <v>2662</v>
      </c>
      <c r="D87" s="3063" t="s">
        <v>2663</v>
      </c>
      <c r="E87" s="3089">
        <v>0.1</v>
      </c>
      <c r="F87" s="3089">
        <v>15</v>
      </c>
    </row>
    <row r="88" spans="1:6" ht="24">
      <c r="A88" s="3089">
        <v>16</v>
      </c>
      <c r="B88" s="3844"/>
      <c r="C88" s="3063" t="s">
        <v>2664</v>
      </c>
      <c r="D88" s="3063" t="s">
        <v>2665</v>
      </c>
      <c r="E88" s="3089">
        <v>0.1</v>
      </c>
      <c r="F88" s="3089">
        <v>15</v>
      </c>
    </row>
    <row r="89" spans="1:6" ht="24">
      <c r="A89" s="3089">
        <v>17</v>
      </c>
      <c r="B89" s="3853"/>
      <c r="C89" s="3063" t="s">
        <v>2666</v>
      </c>
      <c r="D89" s="3063" t="s">
        <v>2667</v>
      </c>
      <c r="E89" s="3089">
        <v>0.1</v>
      </c>
      <c r="F89" s="3089">
        <v>15</v>
      </c>
    </row>
    <row r="90" spans="1:6" ht="13.5">
      <c r="A90" s="3089">
        <v>18</v>
      </c>
      <c r="B90" s="3849" t="s">
        <v>2668</v>
      </c>
      <c r="C90" s="3063" t="s">
        <v>2669</v>
      </c>
      <c r="D90" s="3063" t="s">
        <v>2670</v>
      </c>
      <c r="E90" s="3089">
        <v>0.2</v>
      </c>
      <c r="F90" s="3089">
        <v>25</v>
      </c>
    </row>
    <row r="91" spans="1:6" ht="24">
      <c r="A91" s="3089">
        <v>19</v>
      </c>
      <c r="B91" s="3844"/>
      <c r="C91" s="3063" t="s">
        <v>2671</v>
      </c>
      <c r="D91" s="3063" t="s">
        <v>2672</v>
      </c>
      <c r="E91" s="3089">
        <v>0.2</v>
      </c>
      <c r="F91" s="3089">
        <v>25</v>
      </c>
    </row>
    <row r="92" spans="1:6" ht="13.5">
      <c r="A92" s="3089">
        <v>20</v>
      </c>
      <c r="B92" s="3844"/>
      <c r="C92" s="3063" t="s">
        <v>2673</v>
      </c>
      <c r="D92" s="3063" t="s">
        <v>2674</v>
      </c>
      <c r="E92" s="3089">
        <v>0.15</v>
      </c>
      <c r="F92" s="3089">
        <v>20</v>
      </c>
    </row>
    <row r="93" spans="1:6" ht="13.5">
      <c r="A93" s="3089">
        <v>21</v>
      </c>
      <c r="B93" s="3844"/>
      <c r="C93" s="3063" t="s">
        <v>2675</v>
      </c>
      <c r="D93" s="3063" t="s">
        <v>2676</v>
      </c>
      <c r="E93" s="3089">
        <v>0.15</v>
      </c>
      <c r="F93" s="3089">
        <v>20</v>
      </c>
    </row>
    <row r="94" spans="1:6" ht="13.5">
      <c r="A94" s="3089">
        <v>22</v>
      </c>
      <c r="B94" s="3844"/>
      <c r="C94" s="3063" t="s">
        <v>2677</v>
      </c>
      <c r="D94" s="3063" t="s">
        <v>2678</v>
      </c>
      <c r="E94" s="3089">
        <v>0.15</v>
      </c>
      <c r="F94" s="3089">
        <v>20</v>
      </c>
    </row>
    <row r="95" spans="1:6" ht="36">
      <c r="A95" s="3089">
        <v>23</v>
      </c>
      <c r="B95" s="3844"/>
      <c r="C95" s="3063" t="s">
        <v>2679</v>
      </c>
      <c r="D95" s="3063" t="s">
        <v>2680</v>
      </c>
      <c r="E95" s="3089">
        <v>0.15</v>
      </c>
      <c r="F95" s="3089">
        <v>20</v>
      </c>
    </row>
    <row r="96" spans="1:6" ht="13.5">
      <c r="A96" s="3089">
        <v>24</v>
      </c>
      <c r="B96" s="3844"/>
      <c r="C96" s="3063" t="s">
        <v>2681</v>
      </c>
      <c r="D96" s="3063" t="s">
        <v>2682</v>
      </c>
      <c r="E96" s="3089">
        <v>0.1</v>
      </c>
      <c r="F96" s="3089">
        <v>15</v>
      </c>
    </row>
    <row r="97" spans="1:6" ht="13.5">
      <c r="A97" s="3089">
        <v>25</v>
      </c>
      <c r="B97" s="3844"/>
      <c r="C97" s="3063" t="s">
        <v>2683</v>
      </c>
      <c r="D97" s="3063" t="s">
        <v>2684</v>
      </c>
      <c r="E97" s="3089">
        <v>0.1</v>
      </c>
      <c r="F97" s="3089">
        <v>15</v>
      </c>
    </row>
    <row r="98" spans="1:6" ht="24">
      <c r="A98" s="3089">
        <v>26</v>
      </c>
      <c r="B98" s="3844"/>
      <c r="C98" s="3063" t="s">
        <v>2685</v>
      </c>
      <c r="D98" s="3063" t="s">
        <v>2686</v>
      </c>
      <c r="E98" s="3089">
        <v>0.1</v>
      </c>
      <c r="F98" s="3089">
        <v>15</v>
      </c>
    </row>
    <row r="99" spans="1:6" ht="24">
      <c r="A99" s="3089">
        <v>27</v>
      </c>
      <c r="B99" s="3844"/>
      <c r="C99" s="3063" t="s">
        <v>2687</v>
      </c>
      <c r="D99" s="3063" t="s">
        <v>2688</v>
      </c>
      <c r="E99" s="3089">
        <v>0.1</v>
      </c>
      <c r="F99" s="3089">
        <v>15</v>
      </c>
    </row>
    <row r="100" spans="1:6" ht="13.5">
      <c r="A100" s="3089">
        <v>28</v>
      </c>
      <c r="B100" s="3844"/>
      <c r="C100" s="3063" t="s">
        <v>2689</v>
      </c>
      <c r="D100" s="3063" t="s">
        <v>2690</v>
      </c>
      <c r="E100" s="3089">
        <v>0.1</v>
      </c>
      <c r="F100" s="3089">
        <v>15</v>
      </c>
    </row>
    <row r="101" spans="1:6" ht="13.5">
      <c r="A101" s="3089">
        <v>29</v>
      </c>
      <c r="B101" s="3844"/>
      <c r="C101" s="3063" t="s">
        <v>2691</v>
      </c>
      <c r="D101" s="3063" t="s">
        <v>2692</v>
      </c>
      <c r="E101" s="3089">
        <v>0.1</v>
      </c>
      <c r="F101" s="3089">
        <v>15</v>
      </c>
    </row>
    <row r="102" spans="1:6" ht="13.5">
      <c r="A102" s="3089">
        <v>30</v>
      </c>
      <c r="B102" s="3844"/>
      <c r="C102" s="3063" t="s">
        <v>2693</v>
      </c>
      <c r="D102" s="3063" t="s">
        <v>2694</v>
      </c>
      <c r="E102" s="3089">
        <v>0.1</v>
      </c>
      <c r="F102" s="3089">
        <v>15</v>
      </c>
    </row>
    <row r="103" spans="1:6" ht="24">
      <c r="A103" s="3089">
        <v>31</v>
      </c>
      <c r="B103" s="3844"/>
      <c r="C103" s="3063" t="s">
        <v>2695</v>
      </c>
      <c r="D103" s="3063" t="s">
        <v>2696</v>
      </c>
      <c r="E103" s="3089">
        <v>0.1</v>
      </c>
      <c r="F103" s="3089">
        <v>15</v>
      </c>
    </row>
    <row r="104" spans="1:6" ht="24">
      <c r="A104" s="3089">
        <v>32</v>
      </c>
      <c r="B104" s="3844"/>
      <c r="C104" s="3063" t="s">
        <v>2697</v>
      </c>
      <c r="D104" s="3063" t="s">
        <v>2698</v>
      </c>
      <c r="E104" s="3089">
        <v>0.1</v>
      </c>
      <c r="F104" s="3089">
        <v>15</v>
      </c>
    </row>
    <row r="105" spans="1:6" ht="24">
      <c r="A105" s="3089">
        <v>33</v>
      </c>
      <c r="B105" s="3844"/>
      <c r="C105" s="3063" t="s">
        <v>2699</v>
      </c>
      <c r="D105" s="3063" t="s">
        <v>2700</v>
      </c>
      <c r="E105" s="3089">
        <v>0.1</v>
      </c>
      <c r="F105" s="3089">
        <v>15</v>
      </c>
    </row>
    <row r="106" spans="1:6" ht="24">
      <c r="A106" s="3089">
        <v>34</v>
      </c>
      <c r="B106" s="3853"/>
      <c r="C106" s="3063" t="s">
        <v>2701</v>
      </c>
      <c r="D106" s="3063" t="s">
        <v>2702</v>
      </c>
      <c r="E106" s="3089">
        <v>0.1</v>
      </c>
      <c r="F106" s="3089">
        <v>15</v>
      </c>
    </row>
    <row r="107" spans="1:6" ht="24">
      <c r="A107" s="3089">
        <v>35</v>
      </c>
      <c r="B107" s="3849" t="s">
        <v>2703</v>
      </c>
      <c r="C107" s="3089" t="s">
        <v>2704</v>
      </c>
      <c r="D107" s="3063" t="s">
        <v>2705</v>
      </c>
      <c r="E107" s="3089">
        <v>0.15</v>
      </c>
      <c r="F107" s="3089">
        <v>20</v>
      </c>
    </row>
    <row r="108" spans="1:6" ht="13.5">
      <c r="A108" s="3089">
        <v>36</v>
      </c>
      <c r="B108" s="3844"/>
      <c r="C108" s="3089" t="s">
        <v>2706</v>
      </c>
      <c r="D108" s="3063" t="s">
        <v>2707</v>
      </c>
      <c r="E108" s="3089">
        <v>0.15</v>
      </c>
      <c r="F108" s="3089">
        <v>20</v>
      </c>
    </row>
    <row r="109" spans="1:6" ht="13.5">
      <c r="A109" s="3089">
        <v>37</v>
      </c>
      <c r="B109" s="3844"/>
      <c r="C109" s="3089" t="s">
        <v>2708</v>
      </c>
      <c r="D109" s="3063" t="s">
        <v>2709</v>
      </c>
      <c r="E109" s="3089">
        <v>0.15</v>
      </c>
      <c r="F109" s="3089">
        <v>20</v>
      </c>
    </row>
    <row r="110" spans="1:6" ht="13.5">
      <c r="A110" s="3089">
        <v>38</v>
      </c>
      <c r="B110" s="3844"/>
      <c r="C110" s="3089" t="s">
        <v>2710</v>
      </c>
      <c r="D110" s="3063" t="s">
        <v>2711</v>
      </c>
      <c r="E110" s="3089">
        <v>0.1</v>
      </c>
      <c r="F110" s="3089">
        <v>15</v>
      </c>
    </row>
    <row r="111" spans="1:6" ht="24">
      <c r="A111" s="3089">
        <v>39</v>
      </c>
      <c r="B111" s="3844"/>
      <c r="C111" s="3089" t="s">
        <v>2712</v>
      </c>
      <c r="D111" s="3063" t="s">
        <v>2713</v>
      </c>
      <c r="E111" s="3089">
        <v>0.1</v>
      </c>
      <c r="F111" s="3089">
        <v>15</v>
      </c>
    </row>
    <row r="112" spans="1:6" ht="24">
      <c r="A112" s="3089">
        <v>40</v>
      </c>
      <c r="B112" s="3853"/>
      <c r="C112" s="3089" t="s">
        <v>2714</v>
      </c>
      <c r="D112" s="3063" t="s">
        <v>2715</v>
      </c>
      <c r="E112" s="3089">
        <v>0.1</v>
      </c>
      <c r="F112" s="3089">
        <v>15</v>
      </c>
    </row>
    <row r="113" spans="1:6" ht="13.5">
      <c r="A113" s="3089">
        <v>41</v>
      </c>
      <c r="B113" s="3854" t="s">
        <v>2716</v>
      </c>
      <c r="C113" s="3089" t="s">
        <v>2717</v>
      </c>
      <c r="D113" s="3063" t="s">
        <v>2718</v>
      </c>
      <c r="E113" s="3089">
        <v>0.1</v>
      </c>
      <c r="F113" s="3089">
        <v>15</v>
      </c>
    </row>
    <row r="114" spans="1:6" ht="13.5">
      <c r="A114" s="3089">
        <v>42</v>
      </c>
      <c r="B114" s="3854"/>
      <c r="C114" s="3089" t="s">
        <v>2719</v>
      </c>
      <c r="D114" s="3063" t="s">
        <v>2720</v>
      </c>
      <c r="E114" s="3089">
        <v>0.1</v>
      </c>
      <c r="F114" s="3089">
        <v>15</v>
      </c>
    </row>
    <row r="115" spans="1:6" ht="24">
      <c r="A115" s="3089">
        <v>43</v>
      </c>
      <c r="B115" s="3854"/>
      <c r="C115" s="3089" t="s">
        <v>2721</v>
      </c>
      <c r="D115" s="3063" t="s">
        <v>2722</v>
      </c>
      <c r="E115" s="3089">
        <v>0.1</v>
      </c>
      <c r="F115" s="3089">
        <v>15</v>
      </c>
    </row>
    <row r="116" spans="1:6" ht="13.5">
      <c r="A116" s="3089">
        <v>44</v>
      </c>
      <c r="B116" s="3849" t="s">
        <v>2723</v>
      </c>
      <c r="C116" s="3089" t="s">
        <v>2724</v>
      </c>
      <c r="D116" s="3063" t="s">
        <v>2725</v>
      </c>
      <c r="E116" s="3089">
        <v>0.1</v>
      </c>
      <c r="F116" s="3089">
        <v>15</v>
      </c>
    </row>
    <row r="117" spans="1:6" ht="24">
      <c r="A117" s="3089">
        <v>45</v>
      </c>
      <c r="B117" s="3853"/>
      <c r="C117" s="3063" t="s">
        <v>2726</v>
      </c>
      <c r="D117" s="3063" t="s">
        <v>2727</v>
      </c>
      <c r="E117" s="3089">
        <v>0.1</v>
      </c>
      <c r="F117" s="3089">
        <v>15</v>
      </c>
    </row>
    <row r="118" spans="1:6" ht="24">
      <c r="A118" s="3089">
        <v>46</v>
      </c>
      <c r="B118" s="3849" t="s">
        <v>2728</v>
      </c>
      <c r="C118" s="3089" t="s">
        <v>2729</v>
      </c>
      <c r="D118" s="3063" t="s">
        <v>2730</v>
      </c>
      <c r="E118" s="3089">
        <v>0.1</v>
      </c>
      <c r="F118" s="3089">
        <v>15</v>
      </c>
    </row>
    <row r="119" spans="1:6" ht="24">
      <c r="A119" s="3089">
        <v>47</v>
      </c>
      <c r="B119" s="3853"/>
      <c r="C119" s="3089" t="s">
        <v>2731</v>
      </c>
      <c r="D119" s="3063" t="s">
        <v>2732</v>
      </c>
      <c r="E119" s="3089">
        <v>0.1</v>
      </c>
      <c r="F119" s="3089">
        <v>15</v>
      </c>
    </row>
    <row r="120" spans="1:6" ht="13.5">
      <c r="A120" s="3089">
        <v>48</v>
      </c>
      <c r="B120" s="3849" t="s">
        <v>2733</v>
      </c>
      <c r="C120" s="3089" t="s">
        <v>2734</v>
      </c>
      <c r="D120" s="3063" t="s">
        <v>2735</v>
      </c>
      <c r="E120" s="3089">
        <v>0.1</v>
      </c>
      <c r="F120" s="3089">
        <v>15</v>
      </c>
    </row>
    <row r="121" spans="1:6" ht="13.5">
      <c r="A121" s="3089">
        <v>49</v>
      </c>
      <c r="B121" s="3853"/>
      <c r="C121" s="3089" t="s">
        <v>2736</v>
      </c>
      <c r="D121" s="3063" t="s">
        <v>2737</v>
      </c>
      <c r="E121" s="3089">
        <v>0.1</v>
      </c>
      <c r="F121" s="3089">
        <v>15</v>
      </c>
    </row>
    <row r="122" spans="1:6" ht="24">
      <c r="A122" s="3089">
        <v>50</v>
      </c>
      <c r="B122" s="3854" t="s">
        <v>2738</v>
      </c>
      <c r="C122" s="3089" t="s">
        <v>2739</v>
      </c>
      <c r="D122" s="3063" t="s">
        <v>2740</v>
      </c>
      <c r="E122" s="3089">
        <v>0.1</v>
      </c>
      <c r="F122" s="3089">
        <v>15</v>
      </c>
    </row>
    <row r="123" spans="1:6" ht="24">
      <c r="A123" s="3089">
        <v>51</v>
      </c>
      <c r="B123" s="3854"/>
      <c r="C123" s="3089" t="s">
        <v>2741</v>
      </c>
      <c r="D123" s="3063" t="s">
        <v>2742</v>
      </c>
      <c r="E123" s="3089">
        <v>0.1</v>
      </c>
      <c r="F123" s="3089">
        <v>15</v>
      </c>
    </row>
    <row r="124" spans="1:6" ht="24">
      <c r="A124" s="3089">
        <v>52</v>
      </c>
      <c r="B124" s="3854" t="s">
        <v>2743</v>
      </c>
      <c r="C124" s="3089" t="s">
        <v>2744</v>
      </c>
      <c r="D124" s="3063" t="s">
        <v>2745</v>
      </c>
      <c r="E124" s="3089">
        <v>0.1</v>
      </c>
      <c r="F124" s="3089">
        <v>15</v>
      </c>
    </row>
    <row r="125" spans="1:6" ht="24">
      <c r="A125" s="3089">
        <v>53</v>
      </c>
      <c r="B125" s="3854"/>
      <c r="C125" s="3089" t="s">
        <v>2746</v>
      </c>
      <c r="D125" s="3063" t="s">
        <v>2747</v>
      </c>
      <c r="E125" s="3089">
        <v>0.1</v>
      </c>
      <c r="F125" s="3089">
        <v>15</v>
      </c>
    </row>
    <row r="126" spans="1:6" ht="13.5">
      <c r="A126" s="3089">
        <v>54</v>
      </c>
      <c r="B126" s="3089" t="s">
        <v>2748</v>
      </c>
      <c r="C126" s="3089" t="s">
        <v>2749</v>
      </c>
      <c r="D126" s="3063" t="s">
        <v>2750</v>
      </c>
      <c r="E126" s="3089">
        <v>0.1</v>
      </c>
      <c r="F126" s="3089">
        <v>15</v>
      </c>
    </row>
    <row r="127" spans="1:6" ht="13.5">
      <c r="A127" s="3089">
        <v>55</v>
      </c>
      <c r="B127" s="3854" t="s">
        <v>2751</v>
      </c>
      <c r="C127" s="3089" t="s">
        <v>2752</v>
      </c>
      <c r="D127" s="3063" t="s">
        <v>2753</v>
      </c>
      <c r="E127" s="3089">
        <v>0.1</v>
      </c>
      <c r="F127" s="3089">
        <v>15</v>
      </c>
    </row>
    <row r="128" spans="1:6" ht="13.5">
      <c r="A128" s="3089">
        <v>56</v>
      </c>
      <c r="B128" s="3854"/>
      <c r="C128" s="3089" t="s">
        <v>2754</v>
      </c>
      <c r="D128" s="3063" t="s">
        <v>2755</v>
      </c>
      <c r="E128" s="3089">
        <v>0.1</v>
      </c>
      <c r="F128" s="3089">
        <v>15</v>
      </c>
    </row>
    <row r="129" spans="1:6" ht="24">
      <c r="A129" s="3089">
        <v>57</v>
      </c>
      <c r="B129" s="3854"/>
      <c r="C129" s="3089" t="s">
        <v>2756</v>
      </c>
      <c r="D129" s="3063" t="s">
        <v>2757</v>
      </c>
      <c r="E129" s="3089">
        <v>0.1</v>
      </c>
      <c r="F129" s="3089">
        <v>15</v>
      </c>
    </row>
    <row r="130" spans="1:6" ht="24">
      <c r="A130" s="3089">
        <v>58</v>
      </c>
      <c r="B130" s="3854" t="s">
        <v>2758</v>
      </c>
      <c r="C130" s="3089" t="s">
        <v>2759</v>
      </c>
      <c r="D130" s="3063" t="s">
        <v>2760</v>
      </c>
      <c r="E130" s="3089">
        <v>0.1</v>
      </c>
      <c r="F130" s="3089">
        <v>15</v>
      </c>
    </row>
    <row r="131" spans="1:6" ht="13.5">
      <c r="A131" s="3089">
        <v>59</v>
      </c>
      <c r="B131" s="3854"/>
      <c r="C131" s="3089" t="s">
        <v>2761</v>
      </c>
      <c r="D131" s="3063" t="s">
        <v>2762</v>
      </c>
      <c r="E131" s="3089">
        <v>0.1</v>
      </c>
      <c r="F131" s="3089">
        <v>15</v>
      </c>
    </row>
    <row r="132" spans="1:6" ht="13.5">
      <c r="A132" s="3089">
        <v>60</v>
      </c>
      <c r="B132" s="3849" t="s">
        <v>2763</v>
      </c>
      <c r="C132" s="3089" t="s">
        <v>2764</v>
      </c>
      <c r="D132" s="3063" t="s">
        <v>2765</v>
      </c>
      <c r="E132" s="3089">
        <v>0.1</v>
      </c>
      <c r="F132" s="3089">
        <v>15</v>
      </c>
    </row>
    <row r="133" spans="1:6" ht="13.5">
      <c r="A133" s="3089">
        <v>61</v>
      </c>
      <c r="B133" s="3853"/>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13.5">
      <c r="A135" s="3089">
        <v>63</v>
      </c>
      <c r="B135" s="3854" t="s">
        <v>2771</v>
      </c>
      <c r="C135" s="3089" t="s">
        <v>2772</v>
      </c>
      <c r="D135" s="3063" t="s">
        <v>2773</v>
      </c>
      <c r="E135" s="3089">
        <v>0.1</v>
      </c>
      <c r="F135" s="3089">
        <v>15</v>
      </c>
    </row>
    <row r="136" spans="1:6" ht="13.5">
      <c r="A136" s="3089">
        <v>64</v>
      </c>
      <c r="B136" s="3854"/>
      <c r="C136" s="3089" t="s">
        <v>2774</v>
      </c>
      <c r="D136" s="3063" t="s">
        <v>2775</v>
      </c>
      <c r="E136" s="3089">
        <v>0.1</v>
      </c>
      <c r="F136" s="3089">
        <v>15</v>
      </c>
    </row>
    <row r="137" spans="1:6" ht="13.5">
      <c r="A137" s="3089">
        <v>65</v>
      </c>
      <c r="B137" s="3089" t="s">
        <v>2776</v>
      </c>
      <c r="C137" s="3089" t="s">
        <v>2777</v>
      </c>
      <c r="D137" s="3063" t="s">
        <v>2778</v>
      </c>
      <c r="E137" s="3089">
        <v>0.1</v>
      </c>
      <c r="F137" s="3089">
        <v>15</v>
      </c>
    </row>
    <row r="138" spans="1:6" ht="13.5">
      <c r="A138" s="3089"/>
      <c r="B138" s="3089"/>
      <c r="C138" s="3089"/>
      <c r="D138" s="3089"/>
      <c r="E138" s="3089" t="s">
        <v>2779</v>
      </c>
      <c r="F138" s="3089"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2"/>
    <col min="14" max="16384" width="9" style="746"/>
  </cols>
  <sheetData>
    <row r="1" spans="1:20" ht="15"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4.2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5"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4.25">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4.25">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4.2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5"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4.2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5"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4.2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5"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4.2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99638</v>
      </c>
      <c r="C2" s="2" t="s">
        <v>106</v>
      </c>
      <c r="D2" s="199"/>
      <c r="E2" s="199"/>
      <c r="F2" s="199"/>
      <c r="G2" s="199"/>
    </row>
    <row r="3" spans="1:7" s="200" customFormat="1" ht="18" customHeight="1" thickBot="1">
      <c r="A3" s="203" t="s">
        <v>58</v>
      </c>
      <c r="B3" s="204">
        <f ca="1">ROUND(B2*10000/'数据-汇总表'!E3,0)</f>
        <v>11809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446</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1580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2957</v>
      </c>
      <c r="D27" s="235">
        <f>C29</f>
        <v>2.5999999999999999E-3</v>
      </c>
      <c r="E27" s="236" t="s">
        <v>99</v>
      </c>
      <c r="F27" s="246">
        <f>'数据-取费表'!Q16</f>
        <v>0.13</v>
      </c>
      <c r="G27" s="247" t="s">
        <v>431</v>
      </c>
    </row>
    <row r="28" spans="1:7" s="214" customFormat="1" ht="13.5" customHeight="1">
      <c r="A28" s="776" t="s">
        <v>349</v>
      </c>
      <c r="B28" s="248" t="s">
        <v>424</v>
      </c>
      <c r="C28" s="249">
        <f>ROUND((C5+C19+C20)*F27*'数据-取费表'!B21/'数据-取费表'!B20,0)</f>
        <v>2957</v>
      </c>
      <c r="D28" s="235"/>
      <c r="E28" s="236"/>
      <c r="F28" s="246"/>
      <c r="G28" s="247"/>
    </row>
    <row r="29" spans="1:7" s="214" customFormat="1" ht="13.5" customHeight="1">
      <c r="A29" s="776" t="s">
        <v>347</v>
      </c>
      <c r="B29" s="248" t="s">
        <v>425</v>
      </c>
      <c r="C29" s="238">
        <f>ROUND(C21*F27*'数据-取费表'!B21/'数据-取费表'!B20,4)</f>
        <v>2.5999999999999999E-3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1112</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1956</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45" t="s">
        <v>94</v>
      </c>
    </row>
    <row r="43" spans="1:7" ht="13.5" customHeight="1">
      <c r="A43" s="776" t="s">
        <v>347</v>
      </c>
      <c r="B43" s="215" t="s">
        <v>426</v>
      </c>
      <c r="C43" s="238">
        <f ca="1">ROUND(IF('数据-取费表'!B22&lt;=1,C39*F22*'数据-取费表'!B21/2,C39*(POWER((1+F22),'数据-取费表'!B21/2)-1)),0)</f>
        <v>38</v>
      </c>
      <c r="D43" s="238"/>
      <c r="E43" s="238"/>
      <c r="F43" s="239"/>
      <c r="G43" s="3746"/>
    </row>
    <row r="44" spans="1:7" ht="13.5" customHeight="1">
      <c r="A44" s="776" t="s">
        <v>348</v>
      </c>
      <c r="B44" s="215" t="s">
        <v>428</v>
      </c>
      <c r="C44" s="238">
        <f ca="1">ROUND(IF('数据-取费表'!B22&lt;=1,C40*F22*'数据-取费表'!B21/2,C40*(POWER((1+F22),'数据-取费表'!B21/2)-1)),4)</f>
        <v>6.9999999999999999E-4</v>
      </c>
      <c r="D44" s="238"/>
      <c r="E44" s="238"/>
      <c r="F44" s="239"/>
      <c r="G44" s="3747"/>
    </row>
    <row r="45" spans="1:7" s="214" customFormat="1" ht="13.5" customHeight="1">
      <c r="A45" s="773" t="s">
        <v>341</v>
      </c>
      <c r="B45" s="244" t="s">
        <v>85</v>
      </c>
      <c r="C45" s="245">
        <f>C46</f>
        <v>7373</v>
      </c>
      <c r="D45" s="235">
        <f>C47</f>
        <v>2.5999999999999999E-3</v>
      </c>
      <c r="E45" s="236" t="s">
        <v>102</v>
      </c>
      <c r="F45" s="246"/>
      <c r="G45" s="247" t="s">
        <v>434</v>
      </c>
    </row>
    <row r="46" spans="1:7" s="214" customFormat="1" ht="13.5" customHeight="1">
      <c r="A46" s="776" t="s">
        <v>349</v>
      </c>
      <c r="B46" s="248" t="s">
        <v>427</v>
      </c>
      <c r="C46" s="249">
        <f>ROUND((C33+C39)*F27,0)</f>
        <v>7373</v>
      </c>
      <c r="D46" s="263"/>
      <c r="E46" s="236"/>
      <c r="F46" s="246"/>
      <c r="G46" s="247"/>
    </row>
    <row r="47" spans="1:7" s="214" customFormat="1" ht="13.5" customHeight="1">
      <c r="A47" s="776" t="s">
        <v>347</v>
      </c>
      <c r="B47" s="248" t="s">
        <v>429</v>
      </c>
      <c r="C47" s="238">
        <f>ROUND(C40*F27,4)</f>
        <v>2.5999999999999999E-3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71524</v>
      </c>
      <c r="D49" s="232"/>
      <c r="E49" s="232"/>
      <c r="F49" s="264"/>
      <c r="G49" s="234" t="s">
        <v>435</v>
      </c>
    </row>
    <row r="50" spans="1:7" s="258" customFormat="1" ht="24">
      <c r="A50" s="773" t="s">
        <v>344</v>
      </c>
      <c r="B50" s="210" t="s">
        <v>97</v>
      </c>
      <c r="C50" s="232"/>
      <c r="D50" s="232"/>
      <c r="E50" s="232"/>
      <c r="F50" s="264">
        <f>IF('数据-取费表'!B24=0,'数据-取费表'!N16,1)</f>
        <v>0.98</v>
      </c>
      <c r="G50" s="247" t="s">
        <v>98</v>
      </c>
    </row>
    <row r="51" spans="1:7" ht="16.5" customHeight="1">
      <c r="A51" s="773" t="s">
        <v>345</v>
      </c>
      <c r="B51" s="210" t="s">
        <v>105</v>
      </c>
      <c r="C51" s="232">
        <f ca="1">ROUND(C49*F50,0)</f>
        <v>70094</v>
      </c>
      <c r="D51" s="232"/>
      <c r="E51" s="232"/>
      <c r="F51" s="264"/>
      <c r="G51" s="234" t="s">
        <v>37</v>
      </c>
    </row>
    <row r="52" spans="1:7" s="208" customFormat="1" ht="16.5" thickBot="1">
      <c r="A52" s="265" t="s">
        <v>38</v>
      </c>
      <c r="B52" s="266"/>
      <c r="C52" s="267">
        <f ca="1">C31+C51</f>
        <v>99638</v>
      </c>
      <c r="D52" s="266"/>
      <c r="E52" s="266"/>
      <c r="F52" s="266"/>
      <c r="G52" s="268"/>
    </row>
    <row r="55" spans="1:7" ht="15">
      <c r="B55" s="270" t="s">
        <v>39</v>
      </c>
      <c r="C55" s="271"/>
    </row>
    <row r="56" spans="1:7">
      <c r="B56" s="273" t="s">
        <v>40</v>
      </c>
      <c r="C56" s="274">
        <f ca="1">ROUND(C51/C52,3)</f>
        <v>0.70299999999999996</v>
      </c>
    </row>
    <row r="57" spans="1:7">
      <c r="B57" s="273" t="s">
        <v>41</v>
      </c>
      <c r="C57" s="275">
        <f ca="1">1-C56</f>
        <v>0.29700000000000004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7" customWidth="1"/>
    <col min="2" max="2" width="18.625" style="3197" customWidth="1"/>
    <col min="3" max="6" width="10.25" style="3197" customWidth="1"/>
    <col min="7" max="7" width="10.5" style="3197" bestFit="1" customWidth="1"/>
    <col min="8" max="8" width="8.875" style="3193"/>
    <col min="9" max="9" width="13.375" style="3193" customWidth="1"/>
    <col min="10" max="13" width="13.375" style="3197" customWidth="1"/>
    <col min="14" max="14" width="18.25" style="3197" customWidth="1"/>
    <col min="15" max="17" width="15.125" style="3197" customWidth="1"/>
    <col min="18" max="20" width="11.5" style="3197" customWidth="1"/>
    <col min="21" max="16384" width="8.875" style="3197"/>
  </cols>
  <sheetData>
    <row r="1" spans="1:20" ht="12" thickBot="1">
      <c r="A1" s="3857" t="s">
        <v>2821</v>
      </c>
      <c r="B1" s="3857"/>
      <c r="C1" s="3857"/>
      <c r="D1" s="3857"/>
      <c r="E1" s="3857"/>
      <c r="F1" s="3857"/>
      <c r="G1" s="3858"/>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2"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855"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2" thickBot="1">
      <c r="A4" s="3856"/>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2"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2"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2"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2"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2"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2"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0" customWidth="1"/>
    <col min="2" max="2" width="20" style="3260" customWidth="1"/>
    <col min="3" max="7" width="8.875" style="3224"/>
    <col min="8" max="16384" width="8.875" style="3225"/>
  </cols>
  <sheetData>
    <row r="1" spans="1:7">
      <c r="A1" s="3859" t="s">
        <v>3163</v>
      </c>
      <c r="B1" s="3859"/>
    </row>
    <row r="2" spans="1:7" ht="14.25" thickBot="1">
      <c r="A2" s="3226"/>
      <c r="B2" s="3226"/>
    </row>
    <row r="3" spans="1:7" ht="14.25" thickBot="1">
      <c r="A3" s="3226"/>
      <c r="B3" s="3226"/>
      <c r="C3" s="3227" t="s">
        <v>2793</v>
      </c>
      <c r="D3" s="3227" t="s">
        <v>2849</v>
      </c>
      <c r="E3" s="3227" t="s">
        <v>2795</v>
      </c>
      <c r="F3" s="3227" t="s">
        <v>2850</v>
      </c>
      <c r="G3" s="3227" t="s">
        <v>2613</v>
      </c>
    </row>
    <row r="4" spans="1:7" ht="14.2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4.2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4.2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4.2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4.2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4.2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4.2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4.2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4.2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4.2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4.2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4.2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4.2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1"/>
  </cols>
  <sheetData>
    <row r="1" spans="1:6">
      <c r="A1" s="3860" t="s">
        <v>3214</v>
      </c>
      <c r="B1" s="3860"/>
      <c r="C1" s="3860"/>
      <c r="D1" s="3860"/>
      <c r="E1" s="3860"/>
      <c r="F1" s="3861"/>
    </row>
    <row r="2" spans="1:6">
      <c r="A2" s="3262" t="s">
        <v>3215</v>
      </c>
      <c r="B2" s="3263"/>
      <c r="C2" s="3263"/>
      <c r="D2" s="3263"/>
      <c r="E2" s="3263"/>
      <c r="F2" s="3263"/>
    </row>
    <row r="3" spans="1:6">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2">
        <f>基准地价修正!G23</f>
        <v>45309</v>
      </c>
      <c r="B1" s="3181" t="s">
        <v>3353</v>
      </c>
      <c r="C1" s="3182"/>
      <c r="D1" s="3182"/>
      <c r="E1" s="3182"/>
      <c r="F1" s="3182"/>
      <c r="G1" s="3182"/>
      <c r="H1" s="3182"/>
      <c r="I1" s="3182"/>
      <c r="J1" s="3136"/>
      <c r="K1" s="3182" t="s">
        <v>454</v>
      </c>
      <c r="L1" s="3182"/>
      <c r="M1" s="3182"/>
      <c r="N1" s="3182"/>
      <c r="O1" s="3182"/>
      <c r="P1" s="3182"/>
      <c r="Q1" s="3136"/>
      <c r="R1" s="3862" t="s">
        <v>456</v>
      </c>
      <c r="S1" s="3863"/>
      <c r="T1" s="3863"/>
      <c r="U1" s="3863"/>
      <c r="V1" s="3863"/>
      <c r="W1" s="3863"/>
      <c r="X1" s="3136"/>
      <c r="Y1" s="3862" t="s">
        <v>457</v>
      </c>
      <c r="Z1" s="3863"/>
      <c r="AA1" s="3863"/>
      <c r="AB1" s="3863"/>
      <c r="AC1" s="3863"/>
      <c r="AD1" s="3863"/>
    </row>
    <row r="2" spans="1:30" s="3114" customFormat="1" ht="14.2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2.75">
      <c r="A3" s="3120" t="s">
        <v>2801</v>
      </c>
      <c r="B3" s="3121"/>
      <c r="C3" s="3122"/>
      <c r="D3" s="3122">
        <f>ROUND(AVERAGEIF(D4:D18,"&lt;&gt;0"),2)</f>
        <v>0.78</v>
      </c>
      <c r="E3" s="3122">
        <f t="shared" ref="E3:H3" si="0">ROUND(AVERAGEIF(E4:E18,"&lt;&gt;0"),2)</f>
        <v>0.41</v>
      </c>
      <c r="F3" s="3122">
        <f t="shared" si="0"/>
        <v>0.23</v>
      </c>
      <c r="G3" s="3122">
        <f t="shared" si="0"/>
        <v>0.84</v>
      </c>
      <c r="H3" s="3122">
        <f t="shared" si="0"/>
        <v>0.63</v>
      </c>
      <c r="I3" s="3122">
        <f>F3</f>
        <v>0.23</v>
      </c>
      <c r="J3" s="3123"/>
      <c r="K3" s="3124">
        <f>ROUND(AVERAGEIF(K4:K18,"&lt;&gt;0"),4)</f>
        <v>7.7999999999999996E-3</v>
      </c>
      <c r="L3" s="3125">
        <f t="shared" ref="L3:O3" si="1">ROUND(AVERAGEIF(L4:L18,"&lt;&gt;0"),4)</f>
        <v>4.1000000000000003E-3</v>
      </c>
      <c r="M3" s="3125">
        <f t="shared" si="1"/>
        <v>2.3E-3</v>
      </c>
      <c r="N3" s="3125">
        <f t="shared" si="1"/>
        <v>8.3999999999999995E-3</v>
      </c>
      <c r="O3" s="3125">
        <f t="shared" si="1"/>
        <v>6.3E-3</v>
      </c>
      <c r="P3" s="3125">
        <f>M3</f>
        <v>2.3E-3</v>
      </c>
      <c r="Q3" s="3123"/>
      <c r="R3" s="3126">
        <f>ROUND(SUMPRODUCT(PRODUCT(1+K4:K18)),4)</f>
        <v>1.0888</v>
      </c>
      <c r="S3" s="3127">
        <f t="shared" ref="S3:V3" si="2">ROUND(SUMPRODUCT(PRODUCT(1+L4:L18)),4)</f>
        <v>1.0463</v>
      </c>
      <c r="T3" s="3127">
        <f t="shared" si="2"/>
        <v>1.0257000000000001</v>
      </c>
      <c r="U3" s="3127">
        <f t="shared" si="2"/>
        <v>1.0961000000000001</v>
      </c>
      <c r="V3" s="3127">
        <f t="shared" si="2"/>
        <v>1.0713999999999999</v>
      </c>
      <c r="W3" s="3126">
        <f>T3</f>
        <v>1.0257000000000001</v>
      </c>
      <c r="X3" s="3123"/>
      <c r="Y3" s="3128">
        <f>ROUND(AVERAGEIF(Y5:Y18,"&lt;&gt;0"),4)</f>
        <v>8.6999999999999994E-3</v>
      </c>
      <c r="Z3" s="3129">
        <f t="shared" ref="Z3:AC3" si="3">ROUND(AVERAGEIF(Z5:Z18,"&lt;&gt;0"),4)</f>
        <v>3.5000000000000001E-3</v>
      </c>
      <c r="AA3" s="3130">
        <f t="shared" si="3"/>
        <v>8.9999999999999998E-4</v>
      </c>
      <c r="AB3" s="3128">
        <f t="shared" si="3"/>
        <v>9.4999999999999998E-3</v>
      </c>
      <c r="AC3" s="3131">
        <f t="shared" si="3"/>
        <v>6.1000000000000004E-3</v>
      </c>
      <c r="AD3" s="3128">
        <f>AA3</f>
        <v>8.9999999999999998E-4</v>
      </c>
    </row>
    <row r="4" spans="1:30" s="3133" customFormat="1" ht="12.75">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2.75">
      <c r="A5" s="2200" t="s">
        <v>3357</v>
      </c>
      <c r="B5" s="3148">
        <v>2023</v>
      </c>
      <c r="C5" s="3149">
        <v>4</v>
      </c>
      <c r="D5" s="3150">
        <v>0</v>
      </c>
      <c r="E5" s="3150">
        <v>0</v>
      </c>
      <c r="F5" s="3150">
        <v>0</v>
      </c>
      <c r="G5" s="3150">
        <v>0</v>
      </c>
      <c r="H5" s="3150">
        <v>0</v>
      </c>
      <c r="I5" s="3151">
        <f t="shared" ref="I5:I18" si="4">F5</f>
        <v>0</v>
      </c>
      <c r="J5" s="3152"/>
      <c r="K5" s="3153">
        <f t="shared" ref="K5:O18" si="5">D5/100</f>
        <v>0</v>
      </c>
      <c r="L5" s="3143">
        <f t="shared" si="5"/>
        <v>0</v>
      </c>
      <c r="M5" s="3143">
        <f t="shared" si="5"/>
        <v>0</v>
      </c>
      <c r="N5" s="3143">
        <f t="shared" si="5"/>
        <v>0</v>
      </c>
      <c r="O5" s="3143">
        <f t="shared" si="5"/>
        <v>0</v>
      </c>
      <c r="P5" s="3143">
        <f>M5</f>
        <v>0</v>
      </c>
      <c r="Q5" s="3152"/>
      <c r="R5" s="3154">
        <f>ROUND(IF(项目基本情况!$B$8="出让",SUMPRODUCT(PRODUCT(1+K5:$K$18)),SUMPRODUCT(PRODUCT(1+K5:$K$17))),4)</f>
        <v>1.0783</v>
      </c>
      <c r="S5" s="3154">
        <f>ROUND(IF(项目基本情况!$B$8="出让",SUMPRODUCT(PRODUCT(1+L5:$L$18)),SUMPRODUCT(PRODUCT(1+L5:$L$17))),4)</f>
        <v>1.0447</v>
      </c>
      <c r="T5" s="3154">
        <f>ROUND(IF(项目基本情况!$B$8="出让",SUMPRODUCT(PRODUCT(1+M5:$M$18)),SUMPRODUCT(PRODUCT(1+M5:$M$17))),4)</f>
        <v>1.0282</v>
      </c>
      <c r="U5" s="3154">
        <f>ROUND(IF(项目基本情况!$B$8="出让",SUMPRODUCT(PRODUCT(1+N5:$N$18)),SUMPRODUCT(PRODUCT(1+N5:$N$17))),4)</f>
        <v>1.0841000000000001</v>
      </c>
      <c r="V5" s="3154">
        <f>ROUND(IF(项目基本情况!$B$8="出让",SUMPRODUCT(PRODUCT(1+O5:$O$18)),SUMPRODUCT(PRODUCT(1+O5:$O$17))),4)</f>
        <v>1.0674999999999999</v>
      </c>
      <c r="W5" s="3154">
        <f>T5</f>
        <v>1.0282</v>
      </c>
      <c r="X5" s="3152"/>
      <c r="Y5" s="3155">
        <f>IF(D5=0,0,ROUND(AVERAGE(D5:D18)/100,4))</f>
        <v>0</v>
      </c>
      <c r="Z5" s="3155">
        <f t="shared" ref="Z5:AC5" si="6">IF(E5=0,0,ROUND(AVERAGE(E5:E18)/100,4))</f>
        <v>0</v>
      </c>
      <c r="AA5" s="3155">
        <f t="shared" si="6"/>
        <v>0</v>
      </c>
      <c r="AB5" s="3155">
        <f t="shared" si="6"/>
        <v>0</v>
      </c>
      <c r="AC5" s="3155">
        <f t="shared" si="6"/>
        <v>0</v>
      </c>
      <c r="AD5" s="3155">
        <f t="shared" ref="AD5:AD17" si="7">AA5</f>
        <v>0</v>
      </c>
    </row>
    <row r="6" spans="1:30" s="3156" customFormat="1" ht="12.75">
      <c r="A6" s="2200" t="s">
        <v>3358</v>
      </c>
      <c r="B6" s="3148">
        <v>2023</v>
      </c>
      <c r="C6" s="3149">
        <v>3</v>
      </c>
      <c r="D6" s="3150">
        <v>0</v>
      </c>
      <c r="E6" s="3150">
        <v>0</v>
      </c>
      <c r="F6" s="3150">
        <v>0</v>
      </c>
      <c r="G6" s="3150">
        <v>0</v>
      </c>
      <c r="H6" s="3167">
        <v>0</v>
      </c>
      <c r="I6" s="3151">
        <v>0</v>
      </c>
      <c r="J6" s="3152"/>
      <c r="K6" s="3153">
        <f t="shared" ref="K6" si="8">D6/100</f>
        <v>0</v>
      </c>
      <c r="L6" s="3143">
        <f t="shared" ref="L6" si="9">E6/100</f>
        <v>0</v>
      </c>
      <c r="M6" s="3143">
        <f t="shared" ref="M6" si="10">F6/100</f>
        <v>0</v>
      </c>
      <c r="N6" s="3143">
        <f t="shared" ref="N6" si="11">G6/100</f>
        <v>0</v>
      </c>
      <c r="O6" s="3143">
        <f t="shared" ref="O6" si="12">H6/100</f>
        <v>0</v>
      </c>
      <c r="P6" s="3143">
        <f t="shared" ref="P6" si="13">M6</f>
        <v>0</v>
      </c>
      <c r="Q6" s="3152"/>
      <c r="R6" s="3154">
        <f>ROUND(IF(项目基本情况!$B$8="出让",SUMPRODUCT(PRODUCT(1+K6:$K$18)),SUMPRODUCT(PRODUCT(1+K6:$K$17))),4)</f>
        <v>1.0783</v>
      </c>
      <c r="S6" s="3154">
        <f>ROUND(IF(项目基本情况!$B$8="出让",SUMPRODUCT(PRODUCT(1+L6:$L$18)),SUMPRODUCT(PRODUCT(1+L6:$L$17))),4)</f>
        <v>1.0447</v>
      </c>
      <c r="T6" s="3154">
        <f>ROUND(IF(项目基本情况!$B$8="出让",SUMPRODUCT(PRODUCT(1+M6:$M$18)),SUMPRODUCT(PRODUCT(1+M6:$M$17))),4)</f>
        <v>1.0282</v>
      </c>
      <c r="U6" s="3154">
        <f>ROUND(IF(项目基本情况!$B$8="出让",SUMPRODUCT(PRODUCT(1+N6:$N$18)),SUMPRODUCT(PRODUCT(1+N6:$N$17))),4)</f>
        <v>1.0841000000000001</v>
      </c>
      <c r="V6" s="3154">
        <f>ROUND(IF(项目基本情况!$B$8="出让",SUMPRODUCT(PRODUCT(1+O6:$O$18)),SUMPRODUCT(PRODUCT(1+O6:$O$17))),4)</f>
        <v>1.0674999999999999</v>
      </c>
      <c r="W6" s="3154">
        <f t="shared" ref="W6" si="14">T6</f>
        <v>1.0282</v>
      </c>
      <c r="X6" s="3152"/>
      <c r="Y6" s="3155"/>
      <c r="Z6" s="3155"/>
      <c r="AA6" s="3155"/>
      <c r="AB6" s="3155"/>
      <c r="AC6" s="3155"/>
      <c r="AD6" s="3155"/>
    </row>
    <row r="7" spans="1:30" s="3156" customFormat="1" ht="12.75">
      <c r="A7" s="2200" t="s">
        <v>3359</v>
      </c>
      <c r="B7" s="3148">
        <v>2023</v>
      </c>
      <c r="C7" s="3149">
        <v>3</v>
      </c>
      <c r="D7" s="3150">
        <v>0</v>
      </c>
      <c r="E7" s="3150">
        <v>0</v>
      </c>
      <c r="F7" s="3150">
        <v>0</v>
      </c>
      <c r="G7" s="3150">
        <v>0</v>
      </c>
      <c r="H7" s="3167">
        <v>0</v>
      </c>
      <c r="I7" s="3151">
        <v>0</v>
      </c>
      <c r="J7" s="3152"/>
      <c r="K7" s="3153">
        <f t="shared" si="5"/>
        <v>0</v>
      </c>
      <c r="L7" s="3143">
        <f t="shared" si="5"/>
        <v>0</v>
      </c>
      <c r="M7" s="3143">
        <f t="shared" si="5"/>
        <v>0</v>
      </c>
      <c r="N7" s="3143">
        <f t="shared" si="5"/>
        <v>0</v>
      </c>
      <c r="O7" s="3143">
        <f t="shared" si="5"/>
        <v>0</v>
      </c>
      <c r="P7" s="3143">
        <f t="shared" ref="P7" si="15">M7</f>
        <v>0</v>
      </c>
      <c r="Q7" s="3152"/>
      <c r="R7" s="3154">
        <f>ROUND(IF(项目基本情况!$B$8="出让",SUMPRODUCT(PRODUCT(1+K7:$K$18)),SUMPRODUCT(PRODUCT(1+K7:$K$17))),4)</f>
        <v>1.0783</v>
      </c>
      <c r="S7" s="3154">
        <f>ROUND(IF(项目基本情况!$B$8="出让",SUMPRODUCT(PRODUCT(1+L7:$L$18)),SUMPRODUCT(PRODUCT(1+L7:$L$17))),4)</f>
        <v>1.0447</v>
      </c>
      <c r="T7" s="3154">
        <f>ROUND(IF(项目基本情况!$B$8="出让",SUMPRODUCT(PRODUCT(1+M7:$M$18)),SUMPRODUCT(PRODUCT(1+M7:$M$17))),4)</f>
        <v>1.0282</v>
      </c>
      <c r="U7" s="3154">
        <f>ROUND(IF(项目基本情况!$B$8="出让",SUMPRODUCT(PRODUCT(1+N7:$N$18)),SUMPRODUCT(PRODUCT(1+N7:$N$17))),4)</f>
        <v>1.0841000000000001</v>
      </c>
      <c r="V7" s="3154">
        <f>ROUND(IF(项目基本情况!$B$8="出让",SUMPRODUCT(PRODUCT(1+O7:$O$18)),SUMPRODUCT(PRODUCT(1+O7:$O$17))),4)</f>
        <v>1.0674999999999999</v>
      </c>
      <c r="W7" s="3154">
        <f t="shared" ref="W7" si="16">T7</f>
        <v>1.0282</v>
      </c>
      <c r="X7" s="3152"/>
      <c r="Y7" s="3155"/>
      <c r="Z7" s="3155"/>
      <c r="AA7" s="3155"/>
      <c r="AB7" s="3155"/>
      <c r="AC7" s="3155"/>
      <c r="AD7" s="3155"/>
    </row>
    <row r="8" spans="1:30" s="3166" customFormat="1" ht="12.75">
      <c r="A8" s="3157" t="s">
        <v>3351</v>
      </c>
      <c r="B8" s="3158">
        <v>2023</v>
      </c>
      <c r="C8" s="3159">
        <v>3</v>
      </c>
      <c r="D8" s="3160">
        <v>0.25</v>
      </c>
      <c r="E8" s="3160">
        <v>0.5</v>
      </c>
      <c r="F8" s="3160">
        <v>0.31</v>
      </c>
      <c r="G8" s="3160">
        <v>0.21</v>
      </c>
      <c r="H8" s="3161">
        <v>0.43</v>
      </c>
      <c r="I8" s="3162">
        <f t="shared" si="4"/>
        <v>0.31</v>
      </c>
      <c r="J8" s="3163"/>
      <c r="K8" s="3164">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63"/>
      <c r="R8" s="3163">
        <f>ROUND(IF(项目基本情况!$B$8="出让",SUMPRODUCT(PRODUCT(1+K8:$K$18)),SUMPRODUCT(PRODUCT(1+K8:$K$17))),4)</f>
        <v>1.0783</v>
      </c>
      <c r="S8" s="3163">
        <f>ROUND(IF(项目基本情况!$B$8="出让",SUMPRODUCT(PRODUCT(1+L8:$L$18)),SUMPRODUCT(PRODUCT(1+L8:$L$17))),4)</f>
        <v>1.0447</v>
      </c>
      <c r="T8" s="3163">
        <f>ROUND(IF(项目基本情况!$B$8="出让",SUMPRODUCT(PRODUCT(1+M8:$M$18)),SUMPRODUCT(PRODUCT(1+M8:$M$17))),4)</f>
        <v>1.0282</v>
      </c>
      <c r="U8" s="3163">
        <f>ROUND(IF(项目基本情况!$B$8="出让",SUMPRODUCT(PRODUCT(1+N8:$N$18)),SUMPRODUCT(PRODUCT(1+N8:$N$17))),4)</f>
        <v>1.0841000000000001</v>
      </c>
      <c r="V8" s="3163">
        <f>ROUND(IF(项目基本情况!$B$8="出让",SUMPRODUCT(PRODUCT(1+O8:$O$18)),SUMPRODUCT(PRODUCT(1+O8:$O$17))),4)</f>
        <v>1.0674999999999999</v>
      </c>
      <c r="W8" s="3163">
        <f t="shared" ref="W8:W9" si="23">T8</f>
        <v>1.0282</v>
      </c>
      <c r="X8" s="3163"/>
      <c r="Y8" s="3165"/>
      <c r="Z8" s="3165"/>
      <c r="AA8" s="3165"/>
      <c r="AB8" s="3165"/>
      <c r="AC8" s="3165"/>
      <c r="AD8" s="3165"/>
    </row>
    <row r="9" spans="1:30" s="3156" customFormat="1" ht="12.75">
      <c r="A9" s="3147" t="s">
        <v>3352</v>
      </c>
      <c r="B9" s="3148">
        <v>2023</v>
      </c>
      <c r="C9" s="3149">
        <v>2</v>
      </c>
      <c r="D9" s="3150">
        <v>0.91</v>
      </c>
      <c r="E9" s="3150">
        <v>0.66</v>
      </c>
      <c r="F9" s="3150">
        <v>0.47</v>
      </c>
      <c r="G9" s="3150">
        <v>0.96</v>
      </c>
      <c r="H9" s="3167">
        <v>0.71</v>
      </c>
      <c r="I9" s="3151">
        <f t="shared" si="4"/>
        <v>0.47</v>
      </c>
      <c r="J9" s="3152"/>
      <c r="K9" s="3153">
        <f t="shared" si="17"/>
        <v>9.1000000000000004E-3</v>
      </c>
      <c r="L9" s="3143">
        <f t="shared" si="18"/>
        <v>6.6E-3</v>
      </c>
      <c r="M9" s="3143">
        <f t="shared" si="19"/>
        <v>4.6999999999999993E-3</v>
      </c>
      <c r="N9" s="3143">
        <f t="shared" si="20"/>
        <v>9.5999999999999992E-3</v>
      </c>
      <c r="O9" s="3143">
        <f t="shared" si="21"/>
        <v>7.0999999999999995E-3</v>
      </c>
      <c r="P9" s="3143">
        <f t="shared" si="22"/>
        <v>4.6999999999999993E-3</v>
      </c>
      <c r="Q9" s="3152"/>
      <c r="R9" s="3154">
        <f>ROUND(IF(项目基本情况!$B$8="出让",SUMPRODUCT(PRODUCT(1+K9:$K$18)),SUMPRODUCT(PRODUCT(1+K9:$K$17))),4)</f>
        <v>1.0755999999999999</v>
      </c>
      <c r="S9" s="3154">
        <f>ROUND(IF(项目基本情况!$B$8="出让",SUMPRODUCT(PRODUCT(1+L9:$L$18)),SUMPRODUCT(PRODUCT(1+L9:$L$17))),4)</f>
        <v>1.0395000000000001</v>
      </c>
      <c r="T9" s="3154">
        <f>ROUND(IF(项目基本情况!$B$8="出让",SUMPRODUCT(PRODUCT(1+M9:$M$18)),SUMPRODUCT(PRODUCT(1+M9:$M$17))),4)</f>
        <v>1.0250999999999999</v>
      </c>
      <c r="U9" s="3154">
        <f>ROUND(IF(项目基本情况!$B$8="出让",SUMPRODUCT(PRODUCT(1+N9:$N$18)),SUMPRODUCT(PRODUCT(1+N9:$N$17))),4)</f>
        <v>1.0818000000000001</v>
      </c>
      <c r="V9" s="3154">
        <f>ROUND(IF(项目基本情况!$B$8="出让",SUMPRODUCT(PRODUCT(1+O9:$O$18)),SUMPRODUCT(PRODUCT(1+O9:$O$17))),4)</f>
        <v>1.0629999999999999</v>
      </c>
      <c r="W9" s="3154">
        <f t="shared" si="23"/>
        <v>1.0250999999999999</v>
      </c>
      <c r="X9" s="3152"/>
      <c r="Y9" s="3155"/>
      <c r="Z9" s="3155"/>
      <c r="AA9" s="3155"/>
      <c r="AB9" s="3155"/>
      <c r="AC9" s="3155"/>
      <c r="AD9" s="3155"/>
    </row>
    <row r="10" spans="1:30" s="3156" customFormat="1" ht="12.75">
      <c r="A10" s="3147" t="s">
        <v>3350</v>
      </c>
      <c r="B10" s="3148">
        <v>2023</v>
      </c>
      <c r="C10" s="3149">
        <v>1</v>
      </c>
      <c r="D10" s="3150">
        <v>0.89</v>
      </c>
      <c r="E10" s="3150">
        <v>0.74</v>
      </c>
      <c r="F10" s="3150">
        <v>0.56999999999999995</v>
      </c>
      <c r="G10" s="3150">
        <v>0.92</v>
      </c>
      <c r="H10" s="3167">
        <v>0.5</v>
      </c>
      <c r="I10" s="3151">
        <f t="shared" si="4"/>
        <v>0.56999999999999995</v>
      </c>
      <c r="J10" s="3152"/>
      <c r="K10" s="3153">
        <f t="shared" si="17"/>
        <v>8.8999999999999999E-3</v>
      </c>
      <c r="L10" s="3143">
        <f t="shared" si="18"/>
        <v>7.4000000000000003E-3</v>
      </c>
      <c r="M10" s="3143">
        <f t="shared" si="19"/>
        <v>5.6999999999999993E-3</v>
      </c>
      <c r="N10" s="3143">
        <f t="shared" si="20"/>
        <v>9.1999999999999998E-3</v>
      </c>
      <c r="O10" s="3143">
        <f t="shared" si="21"/>
        <v>5.0000000000000001E-3</v>
      </c>
      <c r="P10" s="3143">
        <f t="shared" si="22"/>
        <v>5.6999999999999993E-3</v>
      </c>
      <c r="Q10" s="3152"/>
      <c r="R10" s="3154">
        <f>ROUND(IF(项目基本情况!$B$8="出让",SUMPRODUCT(PRODUCT(1+K10:$K$18)),SUMPRODUCT(PRODUCT(1+K10:$K$17))),4)</f>
        <v>1.0659000000000001</v>
      </c>
      <c r="S10" s="3154">
        <f>ROUND(IF(项目基本情况!$B$8="出让",SUMPRODUCT(PRODUCT(1+L10:$L$18)),SUMPRODUCT(PRODUCT(1+L10:$L$17))),4)</f>
        <v>1.0326</v>
      </c>
      <c r="T10" s="3154">
        <f>ROUND(IF(项目基本情况!$B$8="出让",SUMPRODUCT(PRODUCT(1+M10:$M$18)),SUMPRODUCT(PRODUCT(1+M10:$M$17))),4)</f>
        <v>1.0203</v>
      </c>
      <c r="U10" s="3154">
        <f>ROUND(IF(项目基本情况!$B$8="出让",SUMPRODUCT(PRODUCT(1+N10:$N$18)),SUMPRODUCT(PRODUCT(1+N10:$N$17))),4)</f>
        <v>1.0714999999999999</v>
      </c>
      <c r="V10" s="3154">
        <f>ROUND(IF(项目基本情况!$B$8="出让",SUMPRODUCT(PRODUCT(1+O10:$O$18)),SUMPRODUCT(PRODUCT(1+O10:$O$17))),4)</f>
        <v>1.0555000000000001</v>
      </c>
      <c r="W10" s="3154">
        <f t="shared" ref="W10:W17" si="24">T10</f>
        <v>1.0203</v>
      </c>
      <c r="X10" s="3152"/>
      <c r="Y10" s="3155"/>
      <c r="Z10" s="3155"/>
      <c r="AA10" s="3155"/>
      <c r="AB10" s="3155"/>
      <c r="AC10" s="3155"/>
      <c r="AD10" s="3155"/>
    </row>
    <row r="11" spans="1:30" s="3156" customFormat="1" ht="12.75">
      <c r="A11" s="3147" t="s">
        <v>3349</v>
      </c>
      <c r="B11" s="3148">
        <v>2022</v>
      </c>
      <c r="C11" s="3149">
        <v>4</v>
      </c>
      <c r="D11" s="3150">
        <v>0.62</v>
      </c>
      <c r="E11" s="3150">
        <v>0.2</v>
      </c>
      <c r="F11" s="3150">
        <v>0.11</v>
      </c>
      <c r="G11" s="3150">
        <v>0.69</v>
      </c>
      <c r="H11" s="3167">
        <v>0.53</v>
      </c>
      <c r="I11" s="3151">
        <f t="shared" si="4"/>
        <v>0.11</v>
      </c>
      <c r="J11" s="3152"/>
      <c r="K11" s="3153">
        <f t="shared" si="5"/>
        <v>6.1999999999999998E-3</v>
      </c>
      <c r="L11" s="3143">
        <f t="shared" si="5"/>
        <v>2E-3</v>
      </c>
      <c r="M11" s="3143">
        <f t="shared" si="5"/>
        <v>1.1000000000000001E-3</v>
      </c>
      <c r="N11" s="3143">
        <f t="shared" si="5"/>
        <v>6.8999999999999999E-3</v>
      </c>
      <c r="O11" s="3143">
        <f t="shared" si="5"/>
        <v>5.3E-3</v>
      </c>
      <c r="P11" s="3143">
        <f t="shared" ref="P11:P18" si="25">M11</f>
        <v>1.1000000000000001E-3</v>
      </c>
      <c r="Q11" s="3152"/>
      <c r="R11" s="3154">
        <f>ROUND(IF(项目基本情况!$B$8="出让",SUMPRODUCT(PRODUCT(1+K11:$K$18)),SUMPRODUCT(PRODUCT(1+K11:$K$17))),4)</f>
        <v>1.0565</v>
      </c>
      <c r="S11" s="3154">
        <f>ROUND(IF(项目基本情况!$B$8="出让",SUMPRODUCT(PRODUCT(1+L11:$L$18)),SUMPRODUCT(PRODUCT(1+L11:$L$17))),4)</f>
        <v>1.0250999999999999</v>
      </c>
      <c r="T11" s="3154">
        <f>ROUND(IF(项目基本情况!$B$8="出让",SUMPRODUCT(PRODUCT(1+M11:$M$18)),SUMPRODUCT(PRODUCT(1+M11:$M$17))),4)</f>
        <v>1.0145</v>
      </c>
      <c r="U11" s="3154">
        <f>ROUND(IF(项目基本情况!$B$8="出让",SUMPRODUCT(PRODUCT(1+N11:$N$18)),SUMPRODUCT(PRODUCT(1+N11:$N$17))),4)</f>
        <v>1.0618000000000001</v>
      </c>
      <c r="V11" s="3154">
        <f>ROUND(IF(项目基本情况!$B$8="出让",SUMPRODUCT(PRODUCT(1+O11:$O$18)),SUMPRODUCT(PRODUCT(1+O11:$O$17))),4)</f>
        <v>1.0502</v>
      </c>
      <c r="W11" s="3154">
        <f t="shared" si="24"/>
        <v>1.0145</v>
      </c>
      <c r="X11" s="3152"/>
      <c r="Y11" s="3155">
        <f>IF(D11=0,0,ROUND(AVERAGE(D11:D19)/100,4))</f>
        <v>8.0999999999999996E-3</v>
      </c>
      <c r="Z11" s="3155">
        <f t="shared" ref="Z11:AC11" si="26">IF(E11=0,0,ROUND(AVERAGE(E11:E18)/100,4))</f>
        <v>3.3E-3</v>
      </c>
      <c r="AA11" s="3155">
        <f t="shared" si="26"/>
        <v>1.5E-3</v>
      </c>
      <c r="AB11" s="3155">
        <f t="shared" si="26"/>
        <v>8.8999999999999999E-3</v>
      </c>
      <c r="AC11" s="3155">
        <f t="shared" si="26"/>
        <v>6.6E-3</v>
      </c>
      <c r="AD11" s="3155">
        <f t="shared" si="7"/>
        <v>1.5E-3</v>
      </c>
    </row>
    <row r="12" spans="1:30" s="3156" customFormat="1" ht="12.75">
      <c r="A12" s="3147" t="s">
        <v>3345</v>
      </c>
      <c r="B12" s="3148">
        <v>2022</v>
      </c>
      <c r="C12" s="3149">
        <v>3</v>
      </c>
      <c r="D12" s="3150">
        <v>0.66</v>
      </c>
      <c r="E12" s="3150">
        <v>0.32</v>
      </c>
      <c r="F12" s="3150">
        <v>0.23</v>
      </c>
      <c r="G12" s="3150">
        <v>0.72</v>
      </c>
      <c r="H12" s="3167">
        <v>0.63</v>
      </c>
      <c r="I12" s="3151">
        <f t="shared" si="4"/>
        <v>0.23</v>
      </c>
      <c r="J12" s="3152"/>
      <c r="K12" s="3153">
        <f t="shared" si="5"/>
        <v>6.6E-3</v>
      </c>
      <c r="L12" s="3143">
        <f t="shared" si="5"/>
        <v>3.2000000000000002E-3</v>
      </c>
      <c r="M12" s="3143">
        <f t="shared" si="5"/>
        <v>2.3E-3</v>
      </c>
      <c r="N12" s="3143">
        <f t="shared" si="5"/>
        <v>7.1999999999999998E-3</v>
      </c>
      <c r="O12" s="3143">
        <f t="shared" si="5"/>
        <v>6.3E-3</v>
      </c>
      <c r="P12" s="3143">
        <f t="shared" si="25"/>
        <v>2.3E-3</v>
      </c>
      <c r="Q12" s="3152"/>
      <c r="R12" s="3154">
        <f>ROUND(IF(项目基本情况!$B$8="出让",SUMPRODUCT(PRODUCT(1+K12:$K$18)),SUMPRODUCT(PRODUCT(1+K12:$K$17))),4)</f>
        <v>1.05</v>
      </c>
      <c r="S12" s="3154">
        <f>ROUND(IF(项目基本情况!$B$8="出让",SUMPRODUCT(PRODUCT(1+L12:$L$18)),SUMPRODUCT(PRODUCT(1+L12:$L$17))),4)</f>
        <v>1.0229999999999999</v>
      </c>
      <c r="T12" s="3154">
        <f>ROUND(IF(项目基本情况!$B$8="出让",SUMPRODUCT(PRODUCT(1+M12:$M$18)),SUMPRODUCT(PRODUCT(1+M12:$M$17))),4)</f>
        <v>1.0134000000000001</v>
      </c>
      <c r="U12" s="3154">
        <f>ROUND(IF(项目基本情况!$B$8="出让",SUMPRODUCT(PRODUCT(1+N12:$N$18)),SUMPRODUCT(PRODUCT(1+N12:$N$17))),4)</f>
        <v>1.0545</v>
      </c>
      <c r="V12" s="3154">
        <f>ROUND(IF(项目基本情况!$B$8="出让",SUMPRODUCT(PRODUCT(1+O12:$O$18)),SUMPRODUCT(PRODUCT(1+O12:$O$17))),4)</f>
        <v>1.0447</v>
      </c>
      <c r="W12" s="3154">
        <f t="shared" si="24"/>
        <v>1.0134000000000001</v>
      </c>
      <c r="X12" s="3152"/>
      <c r="Y12" s="3155">
        <f>IF(D12=0,0,ROUND(AVERAGE(D12:D18)/100,4))</f>
        <v>8.3999999999999995E-3</v>
      </c>
      <c r="Z12" s="3155">
        <f t="shared" ref="Z12:AC12" si="27">IF(E12=0,0,ROUND(AVERAGE(E12:E18)/100,4))</f>
        <v>3.5000000000000001E-3</v>
      </c>
      <c r="AA12" s="3155">
        <f t="shared" si="27"/>
        <v>1.5E-3</v>
      </c>
      <c r="AB12" s="3155">
        <f t="shared" si="27"/>
        <v>9.1999999999999998E-3</v>
      </c>
      <c r="AC12" s="3155">
        <f t="shared" si="27"/>
        <v>6.7999999999999996E-3</v>
      </c>
      <c r="AD12" s="3155">
        <f t="shared" si="7"/>
        <v>1.5E-3</v>
      </c>
    </row>
    <row r="13" spans="1:30" s="3156" customFormat="1" ht="12.75">
      <c r="A13" s="3147" t="s">
        <v>3336</v>
      </c>
      <c r="B13" s="3148">
        <v>2022</v>
      </c>
      <c r="C13" s="3149">
        <v>2</v>
      </c>
      <c r="D13" s="3150">
        <v>0.93</v>
      </c>
      <c r="E13" s="3150">
        <v>0.15</v>
      </c>
      <c r="F13" s="3150">
        <v>0.01</v>
      </c>
      <c r="G13" s="3150">
        <v>1.05</v>
      </c>
      <c r="H13" s="3167">
        <v>1.08</v>
      </c>
      <c r="I13" s="3151">
        <f t="shared" si="4"/>
        <v>0.01</v>
      </c>
      <c r="J13" s="3152"/>
      <c r="K13" s="3153">
        <f t="shared" si="5"/>
        <v>9.300000000000001E-3</v>
      </c>
      <c r="L13" s="3143">
        <f t="shared" si="5"/>
        <v>1.5E-3</v>
      </c>
      <c r="M13" s="3143">
        <f t="shared" si="5"/>
        <v>1E-4</v>
      </c>
      <c r="N13" s="3143">
        <f t="shared" si="5"/>
        <v>1.0500000000000001E-2</v>
      </c>
      <c r="O13" s="3143">
        <f t="shared" si="5"/>
        <v>1.0800000000000001E-2</v>
      </c>
      <c r="P13" s="3143">
        <f t="shared" si="25"/>
        <v>1E-4</v>
      </c>
      <c r="Q13" s="3152"/>
      <c r="R13" s="3154">
        <f>ROUND(IF(项目基本情况!$B$8="出让",SUMPRODUCT(PRODUCT(1+K13:$K$18)),SUMPRODUCT(PRODUCT(1+K13:$K$17))),4)</f>
        <v>1.0430999999999999</v>
      </c>
      <c r="S13" s="3154">
        <f>ROUND(IF(项目基本情况!$B$8="出让",SUMPRODUCT(PRODUCT(1+L13:$L$18)),SUMPRODUCT(PRODUCT(1+L13:$L$17))),4)</f>
        <v>1.0197000000000001</v>
      </c>
      <c r="T13" s="3154">
        <f>ROUND(IF(项目基本情况!$B$8="出让",SUMPRODUCT(PRODUCT(1+M13:$M$18)),SUMPRODUCT(PRODUCT(1+M13:$M$17))),4)</f>
        <v>1.0109999999999999</v>
      </c>
      <c r="U13" s="3154">
        <f>ROUND(IF(项目基本情况!$B$8="出让",SUMPRODUCT(PRODUCT(1+N13:$N$18)),SUMPRODUCT(PRODUCT(1+N13:$N$17))),4)</f>
        <v>1.0468999999999999</v>
      </c>
      <c r="V13" s="3154">
        <f>ROUND(IF(项目基本情况!$B$8="出让",SUMPRODUCT(PRODUCT(1+O13:$O$18)),SUMPRODUCT(PRODUCT(1+O13:$O$17))),4)</f>
        <v>1.0382</v>
      </c>
      <c r="W13" s="3154">
        <f t="shared" si="24"/>
        <v>1.0109999999999999</v>
      </c>
      <c r="X13" s="3152"/>
      <c r="Y13" s="3155">
        <f>IF(D13=0,0,ROUND(AVERAGE(D13:D18)/100,4))</f>
        <v>8.6999999999999994E-3</v>
      </c>
      <c r="Z13" s="3155">
        <f t="shared" ref="Z13:AC13" si="28">IF(E13=0,0,ROUND(AVERAGE(E13:E18)/100,4))</f>
        <v>3.5000000000000001E-3</v>
      </c>
      <c r="AA13" s="3155">
        <f t="shared" si="28"/>
        <v>1.4E-3</v>
      </c>
      <c r="AB13" s="3155">
        <f t="shared" si="28"/>
        <v>9.4999999999999998E-3</v>
      </c>
      <c r="AC13" s="3155">
        <f t="shared" si="28"/>
        <v>6.8999999999999999E-3</v>
      </c>
      <c r="AD13" s="3155">
        <f t="shared" si="7"/>
        <v>1.4E-3</v>
      </c>
    </row>
    <row r="14" spans="1:30" s="3156" customFormat="1" ht="12.75">
      <c r="A14" s="3147" t="s">
        <v>2802</v>
      </c>
      <c r="B14" s="3148">
        <v>2022</v>
      </c>
      <c r="C14" s="3149">
        <v>1</v>
      </c>
      <c r="D14" s="3150">
        <v>0.89</v>
      </c>
      <c r="E14" s="3150">
        <v>0.44</v>
      </c>
      <c r="F14" s="3150">
        <v>0.37</v>
      </c>
      <c r="G14" s="3150">
        <v>0.96</v>
      </c>
      <c r="H14" s="3167">
        <v>0.64</v>
      </c>
      <c r="I14" s="3151">
        <f t="shared" si="4"/>
        <v>0.37</v>
      </c>
      <c r="J14" s="3152"/>
      <c r="K14" s="3153">
        <f t="shared" si="5"/>
        <v>8.8999999999999999E-3</v>
      </c>
      <c r="L14" s="3143">
        <f t="shared" si="5"/>
        <v>4.4000000000000003E-3</v>
      </c>
      <c r="M14" s="3143">
        <f t="shared" si="5"/>
        <v>3.7000000000000002E-3</v>
      </c>
      <c r="N14" s="3143">
        <f t="shared" si="5"/>
        <v>9.5999999999999992E-3</v>
      </c>
      <c r="O14" s="3143">
        <f t="shared" si="5"/>
        <v>6.4000000000000003E-3</v>
      </c>
      <c r="P14" s="3143">
        <f t="shared" si="25"/>
        <v>3.7000000000000002E-3</v>
      </c>
      <c r="Q14" s="3152"/>
      <c r="R14" s="3154">
        <f>ROUND(IF(项目基本情况!$B$8="出让",SUMPRODUCT(PRODUCT(1+K14:$K$18)),SUMPRODUCT(PRODUCT(1+K14:$K$17))),4)</f>
        <v>1.0335000000000001</v>
      </c>
      <c r="S14" s="3154">
        <f>ROUND(IF(项目基本情况!$B$8="出让",SUMPRODUCT(PRODUCT(1+L14:$L$18)),SUMPRODUCT(PRODUCT(1+L14:$L$17))),4)</f>
        <v>1.0182</v>
      </c>
      <c r="T14" s="3154">
        <f>ROUND(IF(项目基本情况!$B$8="出让",SUMPRODUCT(PRODUCT(1+M14:$M$18)),SUMPRODUCT(PRODUCT(1+M14:$M$17))),4)</f>
        <v>1.0108999999999999</v>
      </c>
      <c r="U14" s="3154">
        <f>ROUND(IF(项目基本情况!$B$8="出让",SUMPRODUCT(PRODUCT(1+N14:$N$18)),SUMPRODUCT(PRODUCT(1+N14:$N$17))),4)</f>
        <v>1.0361</v>
      </c>
      <c r="V14" s="3154">
        <f>ROUND(IF(项目基本情况!$B$8="出让",SUMPRODUCT(PRODUCT(1+O14:$O$18)),SUMPRODUCT(PRODUCT(1+O14:$O$17))),4)</f>
        <v>1.0270999999999999</v>
      </c>
      <c r="W14" s="3154">
        <f t="shared" si="24"/>
        <v>1.0108999999999999</v>
      </c>
      <c r="X14" s="3152"/>
      <c r="Y14" s="3155">
        <f>IF(D14=0,0,ROUND(AVERAGE(D14:D18)/100,4))</f>
        <v>8.6E-3</v>
      </c>
      <c r="Z14" s="3155">
        <f t="shared" ref="Z14:AC14" si="29">IF(E14=0,0,ROUND(AVERAGE(E14:E18)/100,4))</f>
        <v>3.8999999999999998E-3</v>
      </c>
      <c r="AA14" s="3155">
        <f t="shared" si="29"/>
        <v>1.6999999999999999E-3</v>
      </c>
      <c r="AB14" s="3155">
        <f t="shared" si="29"/>
        <v>9.2999999999999992E-3</v>
      </c>
      <c r="AC14" s="3155">
        <f t="shared" si="29"/>
        <v>6.1000000000000004E-3</v>
      </c>
      <c r="AD14" s="3155">
        <f t="shared" si="7"/>
        <v>1.6999999999999999E-3</v>
      </c>
    </row>
    <row r="15" spans="1:30" s="3156" customFormat="1" ht="12.75">
      <c r="A15" s="3147" t="s">
        <v>2803</v>
      </c>
      <c r="B15" s="3148">
        <v>2021</v>
      </c>
      <c r="C15" s="3149">
        <v>4</v>
      </c>
      <c r="D15" s="3150">
        <v>1.03</v>
      </c>
      <c r="E15" s="3150">
        <v>0.24</v>
      </c>
      <c r="F15" s="3150">
        <v>7.0000000000000007E-2</v>
      </c>
      <c r="G15" s="3150">
        <v>1.17</v>
      </c>
      <c r="H15" s="3167">
        <v>0.55000000000000004</v>
      </c>
      <c r="I15" s="3151">
        <f t="shared" si="4"/>
        <v>7.0000000000000007E-2</v>
      </c>
      <c r="J15" s="3152"/>
      <c r="K15" s="3153">
        <f t="shared" si="5"/>
        <v>1.03E-2</v>
      </c>
      <c r="L15" s="3143">
        <f t="shared" si="5"/>
        <v>2.3999999999999998E-3</v>
      </c>
      <c r="M15" s="3143">
        <f t="shared" si="5"/>
        <v>7.000000000000001E-4</v>
      </c>
      <c r="N15" s="3143">
        <f t="shared" si="5"/>
        <v>1.1699999999999999E-2</v>
      </c>
      <c r="O15" s="3143">
        <f t="shared" si="5"/>
        <v>5.5000000000000005E-3</v>
      </c>
      <c r="P15" s="3143">
        <f t="shared" si="25"/>
        <v>7.000000000000001E-4</v>
      </c>
      <c r="Q15" s="3152"/>
      <c r="R15" s="3154">
        <f>ROUND(IF(项目基本情况!$B$8="出让",SUMPRODUCT(PRODUCT(1+K15:$K$18)),SUMPRODUCT(PRODUCT(1+K15:$K$17))),4)</f>
        <v>1.0244</v>
      </c>
      <c r="S15" s="3154">
        <f>ROUND(IF(项目基本情况!$B$8="出让",SUMPRODUCT(PRODUCT(1+L15:$L$18)),SUMPRODUCT(PRODUCT(1+L15:$L$17))),4)</f>
        <v>1.0138</v>
      </c>
      <c r="T15" s="3154">
        <f>ROUND(IF(项目基本情况!$B$8="出让",SUMPRODUCT(PRODUCT(1+M15:$M$18)),SUMPRODUCT(PRODUCT(1+M15:$M$17))),4)</f>
        <v>1.0072000000000001</v>
      </c>
      <c r="U15" s="3154">
        <f>ROUND(IF(项目基本情况!$B$8="出让",SUMPRODUCT(PRODUCT(1+N15:$N$18)),SUMPRODUCT(PRODUCT(1+N15:$N$17))),4)</f>
        <v>1.0262</v>
      </c>
      <c r="V15" s="3154">
        <f>ROUND(IF(项目基本情况!$B$8="出让",SUMPRODUCT(PRODUCT(1+O15:$O$18)),SUMPRODUCT(PRODUCT(1+O15:$O$17))),4)</f>
        <v>1.0205</v>
      </c>
      <c r="W15" s="3154">
        <f t="shared" si="24"/>
        <v>1.0072000000000001</v>
      </c>
      <c r="X15" s="3152"/>
      <c r="Y15" s="3155">
        <f>IF(D15=0,0,ROUND(AVERAGE(D15:D18)/100,4))</f>
        <v>8.5000000000000006E-3</v>
      </c>
      <c r="Z15" s="3155">
        <f t="shared" ref="Z15:AC15" si="30">IF(E15=0,0,ROUND(AVERAGE(E15:E18)/100,4))</f>
        <v>3.8E-3</v>
      </c>
      <c r="AA15" s="3155">
        <f t="shared" si="30"/>
        <v>1.1999999999999999E-3</v>
      </c>
      <c r="AB15" s="3155">
        <f t="shared" si="30"/>
        <v>9.2999999999999992E-3</v>
      </c>
      <c r="AC15" s="3155">
        <f t="shared" si="30"/>
        <v>6.0000000000000001E-3</v>
      </c>
      <c r="AD15" s="3155">
        <f t="shared" si="7"/>
        <v>1.1999999999999999E-3</v>
      </c>
    </row>
    <row r="16" spans="1:30" s="3156" customFormat="1" ht="12.75">
      <c r="A16" s="3147" t="s">
        <v>2804</v>
      </c>
      <c r="B16" s="3148">
        <v>2021</v>
      </c>
      <c r="C16" s="3149">
        <v>3</v>
      </c>
      <c r="D16" s="3150">
        <v>0.47</v>
      </c>
      <c r="E16" s="3150">
        <v>0.41</v>
      </c>
      <c r="F16" s="3150">
        <v>0.24</v>
      </c>
      <c r="G16" s="3150">
        <v>0.48</v>
      </c>
      <c r="H16" s="3167">
        <v>0.48</v>
      </c>
      <c r="I16" s="3151">
        <f t="shared" si="4"/>
        <v>0.24</v>
      </c>
      <c r="J16" s="3152"/>
      <c r="K16" s="3153">
        <f t="shared" si="5"/>
        <v>4.6999999999999993E-3</v>
      </c>
      <c r="L16" s="3143">
        <f t="shared" si="5"/>
        <v>4.0999999999999995E-3</v>
      </c>
      <c r="M16" s="3143">
        <f t="shared" si="5"/>
        <v>2.3999999999999998E-3</v>
      </c>
      <c r="N16" s="3143">
        <f t="shared" si="5"/>
        <v>4.7999999999999996E-3</v>
      </c>
      <c r="O16" s="3143">
        <f t="shared" si="5"/>
        <v>4.7999999999999996E-3</v>
      </c>
      <c r="P16" s="3143">
        <f t="shared" si="25"/>
        <v>2.3999999999999998E-3</v>
      </c>
      <c r="Q16" s="3152"/>
      <c r="R16" s="3154">
        <f>ROUND(IF(项目基本情况!$B$8="出让",SUMPRODUCT(PRODUCT(1+K16:$K$18)),SUMPRODUCT(PRODUCT(1+K16:$K$17))),4)</f>
        <v>1.0139</v>
      </c>
      <c r="S16" s="3154">
        <f>ROUND(IF(项目基本情况!$B$8="出让",SUMPRODUCT(PRODUCT(1+L16:$L$18)),SUMPRODUCT(PRODUCT(1+L16:$L$17))),4)</f>
        <v>1.0113000000000001</v>
      </c>
      <c r="T16" s="3154">
        <f>ROUND(IF(项目基本情况!$B$8="出让",SUMPRODUCT(PRODUCT(1+M16:$M$18)),SUMPRODUCT(PRODUCT(1+M16:$M$17))),4)</f>
        <v>1.0065</v>
      </c>
      <c r="U16" s="3154">
        <f>ROUND(IF(项目基本情况!$B$8="出让",SUMPRODUCT(PRODUCT(1+N16:$N$18)),SUMPRODUCT(PRODUCT(1+N16:$N$17))),4)</f>
        <v>1.0143</v>
      </c>
      <c r="V16" s="3154">
        <f>ROUND(IF(项目基本情况!$B$8="出让",SUMPRODUCT(PRODUCT(1+O16:$O$18)),SUMPRODUCT(PRODUCT(1+O16:$O$17))),4)</f>
        <v>1.0148999999999999</v>
      </c>
      <c r="W16" s="3154">
        <f t="shared" si="24"/>
        <v>1.0065</v>
      </c>
      <c r="X16" s="3152"/>
      <c r="Y16" s="3155">
        <f>IF(D16=0,0,ROUND(AVERAGE(D16:D18)/100,4))</f>
        <v>7.9000000000000008E-3</v>
      </c>
      <c r="Z16" s="3155">
        <f>IF(E16=0,0,ROUND(AVERAGE(E16:E18)/100,4))</f>
        <v>4.3E-3</v>
      </c>
      <c r="AA16" s="3155">
        <f>IF(F16=0,0,ROUND(AVERAGE(F16:F18)/100,4))</f>
        <v>1.2999999999999999E-3</v>
      </c>
      <c r="AB16" s="3155">
        <f>IF(G16=0,0,ROUND(AVERAGE(G16:G18)/100,4))</f>
        <v>8.5000000000000006E-3</v>
      </c>
      <c r="AC16" s="3155">
        <f>IF(H16=0,0,ROUND(AVERAGE(H16:H18)/100,4))</f>
        <v>6.1999999999999998E-3</v>
      </c>
      <c r="AD16" s="3155">
        <f t="shared" si="7"/>
        <v>1.2999999999999999E-3</v>
      </c>
    </row>
    <row r="17" spans="1:30" s="3156" customFormat="1" ht="12.75">
      <c r="A17" s="3147" t="s">
        <v>2805</v>
      </c>
      <c r="B17" s="3148">
        <v>2021</v>
      </c>
      <c r="C17" s="3149">
        <v>2</v>
      </c>
      <c r="D17" s="3150">
        <v>0.92</v>
      </c>
      <c r="E17" s="3150">
        <v>0.72</v>
      </c>
      <c r="F17" s="3150">
        <v>0.41</v>
      </c>
      <c r="G17" s="3150">
        <v>0.95</v>
      </c>
      <c r="H17" s="3167">
        <v>1.01</v>
      </c>
      <c r="I17" s="3151">
        <f t="shared" si="4"/>
        <v>0.41</v>
      </c>
      <c r="J17" s="3152"/>
      <c r="K17" s="3153">
        <f t="shared" si="5"/>
        <v>9.1999999999999998E-3</v>
      </c>
      <c r="L17" s="3143">
        <f t="shared" si="5"/>
        <v>7.1999999999999998E-3</v>
      </c>
      <c r="M17" s="3143">
        <f t="shared" si="5"/>
        <v>4.0999999999999995E-3</v>
      </c>
      <c r="N17" s="3143">
        <f t="shared" si="5"/>
        <v>9.4999999999999998E-3</v>
      </c>
      <c r="O17" s="3143">
        <f t="shared" si="5"/>
        <v>1.01E-2</v>
      </c>
      <c r="P17" s="3143">
        <f t="shared" si="25"/>
        <v>4.0999999999999995E-3</v>
      </c>
      <c r="Q17" s="3152"/>
      <c r="R17" s="3154">
        <f>ROUND(IF(项目基本情况!$B$8="出让",SUMPRODUCT(PRODUCT(1+K17:$K$18)),SUMPRODUCT(PRODUCT(1+K17:$K$17))),4)</f>
        <v>1.0092000000000001</v>
      </c>
      <c r="S17" s="3154">
        <f>ROUND(IF(项目基本情况!$B$8="出让",SUMPRODUCT(PRODUCT(1+L17:$L$18)),SUMPRODUCT(PRODUCT(1+L17:$L$17))),4)</f>
        <v>1.0072000000000001</v>
      </c>
      <c r="T17" s="3154">
        <f>ROUND(IF(项目基本情况!$B$8="出让",SUMPRODUCT(PRODUCT(1+M17:$M$18)),SUMPRODUCT(PRODUCT(1+M17:$M$17))),4)</f>
        <v>1.0041</v>
      </c>
      <c r="U17" s="3154">
        <f>ROUND(IF(项目基本情况!$B$8="出让",SUMPRODUCT(PRODUCT(1+N17:$N$18)),SUMPRODUCT(PRODUCT(1+N17:$N$17))),4)</f>
        <v>1.0095000000000001</v>
      </c>
      <c r="V17" s="3154">
        <f>ROUND(IF(项目基本情况!$B$8="出让",SUMPRODUCT(PRODUCT(1+O17:$O$18)),SUMPRODUCT(PRODUCT(1+O17:$O$17))),4)</f>
        <v>1.0101</v>
      </c>
      <c r="W17" s="3154">
        <f t="shared" si="24"/>
        <v>1.0041</v>
      </c>
      <c r="X17" s="3152"/>
      <c r="Y17" s="3155">
        <f>IF(D17=0,0,ROUND(AVERAGE(D17:D18)/100,4))</f>
        <v>9.4999999999999998E-3</v>
      </c>
      <c r="Z17" s="3155">
        <f>IF(E17=0,0,ROUND(AVERAGE(E17:E18)/100,4))</f>
        <v>4.4000000000000003E-3</v>
      </c>
      <c r="AA17" s="3155">
        <f>IF(F17=0,0,ROUND(AVERAGE(F17:F18)/100,4))</f>
        <v>8.0000000000000004E-4</v>
      </c>
      <c r="AB17" s="3155">
        <f>IF(G17=0,0,ROUND(AVERAGE(G17:G18)/100,4))</f>
        <v>1.03E-2</v>
      </c>
      <c r="AC17" s="3155">
        <f>IF(H17=0,0,ROUND(AVERAGE(H17:H18)/100,4))</f>
        <v>6.8999999999999999E-3</v>
      </c>
      <c r="AD17" s="3155">
        <f t="shared" si="7"/>
        <v>8.0000000000000004E-4</v>
      </c>
    </row>
    <row r="18" spans="1:30" s="3178" customFormat="1" thickBot="1">
      <c r="A18" s="3168" t="s">
        <v>2806</v>
      </c>
      <c r="B18" s="3169">
        <v>2021</v>
      </c>
      <c r="C18" s="3170">
        <v>1</v>
      </c>
      <c r="D18" s="3171">
        <v>0.97</v>
      </c>
      <c r="E18" s="3171">
        <v>0.16</v>
      </c>
      <c r="F18" s="3171">
        <v>-0.25</v>
      </c>
      <c r="G18" s="3171">
        <v>1.1100000000000001</v>
      </c>
      <c r="H18" s="3172">
        <v>0.36</v>
      </c>
      <c r="I18" s="3173">
        <f t="shared" si="4"/>
        <v>-0.25</v>
      </c>
      <c r="J18" s="3174"/>
      <c r="K18" s="3175">
        <f t="shared" si="5"/>
        <v>9.7000000000000003E-3</v>
      </c>
      <c r="L18" s="3176">
        <f t="shared" si="5"/>
        <v>1.6000000000000001E-3</v>
      </c>
      <c r="M18" s="3176">
        <f>F18/100</f>
        <v>-2.5000000000000001E-3</v>
      </c>
      <c r="N18" s="3176">
        <f t="shared" si="5"/>
        <v>1.11E-2</v>
      </c>
      <c r="O18" s="3176">
        <f t="shared" si="5"/>
        <v>3.5999999999999999E-3</v>
      </c>
      <c r="P18" s="3176">
        <f t="shared" si="25"/>
        <v>-2.5000000000000001E-3</v>
      </c>
      <c r="Q18" s="3174"/>
      <c r="R18" s="3177">
        <v>1</v>
      </c>
      <c r="S18" s="3177">
        <v>1</v>
      </c>
      <c r="T18" s="3177">
        <v>1</v>
      </c>
      <c r="U18" s="3177">
        <v>1</v>
      </c>
      <c r="V18" s="3177">
        <v>1</v>
      </c>
      <c r="W18" s="3177">
        <f t="shared" ref="W18" si="31">T18</f>
        <v>1</v>
      </c>
      <c r="X18" s="3174"/>
      <c r="Y18" s="3176">
        <f>IF(D18=0,0,ROUND(AVERAGE(D18:D18)/100,4))</f>
        <v>9.7000000000000003E-3</v>
      </c>
      <c r="Z18" s="3176">
        <f>IF(E18=0,0,ROUND(AVERAGE(E18:E18)/100,4))</f>
        <v>1.6000000000000001E-3</v>
      </c>
      <c r="AA18" s="3176">
        <f>IF(F18=0,0,ROUND(AVERAGE(F18:F18)/100,4))</f>
        <v>-2.5000000000000001E-3</v>
      </c>
      <c r="AB18" s="3176">
        <f>IF(G18=0,0,ROUND(AVERAGE(G18:G18)/100,4))</f>
        <v>1.11E-2</v>
      </c>
      <c r="AC18" s="3176">
        <f>IF(H18=0,0,ROUND(AVERAGE(H18:H18)/100,4))</f>
        <v>3.5999999999999999E-3</v>
      </c>
      <c r="AD18" s="3176">
        <f>AA18</f>
        <v>-2.5000000000000001E-3</v>
      </c>
    </row>
    <row r="19" spans="1:30" s="2980" customFormat="1" ht="14.25" thickTop="1"/>
    <row r="20" spans="1:30" s="2980" customFormat="1">
      <c r="A20" s="3418" t="s">
        <v>3347</v>
      </c>
    </row>
    <row r="21" spans="1:30" s="2980" customFormat="1">
      <c r="I21" s="3179" t="s">
        <v>2807</v>
      </c>
    </row>
    <row r="22" spans="1:30" s="2980" customFormat="1"/>
    <row r="23" spans="1:30" s="3180" customFormat="1" ht="12.75">
      <c r="B23" s="3181" t="s">
        <v>3354</v>
      </c>
      <c r="C23" s="3182"/>
      <c r="D23" s="3182"/>
      <c r="E23" s="3182"/>
      <c r="F23" s="3182"/>
      <c r="G23" s="3182"/>
      <c r="H23" s="3182"/>
      <c r="I23" s="3182"/>
      <c r="J23" s="3136"/>
      <c r="K23" s="3182" t="s">
        <v>2808</v>
      </c>
      <c r="L23" s="3182"/>
      <c r="M23" s="3182"/>
      <c r="N23" s="3182"/>
      <c r="O23" s="3182"/>
      <c r="P23" s="3182"/>
      <c r="Q23" s="3136"/>
      <c r="R23" s="3862" t="s">
        <v>2809</v>
      </c>
      <c r="S23" s="3863"/>
      <c r="T23" s="3863"/>
      <c r="U23" s="3863"/>
      <c r="V23" s="3863"/>
      <c r="W23" s="3863"/>
      <c r="X23" s="3136"/>
      <c r="Y23" s="3862" t="s">
        <v>2810</v>
      </c>
      <c r="Z23" s="3863"/>
      <c r="AA23" s="3863"/>
      <c r="AB23" s="3863"/>
      <c r="AC23" s="3863"/>
      <c r="AD23" s="3863"/>
    </row>
    <row r="24" spans="1:30" s="3114" customFormat="1" ht="14.25" thickBot="1">
      <c r="B24" s="3115"/>
      <c r="C24" s="3116"/>
      <c r="D24" s="3117" t="s">
        <v>2811</v>
      </c>
      <c r="E24" s="3118" t="s">
        <v>2812</v>
      </c>
      <c r="F24" s="3118" t="s">
        <v>2813</v>
      </c>
      <c r="G24" s="3118" t="s">
        <v>2814</v>
      </c>
      <c r="H24" s="3118"/>
      <c r="I24" s="3118" t="s">
        <v>2815</v>
      </c>
      <c r="J24" s="3119"/>
      <c r="K24" s="3117" t="s">
        <v>2811</v>
      </c>
      <c r="L24" s="3118" t="s">
        <v>2812</v>
      </c>
      <c r="M24" s="3118" t="s">
        <v>2813</v>
      </c>
      <c r="N24" s="3118" t="s">
        <v>2814</v>
      </c>
      <c r="O24" s="3118"/>
      <c r="P24" s="3118" t="s">
        <v>2815</v>
      </c>
      <c r="Q24" s="3119"/>
      <c r="R24" s="3117" t="s">
        <v>2811</v>
      </c>
      <c r="S24" s="3118" t="s">
        <v>2812</v>
      </c>
      <c r="T24" s="3118" t="s">
        <v>2813</v>
      </c>
      <c r="U24" s="3118" t="s">
        <v>2814</v>
      </c>
      <c r="V24" s="3118"/>
      <c r="W24" s="3118" t="s">
        <v>2815</v>
      </c>
      <c r="X24" s="3119"/>
      <c r="Y24" s="3117" t="s">
        <v>2811</v>
      </c>
      <c r="Z24" s="3118" t="s">
        <v>2812</v>
      </c>
      <c r="AA24" s="3118" t="s">
        <v>2813</v>
      </c>
      <c r="AB24" s="3118" t="s">
        <v>2814</v>
      </c>
      <c r="AC24" s="3118"/>
      <c r="AD24" s="3118" t="s">
        <v>2815</v>
      </c>
    </row>
    <row r="25" spans="1:30" s="3132" customFormat="1" ht="12.75">
      <c r="A25" s="3120" t="s">
        <v>2816</v>
      </c>
      <c r="B25" s="3121"/>
      <c r="C25" s="3122"/>
      <c r="D25" s="3122"/>
      <c r="E25" s="3122">
        <f t="shared" ref="E25:G25" si="32">ROUND(AVERAGEIF(E26:E40,"&lt;&gt;0"),2)</f>
        <v>0.42</v>
      </c>
      <c r="F25" s="3122">
        <f t="shared" si="32"/>
        <v>0.3</v>
      </c>
      <c r="G25" s="3122">
        <f t="shared" si="32"/>
        <v>0.73</v>
      </c>
      <c r="H25" s="3122"/>
      <c r="I25" s="3122">
        <f>F25</f>
        <v>0.3</v>
      </c>
      <c r="J25" s="3123"/>
      <c r="K25" s="3124"/>
      <c r="L25" s="3125">
        <f t="shared" ref="L25:N25" si="33">ROUND(AVERAGEIF(L26:L40,"&lt;&gt;0"),4)</f>
        <v>4.1999999999999997E-3</v>
      </c>
      <c r="M25" s="3125">
        <f t="shared" si="33"/>
        <v>3.0000000000000001E-3</v>
      </c>
      <c r="N25" s="3125">
        <f t="shared" si="33"/>
        <v>7.3000000000000001E-3</v>
      </c>
      <c r="O25" s="3125"/>
      <c r="P25" s="3125">
        <f>M25</f>
        <v>3.0000000000000001E-3</v>
      </c>
      <c r="Q25" s="3123"/>
      <c r="R25" s="3126"/>
      <c r="S25" s="3127">
        <f>ROUND(SUMPRODUCT(PRODUCT(1+L26:L40)),4)</f>
        <v>1.0468</v>
      </c>
      <c r="T25" s="3127">
        <f t="shared" ref="T25:U25" si="34">ROUND(SUMPRODUCT(PRODUCT(1+M26:M40)),4)</f>
        <v>1.0337000000000001</v>
      </c>
      <c r="U25" s="3127">
        <f t="shared" si="34"/>
        <v>1.0828</v>
      </c>
      <c r="V25" s="3127"/>
      <c r="W25" s="3126">
        <f>T25</f>
        <v>1.0337000000000001</v>
      </c>
      <c r="X25" s="3123"/>
      <c r="Y25" s="3128"/>
      <c r="Z25" s="3129">
        <f t="shared" ref="Z25:AB25" si="35">ROUND(AVERAGEIF(Z26:Z40,"&lt;&gt;0"),4)</f>
        <v>4.3E-3</v>
      </c>
      <c r="AA25" s="3130">
        <f t="shared" si="35"/>
        <v>3.5999999999999999E-3</v>
      </c>
      <c r="AB25" s="3128">
        <f t="shared" si="35"/>
        <v>8.8999999999999999E-3</v>
      </c>
      <c r="AC25" s="3131"/>
      <c r="AD25" s="3128">
        <f>AA25</f>
        <v>3.5999999999999999E-3</v>
      </c>
    </row>
    <row r="26" spans="1:30" s="3133" customFormat="1" ht="12.75">
      <c r="B26" s="3134"/>
      <c r="C26" s="3135"/>
      <c r="D26" s="3135"/>
      <c r="E26" s="3135"/>
      <c r="F26" s="3135"/>
      <c r="G26" s="3135"/>
      <c r="H26" s="3135"/>
      <c r="I26" s="3135"/>
      <c r="J26" s="3136"/>
      <c r="K26" s="3137"/>
      <c r="L26" s="3138"/>
      <c r="M26" s="3138"/>
      <c r="N26" s="3138"/>
      <c r="O26" s="3138"/>
      <c r="P26" s="3138"/>
      <c r="Q26" s="3136"/>
      <c r="R26" s="3139"/>
      <c r="S26" s="3140"/>
      <c r="T26" s="3141"/>
      <c r="U26" s="3139"/>
      <c r="V26" s="3142"/>
      <c r="W26" s="3139"/>
      <c r="X26" s="3136"/>
      <c r="Y26" s="3143"/>
      <c r="Z26" s="3144"/>
      <c r="AA26" s="3145"/>
      <c r="AB26" s="3143"/>
      <c r="AC26" s="3146"/>
      <c r="AD26" s="3143"/>
    </row>
    <row r="27" spans="1:30" s="3156" customFormat="1" ht="12.75">
      <c r="A27" s="2200" t="s">
        <v>3357</v>
      </c>
      <c r="B27" s="3148">
        <v>2023</v>
      </c>
      <c r="C27" s="3149">
        <v>4</v>
      </c>
      <c r="D27" s="3150"/>
      <c r="E27" s="3150">
        <v>0</v>
      </c>
      <c r="F27" s="3150">
        <v>0</v>
      </c>
      <c r="G27" s="3150">
        <v>0</v>
      </c>
      <c r="H27" s="3150"/>
      <c r="I27" s="3151">
        <f t="shared" ref="I27:I40" si="36">F27</f>
        <v>0</v>
      </c>
      <c r="J27" s="3152"/>
      <c r="K27" s="3153"/>
      <c r="L27" s="3143">
        <f t="shared" ref="L27:N40" si="37">E27/100</f>
        <v>0</v>
      </c>
      <c r="M27" s="3143">
        <f t="shared" si="37"/>
        <v>0</v>
      </c>
      <c r="N27" s="3143">
        <f t="shared" si="37"/>
        <v>0</v>
      </c>
      <c r="O27" s="3143"/>
      <c r="P27" s="3143">
        <f>M27</f>
        <v>0</v>
      </c>
      <c r="Q27" s="3152"/>
      <c r="R27" s="3154"/>
      <c r="S27" s="3154">
        <f>ROUND(IF(项目基本情况!$B$8="出让",SUMPRODUCT(PRODUCT(1+L27:L$40)),SUMPRODUCT(PRODUCT(1+L27:L$39))),4)</f>
        <v>1.0431999999999999</v>
      </c>
      <c r="T27" s="3154">
        <f>ROUND(IF(项目基本情况!$B$8="出让",SUMPRODUCT(PRODUCT(1+M27:M$40)),SUMPRODUCT(PRODUCT(1+M27:M$39))),4)</f>
        <v>1.0286999999999999</v>
      </c>
      <c r="U27" s="3154">
        <f>ROUND(IF(项目基本情况!$B$8="出让",SUMPRODUCT(PRODUCT(1+N27:N$40)),SUMPRODUCT(PRODUCT(1+N27:N$39))),4)</f>
        <v>1.0723</v>
      </c>
      <c r="V27" s="3154"/>
      <c r="W27" s="3154">
        <f>T27</f>
        <v>1.0286999999999999</v>
      </c>
      <c r="X27" s="3152"/>
      <c r="Y27" s="3155"/>
      <c r="Z27" s="3183">
        <f>IF(E27=0,0,ROUND(AVERAGE(E27:E40)/100,4))</f>
        <v>0</v>
      </c>
      <c r="AA27" s="3183">
        <f>IF(F27=0,0,ROUND(AVERAGE(F27:F40)/100,4))</f>
        <v>0</v>
      </c>
      <c r="AB27" s="3183">
        <f>IF(G27=0,0,ROUND(AVERAGE(G27:G40)/100,4))</f>
        <v>0</v>
      </c>
      <c r="AC27" s="3184"/>
      <c r="AD27" s="3155">
        <f>IF(I27=0,0,ROUND(AVERAGE(I27:I40)/100,4))</f>
        <v>0</v>
      </c>
    </row>
    <row r="28" spans="1:30" s="3156" customFormat="1" ht="12.75">
      <c r="A28" s="2200" t="s">
        <v>3358</v>
      </c>
      <c r="B28" s="3148">
        <v>2023</v>
      </c>
      <c r="C28" s="3149">
        <v>3</v>
      </c>
      <c r="D28" s="3150"/>
      <c r="E28" s="3150">
        <v>0</v>
      </c>
      <c r="F28" s="3150">
        <v>0</v>
      </c>
      <c r="G28" s="3150">
        <v>0</v>
      </c>
      <c r="H28" s="3150"/>
      <c r="I28" s="3151">
        <f t="shared" ref="I28:I29" si="38">F28</f>
        <v>0</v>
      </c>
      <c r="J28" s="3152"/>
      <c r="K28" s="3153"/>
      <c r="L28" s="3143">
        <f t="shared" ref="L28" si="39">E28/100</f>
        <v>0</v>
      </c>
      <c r="M28" s="3143">
        <f t="shared" ref="M28" si="40">F28/100</f>
        <v>0</v>
      </c>
      <c r="N28" s="3143">
        <f t="shared" ref="N28" si="41">G28/100</f>
        <v>0</v>
      </c>
      <c r="O28" s="3143"/>
      <c r="P28" s="3143">
        <f t="shared" ref="P28" si="42">M28</f>
        <v>0</v>
      </c>
      <c r="Q28" s="3152"/>
      <c r="R28" s="3154"/>
      <c r="S28" s="3154">
        <f>ROUND(IF(项目基本情况!$B$8="出让",SUMPRODUCT(PRODUCT(1+L28:L$40)),SUMPRODUCT(PRODUCT(1+L28:L$39))),4)</f>
        <v>1.0431999999999999</v>
      </c>
      <c r="T28" s="3154">
        <f>ROUND(IF(项目基本情况!$B$8="出让",SUMPRODUCT(PRODUCT(1+M28:M$40)),SUMPRODUCT(PRODUCT(1+M28:M$39))),4)</f>
        <v>1.0286999999999999</v>
      </c>
      <c r="U28" s="3154">
        <f>ROUND(IF(项目基本情况!$B$8="出让",SUMPRODUCT(PRODUCT(1+N28:N$40)),SUMPRODUCT(PRODUCT(1+N28:N$39))),4)</f>
        <v>1.0723</v>
      </c>
      <c r="V28" s="3154"/>
      <c r="W28" s="3154">
        <f t="shared" ref="W28" si="43">T28</f>
        <v>1.0286999999999999</v>
      </c>
      <c r="X28" s="3152"/>
      <c r="Y28" s="3155"/>
      <c r="Z28" s="3183"/>
      <c r="AA28" s="3185"/>
      <c r="AB28" s="3155"/>
      <c r="AC28" s="3184"/>
      <c r="AD28" s="3155"/>
    </row>
    <row r="29" spans="1:30" s="3156" customFormat="1" ht="12.75">
      <c r="A29" s="2200" t="s">
        <v>3359</v>
      </c>
      <c r="B29" s="3148">
        <v>2023</v>
      </c>
      <c r="C29" s="3149">
        <v>3</v>
      </c>
      <c r="D29" s="3150"/>
      <c r="E29" s="3150">
        <v>0</v>
      </c>
      <c r="F29" s="3150">
        <v>0</v>
      </c>
      <c r="G29" s="3150">
        <v>0</v>
      </c>
      <c r="H29" s="3150"/>
      <c r="I29" s="3151">
        <f t="shared" si="38"/>
        <v>0</v>
      </c>
      <c r="J29" s="3152"/>
      <c r="K29" s="3153"/>
      <c r="L29" s="3143">
        <f t="shared" si="37"/>
        <v>0</v>
      </c>
      <c r="M29" s="3143">
        <f t="shared" si="37"/>
        <v>0</v>
      </c>
      <c r="N29" s="3143">
        <f t="shared" si="37"/>
        <v>0</v>
      </c>
      <c r="O29" s="3143"/>
      <c r="P29" s="3143">
        <f t="shared" ref="P29" si="44">M29</f>
        <v>0</v>
      </c>
      <c r="Q29" s="3152"/>
      <c r="R29" s="3154"/>
      <c r="S29" s="3154">
        <f>ROUND(IF(项目基本情况!$B$8="出让",SUMPRODUCT(PRODUCT(1+L29:L$40)),SUMPRODUCT(PRODUCT(1+L29:L$39))),4)</f>
        <v>1.0431999999999999</v>
      </c>
      <c r="T29" s="3154">
        <f>ROUND(IF(项目基本情况!$B$8="出让",SUMPRODUCT(PRODUCT(1+M29:M$40)),SUMPRODUCT(PRODUCT(1+M29:M$39))),4)</f>
        <v>1.0286999999999999</v>
      </c>
      <c r="U29" s="3154">
        <f>ROUND(IF(项目基本情况!$B$8="出让",SUMPRODUCT(PRODUCT(1+N29:N$40)),SUMPRODUCT(PRODUCT(1+N29:N$39))),4)</f>
        <v>1.0723</v>
      </c>
      <c r="V29" s="3154"/>
      <c r="W29" s="3154">
        <f t="shared" ref="W29" si="45">T29</f>
        <v>1.0286999999999999</v>
      </c>
      <c r="X29" s="3152"/>
      <c r="Y29" s="3155"/>
      <c r="Z29" s="3183"/>
      <c r="AA29" s="3185"/>
      <c r="AB29" s="3155"/>
      <c r="AC29" s="3184"/>
      <c r="AD29" s="3155"/>
    </row>
    <row r="30" spans="1:30" s="3166" customFormat="1" ht="12.75">
      <c r="A30" s="3157" t="s">
        <v>3355</v>
      </c>
      <c r="B30" s="3158">
        <v>2023</v>
      </c>
      <c r="C30" s="3159">
        <v>3</v>
      </c>
      <c r="D30" s="3160"/>
      <c r="E30" s="3160">
        <v>0.35</v>
      </c>
      <c r="F30" s="3160">
        <v>0.17</v>
      </c>
      <c r="G30" s="3160">
        <v>0.52</v>
      </c>
      <c r="H30" s="3161"/>
      <c r="I30" s="3162">
        <f t="shared" si="36"/>
        <v>0.17</v>
      </c>
      <c r="J30" s="3163"/>
      <c r="K30" s="3164"/>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63"/>
      <c r="R30" s="3163"/>
      <c r="S30" s="3163">
        <f>ROUND(IF(项目基本情况!$B$8="出让",SUMPRODUCT(PRODUCT(1+L30:L$40)),SUMPRODUCT(PRODUCT(1+L30:L$39))),4)</f>
        <v>1.0431999999999999</v>
      </c>
      <c r="T30" s="3163">
        <f>ROUND(IF(项目基本情况!$B$8="出让",SUMPRODUCT(PRODUCT(1+M30:M$40)),SUMPRODUCT(PRODUCT(1+M30:M$39))),4)</f>
        <v>1.0286999999999999</v>
      </c>
      <c r="U30" s="3163">
        <f>ROUND(IF(项目基本情况!$B$8="出让",SUMPRODUCT(PRODUCT(1+N30:N$40)),SUMPRODUCT(PRODUCT(1+N30:N$39))),4)</f>
        <v>1.0723</v>
      </c>
      <c r="V30" s="3163"/>
      <c r="W30" s="3163">
        <f t="shared" ref="W30:W32" si="50">T30</f>
        <v>1.0286999999999999</v>
      </c>
      <c r="X30" s="3163"/>
      <c r="Y30" s="3165"/>
      <c r="Z30" s="3186"/>
      <c r="AA30" s="3187"/>
      <c r="AB30" s="3165"/>
      <c r="AC30" s="3188"/>
      <c r="AD30" s="3165"/>
    </row>
    <row r="31" spans="1:30" s="3156" customFormat="1" ht="12.75">
      <c r="A31" s="3147" t="s">
        <v>3356</v>
      </c>
      <c r="B31" s="3148">
        <v>2023</v>
      </c>
      <c r="C31" s="3149">
        <v>2</v>
      </c>
      <c r="D31" s="3150"/>
      <c r="E31" s="3150">
        <v>0.5</v>
      </c>
      <c r="F31" s="3150">
        <v>0.45</v>
      </c>
      <c r="G31" s="3150">
        <v>0.89</v>
      </c>
      <c r="H31" s="3167"/>
      <c r="I31" s="3151">
        <f t="shared" si="36"/>
        <v>0.45</v>
      </c>
      <c r="J31" s="3152"/>
      <c r="K31" s="3153"/>
      <c r="L31" s="3143">
        <f t="shared" si="46"/>
        <v>5.0000000000000001E-3</v>
      </c>
      <c r="M31" s="3143">
        <f t="shared" si="47"/>
        <v>4.5000000000000005E-3</v>
      </c>
      <c r="N31" s="3143">
        <f t="shared" si="48"/>
        <v>8.8999999999999999E-3</v>
      </c>
      <c r="O31" s="3143"/>
      <c r="P31" s="3143">
        <f t="shared" si="49"/>
        <v>4.5000000000000005E-3</v>
      </c>
      <c r="Q31" s="3152"/>
      <c r="R31" s="3154"/>
      <c r="S31" s="3154">
        <f>ROUND(IF(项目基本情况!$B$8="出让",SUMPRODUCT(PRODUCT(1+L31:L$40)),SUMPRODUCT(PRODUCT(1+L31:L$39))),4)</f>
        <v>1.0396000000000001</v>
      </c>
      <c r="T31" s="3154">
        <f>ROUND(IF(项目基本情况!$B$8="出让",SUMPRODUCT(PRODUCT(1+M31:M$40)),SUMPRODUCT(PRODUCT(1+M31:M$39))),4)</f>
        <v>1.0269999999999999</v>
      </c>
      <c r="U31" s="3154">
        <f>ROUND(IF(项目基本情况!$B$8="出让",SUMPRODUCT(PRODUCT(1+N31:N$40)),SUMPRODUCT(PRODUCT(1+N31:N$39))),4)</f>
        <v>1.0668</v>
      </c>
      <c r="V31" s="3154"/>
      <c r="W31" s="3154">
        <f t="shared" si="50"/>
        <v>1.0269999999999999</v>
      </c>
      <c r="X31" s="3152"/>
      <c r="Y31" s="3155"/>
      <c r="Z31" s="3183"/>
      <c r="AA31" s="3185"/>
      <c r="AB31" s="3155"/>
      <c r="AC31" s="3184"/>
      <c r="AD31" s="3155"/>
    </row>
    <row r="32" spans="1:30" s="3156" customFormat="1" ht="12.75">
      <c r="A32" s="3147" t="s">
        <v>3350</v>
      </c>
      <c r="B32" s="3148">
        <v>2023</v>
      </c>
      <c r="C32" s="3149">
        <v>1</v>
      </c>
      <c r="D32" s="3150"/>
      <c r="E32" s="3150">
        <v>0.55000000000000004</v>
      </c>
      <c r="F32" s="3150">
        <v>0.59</v>
      </c>
      <c r="G32" s="3150">
        <v>0.64</v>
      </c>
      <c r="H32" s="3167"/>
      <c r="I32" s="3151">
        <f t="shared" si="36"/>
        <v>0.59</v>
      </c>
      <c r="J32" s="3152"/>
      <c r="K32" s="3153"/>
      <c r="L32" s="3143">
        <f t="shared" si="46"/>
        <v>5.5000000000000005E-3</v>
      </c>
      <c r="M32" s="3143">
        <f t="shared" si="47"/>
        <v>5.8999999999999999E-3</v>
      </c>
      <c r="N32" s="3143">
        <f t="shared" si="48"/>
        <v>6.4000000000000003E-3</v>
      </c>
      <c r="O32" s="3143"/>
      <c r="P32" s="3143">
        <f t="shared" si="49"/>
        <v>5.8999999999999999E-3</v>
      </c>
      <c r="Q32" s="3152"/>
      <c r="R32" s="3154"/>
      <c r="S32" s="3154">
        <f>ROUND(IF(项目基本情况!$B$8="出让",SUMPRODUCT(PRODUCT(1+L32:L$40)),SUMPRODUCT(PRODUCT(1+L32:L$39))),4)</f>
        <v>1.0344</v>
      </c>
      <c r="T32" s="3154">
        <f>ROUND(IF(项目基本情况!$B$8="出让",SUMPRODUCT(PRODUCT(1+M32:M$40)),SUMPRODUCT(PRODUCT(1+M32:M$39))),4)</f>
        <v>1.0224</v>
      </c>
      <c r="U32" s="3154">
        <f>ROUND(IF(项目基本情况!$B$8="出让",SUMPRODUCT(PRODUCT(1+N32:N$40)),SUMPRODUCT(PRODUCT(1+N32:N$39))),4)</f>
        <v>1.0573999999999999</v>
      </c>
      <c r="V32" s="3154"/>
      <c r="W32" s="3154">
        <f t="shared" si="50"/>
        <v>1.0224</v>
      </c>
      <c r="X32" s="3152"/>
      <c r="Y32" s="3155"/>
      <c r="Z32" s="3183"/>
      <c r="AA32" s="3185"/>
      <c r="AB32" s="3155"/>
      <c r="AC32" s="3184"/>
      <c r="AD32" s="3155"/>
    </row>
    <row r="33" spans="1:30" s="3156" customFormat="1" ht="12.75">
      <c r="A33" s="3147" t="s">
        <v>3349</v>
      </c>
      <c r="B33" s="3148">
        <v>2022</v>
      </c>
      <c r="C33" s="3149">
        <v>4</v>
      </c>
      <c r="D33" s="3150"/>
      <c r="E33" s="3150">
        <v>0.45</v>
      </c>
      <c r="F33" s="3150">
        <v>0.2</v>
      </c>
      <c r="G33" s="3150">
        <v>0.38</v>
      </c>
      <c r="H33" s="3167"/>
      <c r="I33" s="3151">
        <f t="shared" si="36"/>
        <v>0.2</v>
      </c>
      <c r="J33" s="3152"/>
      <c r="K33" s="3153"/>
      <c r="L33" s="3143">
        <f t="shared" si="37"/>
        <v>4.5000000000000005E-3</v>
      </c>
      <c r="M33" s="3143">
        <f t="shared" si="37"/>
        <v>2E-3</v>
      </c>
      <c r="N33" s="3143">
        <f t="shared" si="37"/>
        <v>3.8E-3</v>
      </c>
      <c r="O33" s="3143"/>
      <c r="P33" s="3143">
        <f t="shared" ref="P33:P40" si="51">M33</f>
        <v>2E-3</v>
      </c>
      <c r="Q33" s="3152"/>
      <c r="R33" s="3154"/>
      <c r="S33" s="3154">
        <f>ROUND(IF(项目基本情况!$B$8="出让",SUMPRODUCT(PRODUCT(1+L33:L$40)),SUMPRODUCT(PRODUCT(1+L33:L$39))),4)</f>
        <v>1.0286999999999999</v>
      </c>
      <c r="T33" s="3154">
        <f>ROUND(IF(项目基本情况!$B$8="出让",SUMPRODUCT(PRODUCT(1+M33:M$40)),SUMPRODUCT(PRODUCT(1+M33:M$39))),4)</f>
        <v>1.0164</v>
      </c>
      <c r="U33" s="3154">
        <f>ROUND(IF(项目基本情况!$B$8="出让",SUMPRODUCT(PRODUCT(1+N33:N$40)),SUMPRODUCT(PRODUCT(1+N33:N$39))),4)</f>
        <v>1.0506</v>
      </c>
      <c r="V33" s="3154"/>
      <c r="W33" s="3154">
        <f t="shared" ref="W33:W40" si="52">T33</f>
        <v>1.0164</v>
      </c>
      <c r="X33" s="3152"/>
      <c r="Y33" s="3155"/>
      <c r="Z33" s="3183">
        <f t="shared" ref="Z33:AD40" si="53">IF(E33=0,0,ROUND(AVERAGE(E33:E41)/100,4))</f>
        <v>4.0000000000000001E-3</v>
      </c>
      <c r="AA33" s="3185">
        <f t="shared" si="53"/>
        <v>2.5999999999999999E-3</v>
      </c>
      <c r="AB33" s="3155">
        <f t="shared" si="53"/>
        <v>7.4000000000000003E-3</v>
      </c>
      <c r="AC33" s="3184"/>
      <c r="AD33" s="3155">
        <f t="shared" si="53"/>
        <v>2.5999999999999999E-3</v>
      </c>
    </row>
    <row r="34" spans="1:30" s="3156" customFormat="1" ht="12.75">
      <c r="A34" s="3147" t="s">
        <v>3346</v>
      </c>
      <c r="B34" s="3148">
        <v>2022</v>
      </c>
      <c r="C34" s="3149">
        <v>3</v>
      </c>
      <c r="D34" s="3150"/>
      <c r="E34" s="3150">
        <v>0.3</v>
      </c>
      <c r="F34" s="3150">
        <v>0.28999999999999998</v>
      </c>
      <c r="G34" s="3150">
        <v>0.83</v>
      </c>
      <c r="H34" s="3167"/>
      <c r="I34" s="3151">
        <f t="shared" si="36"/>
        <v>0.28999999999999998</v>
      </c>
      <c r="J34" s="3152"/>
      <c r="K34" s="3153"/>
      <c r="L34" s="3143">
        <f t="shared" si="37"/>
        <v>3.0000000000000001E-3</v>
      </c>
      <c r="M34" s="3143">
        <f t="shared" si="37"/>
        <v>2.8999999999999998E-3</v>
      </c>
      <c r="N34" s="3143">
        <f t="shared" si="37"/>
        <v>8.3000000000000001E-3</v>
      </c>
      <c r="O34" s="3143"/>
      <c r="P34" s="3143">
        <f t="shared" si="51"/>
        <v>2.8999999999999998E-3</v>
      </c>
      <c r="Q34" s="3152"/>
      <c r="R34" s="3154"/>
      <c r="S34" s="3154">
        <f>ROUND(IF(项目基本情况!$B$8="出让",SUMPRODUCT(PRODUCT(1+L34:L$40)),SUMPRODUCT(PRODUCT(1+L34:L$39))),4)</f>
        <v>1.0241</v>
      </c>
      <c r="T34" s="3154">
        <f>ROUND(IF(项目基本情况!$B$8="出让",SUMPRODUCT(PRODUCT(1+M34:M$40)),SUMPRODUCT(PRODUCT(1+M34:M$39))),4)</f>
        <v>1.0144</v>
      </c>
      <c r="U34" s="3154">
        <f>ROUND(IF(项目基本情况!$B$8="出让",SUMPRODUCT(PRODUCT(1+N34:N$40)),SUMPRODUCT(PRODUCT(1+N34:N$39))),4)</f>
        <v>1.0467</v>
      </c>
      <c r="V34" s="3154"/>
      <c r="W34" s="3154">
        <f t="shared" si="52"/>
        <v>1.0144</v>
      </c>
      <c r="X34" s="3152"/>
      <c r="Y34" s="3155"/>
      <c r="Z34" s="3183">
        <f t="shared" si="53"/>
        <v>3.8999999999999998E-3</v>
      </c>
      <c r="AA34" s="3185">
        <f t="shared" si="53"/>
        <v>2.7000000000000001E-3</v>
      </c>
      <c r="AB34" s="3155">
        <f t="shared" si="53"/>
        <v>7.9000000000000008E-3</v>
      </c>
      <c r="AC34" s="3184"/>
      <c r="AD34" s="3155">
        <f t="shared" si="53"/>
        <v>2.7000000000000001E-3</v>
      </c>
    </row>
    <row r="35" spans="1:30" s="3156" customFormat="1" ht="12.75">
      <c r="A35" s="3147" t="s">
        <v>3336</v>
      </c>
      <c r="B35" s="3148">
        <v>2022</v>
      </c>
      <c r="C35" s="3149">
        <v>2</v>
      </c>
      <c r="D35" s="3150"/>
      <c r="E35" s="3150">
        <v>-0.11</v>
      </c>
      <c r="F35" s="3150">
        <v>-0.13</v>
      </c>
      <c r="G35" s="3150">
        <v>0.53</v>
      </c>
      <c r="H35" s="3167"/>
      <c r="I35" s="3151">
        <f t="shared" si="36"/>
        <v>-0.13</v>
      </c>
      <c r="J35" s="3152"/>
      <c r="K35" s="3153"/>
      <c r="L35" s="3143">
        <f t="shared" si="37"/>
        <v>-1.1000000000000001E-3</v>
      </c>
      <c r="M35" s="3143">
        <f t="shared" si="37"/>
        <v>-1.2999999999999999E-3</v>
      </c>
      <c r="N35" s="3143">
        <f t="shared" si="37"/>
        <v>5.3E-3</v>
      </c>
      <c r="O35" s="3143"/>
      <c r="P35" s="3143">
        <f t="shared" si="51"/>
        <v>-1.2999999999999999E-3</v>
      </c>
      <c r="Q35" s="3152"/>
      <c r="R35" s="3154"/>
      <c r="S35" s="3154">
        <f>ROUND(IF(项目基本情况!$B$8="出让",SUMPRODUCT(PRODUCT(1+L35:L$40)),SUMPRODUCT(PRODUCT(1+L35:L$39))),4)</f>
        <v>1.0210999999999999</v>
      </c>
      <c r="T35" s="3154">
        <f>ROUND(IF(项目基本情况!$B$8="出让",SUMPRODUCT(PRODUCT(1+M35:M$40)),SUMPRODUCT(PRODUCT(1+M35:M$39))),4)</f>
        <v>1.0114000000000001</v>
      </c>
      <c r="U35" s="3154">
        <f>ROUND(IF(项目基本情况!$B$8="出让",SUMPRODUCT(PRODUCT(1+N35:N$40)),SUMPRODUCT(PRODUCT(1+N35:N$39))),4)</f>
        <v>1.0381</v>
      </c>
      <c r="V35" s="3154"/>
      <c r="W35" s="3154">
        <f t="shared" si="52"/>
        <v>1.0114000000000001</v>
      </c>
      <c r="X35" s="3152"/>
      <c r="Y35" s="3155"/>
      <c r="Z35" s="3183">
        <f t="shared" si="53"/>
        <v>4.1000000000000003E-3</v>
      </c>
      <c r="AA35" s="3185">
        <f t="shared" si="53"/>
        <v>2.7000000000000001E-3</v>
      </c>
      <c r="AB35" s="3155">
        <f t="shared" si="53"/>
        <v>7.9000000000000008E-3</v>
      </c>
      <c r="AC35" s="3184"/>
      <c r="AD35" s="3155">
        <f t="shared" si="53"/>
        <v>2.7000000000000001E-3</v>
      </c>
    </row>
    <row r="36" spans="1:30" s="3156" customFormat="1" ht="12.75">
      <c r="A36" s="3147" t="s">
        <v>2817</v>
      </c>
      <c r="B36" s="3148">
        <v>2022</v>
      </c>
      <c r="C36" s="3149">
        <v>1</v>
      </c>
      <c r="D36" s="3150"/>
      <c r="E36" s="3150">
        <v>0.6</v>
      </c>
      <c r="F36" s="3150">
        <v>0.45</v>
      </c>
      <c r="G36" s="3150">
        <v>0.53</v>
      </c>
      <c r="H36" s="3167"/>
      <c r="I36" s="3151">
        <f t="shared" si="36"/>
        <v>0.45</v>
      </c>
      <c r="J36" s="3152"/>
      <c r="K36" s="3153"/>
      <c r="L36" s="3143">
        <f t="shared" si="37"/>
        <v>6.0000000000000001E-3</v>
      </c>
      <c r="M36" s="3143">
        <f t="shared" si="37"/>
        <v>4.5000000000000005E-3</v>
      </c>
      <c r="N36" s="3143">
        <f t="shared" si="37"/>
        <v>5.3E-3</v>
      </c>
      <c r="O36" s="3143"/>
      <c r="P36" s="3143">
        <f t="shared" si="51"/>
        <v>4.5000000000000005E-3</v>
      </c>
      <c r="Q36" s="3152"/>
      <c r="R36" s="3154"/>
      <c r="S36" s="3154">
        <f>ROUND(IF(项目基本情况!$B$8="出让",SUMPRODUCT(PRODUCT(1+L36:L$40)),SUMPRODUCT(PRODUCT(1+L36:L$39))),4)</f>
        <v>1.0222</v>
      </c>
      <c r="T36" s="3154">
        <f>ROUND(IF(项目基本情况!$B$8="出让",SUMPRODUCT(PRODUCT(1+M36:M$40)),SUMPRODUCT(PRODUCT(1+M36:M$39))),4)</f>
        <v>1.0127999999999999</v>
      </c>
      <c r="U36" s="3154">
        <f>ROUND(IF(项目基本情况!$B$8="出让",SUMPRODUCT(PRODUCT(1+N36:N$40)),SUMPRODUCT(PRODUCT(1+N36:N$39))),4)</f>
        <v>1.0326</v>
      </c>
      <c r="V36" s="3154"/>
      <c r="W36" s="3154">
        <f t="shared" si="52"/>
        <v>1.0127999999999999</v>
      </c>
      <c r="X36" s="3152"/>
      <c r="Y36" s="3155"/>
      <c r="Z36" s="3183">
        <f t="shared" si="53"/>
        <v>5.1000000000000004E-3</v>
      </c>
      <c r="AA36" s="3185">
        <f t="shared" si="53"/>
        <v>3.5000000000000001E-3</v>
      </c>
      <c r="AB36" s="3155">
        <f t="shared" si="53"/>
        <v>8.3999999999999995E-3</v>
      </c>
      <c r="AC36" s="3184"/>
      <c r="AD36" s="3155">
        <f t="shared" si="53"/>
        <v>3.5000000000000001E-3</v>
      </c>
    </row>
    <row r="37" spans="1:30" s="3156" customFormat="1" ht="12.75">
      <c r="A37" s="3147" t="s">
        <v>2818</v>
      </c>
      <c r="B37" s="3148">
        <v>2021</v>
      </c>
      <c r="C37" s="3149">
        <v>4</v>
      </c>
      <c r="D37" s="3150"/>
      <c r="E37" s="3150">
        <v>0.57999999999999996</v>
      </c>
      <c r="F37" s="3150">
        <v>0.08</v>
      </c>
      <c r="G37" s="3150">
        <v>0.68</v>
      </c>
      <c r="H37" s="3167"/>
      <c r="I37" s="3151">
        <f t="shared" si="36"/>
        <v>0.08</v>
      </c>
      <c r="J37" s="3152"/>
      <c r="K37" s="3153"/>
      <c r="L37" s="3143">
        <f t="shared" si="37"/>
        <v>5.7999999999999996E-3</v>
      </c>
      <c r="M37" s="3143">
        <f t="shared" si="37"/>
        <v>8.0000000000000004E-4</v>
      </c>
      <c r="N37" s="3143">
        <f t="shared" si="37"/>
        <v>6.8000000000000005E-3</v>
      </c>
      <c r="O37" s="3143"/>
      <c r="P37" s="3143">
        <f t="shared" si="51"/>
        <v>8.0000000000000004E-4</v>
      </c>
      <c r="Q37" s="3152"/>
      <c r="R37" s="3154"/>
      <c r="S37" s="3154">
        <f>ROUND(IF(项目基本情况!$B$8="出让",SUMPRODUCT(PRODUCT(1+L37:L$40)),SUMPRODUCT(PRODUCT(1+L37:L$39))),4)</f>
        <v>1.0161</v>
      </c>
      <c r="T37" s="3154">
        <f>ROUND(IF(项目基本情况!$B$8="出让",SUMPRODUCT(PRODUCT(1+M37:M$40)),SUMPRODUCT(PRODUCT(1+M37:M$39))),4)</f>
        <v>1.0082</v>
      </c>
      <c r="U37" s="3154">
        <f>ROUND(IF(项目基本情况!$B$8="出让",SUMPRODUCT(PRODUCT(1+N37:N$40)),SUMPRODUCT(PRODUCT(1+N37:N$39))),4)</f>
        <v>1.0270999999999999</v>
      </c>
      <c r="V37" s="3154"/>
      <c r="W37" s="3154">
        <f t="shared" si="52"/>
        <v>1.0082</v>
      </c>
      <c r="X37" s="3152"/>
      <c r="Y37" s="3155"/>
      <c r="Z37" s="3183">
        <f t="shared" si="53"/>
        <v>4.8999999999999998E-3</v>
      </c>
      <c r="AA37" s="3185">
        <f t="shared" si="53"/>
        <v>3.3E-3</v>
      </c>
      <c r="AB37" s="3155">
        <f t="shared" si="53"/>
        <v>9.1999999999999998E-3</v>
      </c>
      <c r="AC37" s="3184"/>
      <c r="AD37" s="3155">
        <f t="shared" si="53"/>
        <v>3.3E-3</v>
      </c>
    </row>
    <row r="38" spans="1:30" s="3156" customFormat="1" ht="12.75">
      <c r="A38" s="3147" t="s">
        <v>2819</v>
      </c>
      <c r="B38" s="3148">
        <v>2021</v>
      </c>
      <c r="C38" s="3149">
        <v>3</v>
      </c>
      <c r="D38" s="3150"/>
      <c r="E38" s="3150">
        <v>0.47</v>
      </c>
      <c r="F38" s="3150">
        <v>0.28000000000000003</v>
      </c>
      <c r="G38" s="3150">
        <v>0.91</v>
      </c>
      <c r="H38" s="3167"/>
      <c r="I38" s="3151">
        <f t="shared" si="36"/>
        <v>0.28000000000000003</v>
      </c>
      <c r="J38" s="3152"/>
      <c r="K38" s="3153"/>
      <c r="L38" s="3143">
        <f t="shared" si="37"/>
        <v>4.6999999999999993E-3</v>
      </c>
      <c r="M38" s="3143">
        <f t="shared" si="37"/>
        <v>2.8000000000000004E-3</v>
      </c>
      <c r="N38" s="3143">
        <f t="shared" si="37"/>
        <v>9.1000000000000004E-3</v>
      </c>
      <c r="O38" s="3143"/>
      <c r="P38" s="3143">
        <f t="shared" si="51"/>
        <v>2.8000000000000004E-3</v>
      </c>
      <c r="Q38" s="3152"/>
      <c r="R38" s="3154"/>
      <c r="S38" s="3154">
        <f>ROUND(IF(项目基本情况!$B$8="出让",SUMPRODUCT(PRODUCT(1+L38:L$40)),SUMPRODUCT(PRODUCT(1+L38:L$39))),4)</f>
        <v>1.0102</v>
      </c>
      <c r="T38" s="3154">
        <f>ROUND(IF(项目基本情况!$B$8="出让",SUMPRODUCT(PRODUCT(1+M38:M$40)),SUMPRODUCT(PRODUCT(1+M38:M$39))),4)</f>
        <v>1.0074000000000001</v>
      </c>
      <c r="U38" s="3154">
        <f>ROUND(IF(项目基本情况!$B$8="出让",SUMPRODUCT(PRODUCT(1+N38:N$40)),SUMPRODUCT(PRODUCT(1+N38:N$39))),4)</f>
        <v>1.0202</v>
      </c>
      <c r="V38" s="3154"/>
      <c r="W38" s="3154">
        <f t="shared" si="52"/>
        <v>1.0074000000000001</v>
      </c>
      <c r="X38" s="3152"/>
      <c r="Y38" s="3155"/>
      <c r="Z38" s="3183">
        <f t="shared" si="53"/>
        <v>4.5999999999999999E-3</v>
      </c>
      <c r="AA38" s="3185">
        <f t="shared" si="53"/>
        <v>4.1000000000000003E-3</v>
      </c>
      <c r="AB38" s="3155">
        <f t="shared" si="53"/>
        <v>0.01</v>
      </c>
      <c r="AC38" s="3184"/>
      <c r="AD38" s="3155">
        <f t="shared" si="53"/>
        <v>4.1000000000000003E-3</v>
      </c>
    </row>
    <row r="39" spans="1:30" s="3156" customFormat="1" ht="12.75">
      <c r="A39" s="3147" t="s">
        <v>2820</v>
      </c>
      <c r="B39" s="3148">
        <v>2021</v>
      </c>
      <c r="C39" s="3149">
        <v>2</v>
      </c>
      <c r="D39" s="3150"/>
      <c r="E39" s="3150">
        <v>0.55000000000000004</v>
      </c>
      <c r="F39" s="3150">
        <v>0.46</v>
      </c>
      <c r="G39" s="3150">
        <v>1.1000000000000001</v>
      </c>
      <c r="H39" s="3167"/>
      <c r="I39" s="3151">
        <f t="shared" si="36"/>
        <v>0.46</v>
      </c>
      <c r="J39" s="3152"/>
      <c r="K39" s="3153"/>
      <c r="L39" s="3143">
        <f t="shared" si="37"/>
        <v>5.5000000000000005E-3</v>
      </c>
      <c r="M39" s="3143">
        <f t="shared" si="37"/>
        <v>4.5999999999999999E-3</v>
      </c>
      <c r="N39" s="3143">
        <f t="shared" si="37"/>
        <v>1.1000000000000001E-2</v>
      </c>
      <c r="O39" s="3143"/>
      <c r="P39" s="3143">
        <f t="shared" si="51"/>
        <v>4.5999999999999999E-3</v>
      </c>
      <c r="Q39" s="3152"/>
      <c r="R39" s="3154"/>
      <c r="S39" s="3154">
        <f>ROUND(IF(项目基本情况!$B$8="出让",SUMPRODUCT(PRODUCT(1+L39:L$40)),SUMPRODUCT(PRODUCT(1+L39:L$39))),4)</f>
        <v>1.0055000000000001</v>
      </c>
      <c r="T39" s="3154">
        <f>ROUND(IF(项目基本情况!$B$8="出让",SUMPRODUCT(PRODUCT(1+M39:M$40)),SUMPRODUCT(PRODUCT(1+M39:M$39))),4)</f>
        <v>1.0045999999999999</v>
      </c>
      <c r="U39" s="3154">
        <f>ROUND(IF(项目基本情况!$B$8="出让",SUMPRODUCT(PRODUCT(1+N39:N$40)),SUMPRODUCT(PRODUCT(1+N39:N$39))),4)</f>
        <v>1.0109999999999999</v>
      </c>
      <c r="V39" s="3154"/>
      <c r="W39" s="3154">
        <f t="shared" si="52"/>
        <v>1.0045999999999999</v>
      </c>
      <c r="X39" s="3152"/>
      <c r="Y39" s="3155"/>
      <c r="Z39" s="3183">
        <f t="shared" si="53"/>
        <v>4.4999999999999997E-3</v>
      </c>
      <c r="AA39" s="3185">
        <f t="shared" si="53"/>
        <v>4.7000000000000002E-3</v>
      </c>
      <c r="AB39" s="3155">
        <f t="shared" si="53"/>
        <v>1.04E-2</v>
      </c>
      <c r="AC39" s="3184"/>
      <c r="AD39" s="3155">
        <f t="shared" si="53"/>
        <v>4.7000000000000002E-3</v>
      </c>
    </row>
    <row r="40" spans="1:30" s="3178" customFormat="1" thickBot="1">
      <c r="A40" s="3168" t="s">
        <v>2806</v>
      </c>
      <c r="B40" s="3169">
        <v>2021</v>
      </c>
      <c r="C40" s="3170">
        <v>1</v>
      </c>
      <c r="D40" s="3171"/>
      <c r="E40" s="3171">
        <v>0.35</v>
      </c>
      <c r="F40" s="3171">
        <v>0.48</v>
      </c>
      <c r="G40" s="3171">
        <v>0.98</v>
      </c>
      <c r="H40" s="3172"/>
      <c r="I40" s="3173">
        <f t="shared" si="36"/>
        <v>0.48</v>
      </c>
      <c r="J40" s="3174"/>
      <c r="K40" s="3175"/>
      <c r="L40" s="3176">
        <f t="shared" si="37"/>
        <v>3.4999999999999996E-3</v>
      </c>
      <c r="M40" s="3176">
        <f>F40/100</f>
        <v>4.7999999999999996E-3</v>
      </c>
      <c r="N40" s="3176">
        <f t="shared" si="37"/>
        <v>9.7999999999999997E-3</v>
      </c>
      <c r="O40" s="3176"/>
      <c r="P40" s="3176">
        <f t="shared" si="51"/>
        <v>4.7999999999999996E-3</v>
      </c>
      <c r="Q40" s="3174"/>
      <c r="R40" s="3177"/>
      <c r="S40" s="3177">
        <v>1</v>
      </c>
      <c r="T40" s="3177">
        <v>1</v>
      </c>
      <c r="U40" s="3177">
        <v>1</v>
      </c>
      <c r="V40" s="3177"/>
      <c r="W40" s="3177">
        <f t="shared" si="52"/>
        <v>1</v>
      </c>
      <c r="X40" s="3174"/>
      <c r="Y40" s="3176"/>
      <c r="Z40" s="3189">
        <f t="shared" si="53"/>
        <v>3.5000000000000001E-3</v>
      </c>
      <c r="AA40" s="3190">
        <f t="shared" si="53"/>
        <v>4.7999999999999996E-3</v>
      </c>
      <c r="AB40" s="3176">
        <f t="shared" si="53"/>
        <v>9.7999999999999997E-3</v>
      </c>
      <c r="AC40" s="3191"/>
      <c r="AD40" s="3176">
        <f t="shared" si="53"/>
        <v>4.7999999999999996E-3</v>
      </c>
    </row>
    <row r="41" spans="1:30" ht="14.25" thickTop="1"/>
    <row r="42" spans="1:30">
      <c r="A42" s="3418" t="s">
        <v>3348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6"/>
      <c r="C2" s="3566"/>
      <c r="D2" s="3566"/>
      <c r="E2" s="3566"/>
    </row>
    <row r="3" spans="1:5" ht="18">
      <c r="A3" s="3567" t="str">
        <f>IF(项目基本情况!B9="房地产市场价值","估价结果一览表（市场价值不需“结果表-1”）","估价结果一览表")</f>
        <v>估价结果一览表（市场价值不需“结果表-1”）</v>
      </c>
      <c r="B3" s="3567"/>
      <c r="C3" s="3567"/>
      <c r="D3" s="3567"/>
      <c r="E3" s="3567"/>
    </row>
    <row r="4" spans="1:5" ht="19.5" thickBot="1">
      <c r="A4" s="1488"/>
      <c r="B4" s="3565" t="s">
        <v>917</v>
      </c>
      <c r="C4" s="3565"/>
      <c r="D4" s="3565"/>
      <c r="E4" s="1488"/>
    </row>
    <row r="5" spans="1:5" ht="16.5" thickTop="1">
      <c r="A5" s="1486"/>
      <c r="B5" s="3563" t="s">
        <v>909</v>
      </c>
      <c r="C5" s="1489" t="s">
        <v>910</v>
      </c>
      <c r="D5" s="846">
        <f ca="1">结果表!H101</f>
        <v>550417</v>
      </c>
      <c r="E5" s="1486"/>
    </row>
    <row r="6" spans="1:5" ht="15.75">
      <c r="A6" s="1486"/>
      <c r="B6" s="3563"/>
      <c r="C6" s="1489" t="s">
        <v>911</v>
      </c>
      <c r="D6" s="846" t="str">
        <f ca="1">NUMBERSTRING(INT(D5*10000),2)&amp;"元整"</f>
        <v>伍拾伍亿零肆佰壹拾柒万元整</v>
      </c>
      <c r="E6" s="1486"/>
    </row>
    <row r="7" spans="1:5" ht="15.75">
      <c r="A7" s="1486"/>
      <c r="B7" s="3568"/>
      <c r="C7" s="1490" t="s">
        <v>912</v>
      </c>
      <c r="D7" s="847">
        <f ca="1">结果表!H102</f>
        <v>65236</v>
      </c>
      <c r="E7" s="1486"/>
    </row>
    <row r="8" spans="1:5" ht="15.75">
      <c r="A8" s="1486"/>
      <c r="B8" s="3569" t="str">
        <f>结果表!E103</f>
        <v>2.估价师知悉的法定优先受偿款</v>
      </c>
      <c r="C8" s="1491" t="s">
        <v>913</v>
      </c>
      <c r="D8" s="847">
        <f>结果表!H103</f>
        <v>0</v>
      </c>
      <c r="E8" s="1486"/>
    </row>
    <row r="9" spans="1:5" ht="15.75">
      <c r="A9" s="1486"/>
      <c r="B9" s="3571"/>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62" t="str">
        <f>结果表!E107</f>
        <v>3.房地产抵押价值</v>
      </c>
      <c r="C13" s="1494" t="s">
        <v>910</v>
      </c>
      <c r="D13" s="849">
        <f ca="1">结果表!H107</f>
        <v>550417</v>
      </c>
      <c r="E13" s="1486"/>
    </row>
    <row r="14" spans="1:5" ht="15.75">
      <c r="A14" s="1486"/>
      <c r="B14" s="3563"/>
      <c r="C14" s="1489" t="s">
        <v>911</v>
      </c>
      <c r="D14" s="846" t="str">
        <f ca="1">NUMBERSTRING(INT(D13*10000),2)&amp;"元整"</f>
        <v>伍拾伍亿零肆佰壹拾柒万元整</v>
      </c>
      <c r="E14" s="1486"/>
    </row>
    <row r="15" spans="1:5" ht="15">
      <c r="A15" s="1486"/>
      <c r="B15" s="3568"/>
      <c r="C15" s="1490" t="s">
        <v>921</v>
      </c>
      <c r="D15" s="855">
        <f ca="1">结果表!H108</f>
        <v>65236</v>
      </c>
      <c r="E15" s="1486"/>
    </row>
    <row r="16" spans="1:5" ht="15">
      <c r="A16" s="1486"/>
      <c r="B16" s="3569" t="str">
        <f>结果表!E109</f>
        <v>——</v>
      </c>
      <c r="C16" s="1494" t="s">
        <v>922</v>
      </c>
      <c r="D16" s="1495" t="str">
        <f>结果表!H109</f>
        <v>——</v>
      </c>
      <c r="E16" s="1486"/>
    </row>
    <row r="17" spans="1:5" ht="15.75">
      <c r="A17" s="1486"/>
      <c r="B17" s="3570"/>
      <c r="C17" s="1489" t="s">
        <v>923</v>
      </c>
      <c r="D17" s="846" t="e">
        <f>NUMBERSTRING(INT(D16*10000),2)&amp;"元整"</f>
        <v>#VALUE!</v>
      </c>
      <c r="E17" s="1486"/>
    </row>
    <row r="18" spans="1:5" ht="15">
      <c r="A18" s="1486"/>
      <c r="B18" s="3571"/>
      <c r="C18" s="1490" t="s">
        <v>912</v>
      </c>
      <c r="D18" s="855" t="str">
        <f>结果表!H110</f>
        <v>——</v>
      </c>
      <c r="E18" s="1486"/>
    </row>
    <row r="19" spans="1:5" ht="15.75">
      <c r="A19" s="1486"/>
      <c r="B19" s="3562" t="str">
        <f>结果表!E111</f>
        <v>4.抵押净值</v>
      </c>
      <c r="C19" s="1494" t="s">
        <v>910</v>
      </c>
      <c r="D19" s="847">
        <f ca="1">结果表!H111</f>
        <v>533824</v>
      </c>
      <c r="E19" s="1486"/>
    </row>
    <row r="20" spans="1:5" ht="15.75">
      <c r="A20" s="1486"/>
      <c r="B20" s="3563"/>
      <c r="C20" s="1489" t="s">
        <v>923</v>
      </c>
      <c r="D20" s="846" t="str">
        <f ca="1">NUMBERSTRING(INT(D19*10000),2)&amp;"元整"</f>
        <v>伍拾叁亿叁仟捌佰贰拾肆万元整</v>
      </c>
      <c r="E20" s="1486"/>
    </row>
    <row r="21" spans="1:5" ht="15.75" thickBot="1">
      <c r="A21" s="1486"/>
      <c r="B21" s="3564"/>
      <c r="C21" s="1496" t="s">
        <v>921</v>
      </c>
      <c r="D21" s="856">
        <f ca="1">结果表!H112</f>
        <v>63269</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9" t="s">
        <v>452</v>
      </c>
      <c r="C1" s="3869"/>
      <c r="D1" s="3869"/>
      <c r="E1" s="3869"/>
      <c r="F1" s="3869"/>
      <c r="G1" s="3865" t="s">
        <v>453</v>
      </c>
      <c r="H1" s="3865"/>
      <c r="I1" s="3865"/>
      <c r="J1" s="3865"/>
      <c r="K1" s="3865"/>
      <c r="L1" s="3865"/>
      <c r="N1" s="3865" t="s">
        <v>454</v>
      </c>
      <c r="O1" s="3865"/>
      <c r="P1" s="3865"/>
      <c r="Q1" s="3865"/>
      <c r="S1" s="3865" t="s">
        <v>455</v>
      </c>
      <c r="T1" s="3865"/>
      <c r="U1" s="3865"/>
      <c r="V1" s="3865"/>
      <c r="X1" s="3864" t="s">
        <v>456</v>
      </c>
      <c r="Y1" s="3865"/>
      <c r="Z1" s="3865"/>
      <c r="AA1" s="3865"/>
      <c r="AB1" s="3865"/>
      <c r="AD1" s="3864" t="s">
        <v>457</v>
      </c>
      <c r="AE1" s="3865"/>
      <c r="AF1" s="3865"/>
      <c r="AG1" s="3865"/>
      <c r="AH1" s="3865"/>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7">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7"/>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7"/>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4"/>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870">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7"/>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67"/>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4"/>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70">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7"/>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7"/>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8"/>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6">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7"/>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7"/>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8"/>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6">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7"/>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7"/>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8"/>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71">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72"/>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72"/>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73"/>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6">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7"/>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7"/>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8"/>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6">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7">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7">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8">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6">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7">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7">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8">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6">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7">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7">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8">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6">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7">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7">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8">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6">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7">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7">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8">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6">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7">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7">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8">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6">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7">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7">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8">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6">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7">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7">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8">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6">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7">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7">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8">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6">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7">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7">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8">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45309</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4.25">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topLeftCell="A25" zoomScaleNormal="70" zoomScaleSheetLayoutView="100" workbookViewId="0">
      <selection activeCell="G48" sqref="G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c r="E1" s="3403" t="s">
        <v>3401</v>
      </c>
      <c r="F1" s="1874" t="s">
        <v>3402</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588536</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69754</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1650</v>
      </c>
      <c r="B4" s="356"/>
      <c r="C4" s="3793" t="s">
        <v>1651</v>
      </c>
      <c r="D4" s="3794"/>
      <c r="E4" s="3795" t="s">
        <v>1652</v>
      </c>
      <c r="F4" s="3796"/>
      <c r="G4" s="3793" t="s">
        <v>1653</v>
      </c>
      <c r="H4" s="3794"/>
      <c r="I4" s="3793" t="s">
        <v>1654</v>
      </c>
      <c r="J4" s="3794"/>
      <c r="K4" s="559" t="s">
        <v>1655</v>
      </c>
      <c r="L4" s="2686"/>
      <c r="M4" s="2687"/>
      <c r="N4" s="2687"/>
      <c r="O4" s="2687"/>
      <c r="P4" s="3797" t="s">
        <v>1656</v>
      </c>
      <c r="Q4" s="3798"/>
      <c r="R4" s="3777" t="s">
        <v>1652</v>
      </c>
      <c r="S4" s="3778"/>
      <c r="T4" s="3777" t="s">
        <v>1653</v>
      </c>
      <c r="U4" s="3778"/>
      <c r="V4" s="3805" t="s">
        <v>1654</v>
      </c>
      <c r="W4" s="3805"/>
      <c r="X4" s="3487"/>
      <c r="Y4" s="3777" t="s">
        <v>1656</v>
      </c>
      <c r="Z4" s="3778"/>
      <c r="AA4" s="3772" t="s">
        <v>1652</v>
      </c>
      <c r="AB4" s="3772" t="s">
        <v>1653</v>
      </c>
      <c r="AC4" s="3790" t="s">
        <v>1654</v>
      </c>
    </row>
    <row r="5" spans="1:29" ht="15">
      <c r="A5" s="358"/>
      <c r="B5" s="359"/>
      <c r="C5" s="3783" t="s">
        <v>1657</v>
      </c>
      <c r="D5" s="3784"/>
      <c r="E5" s="3781" t="s">
        <v>4352</v>
      </c>
      <c r="F5" s="3782"/>
      <c r="G5" s="3807" t="s">
        <v>4353</v>
      </c>
      <c r="H5" s="3784"/>
      <c r="I5" s="3783" t="s">
        <v>4354</v>
      </c>
      <c r="J5" s="3784"/>
      <c r="K5" s="559"/>
      <c r="L5" s="2686"/>
      <c r="M5" s="2687"/>
      <c r="N5" s="2687"/>
      <c r="O5" s="2687"/>
      <c r="P5" s="3799"/>
      <c r="Q5" s="3800"/>
      <c r="R5" s="3779"/>
      <c r="S5" s="3780"/>
      <c r="T5" s="3779"/>
      <c r="U5" s="3780"/>
      <c r="V5" s="3806"/>
      <c r="W5" s="3806"/>
      <c r="X5" s="3488"/>
      <c r="Y5" s="3779"/>
      <c r="Z5" s="3780"/>
      <c r="AA5" s="3773"/>
      <c r="AB5" s="3773"/>
      <c r="AC5" s="3791"/>
    </row>
    <row r="6" spans="1:29" ht="15.75" thickBot="1">
      <c r="A6" s="360"/>
      <c r="B6" s="361"/>
      <c r="C6" s="3785" t="s">
        <v>1661</v>
      </c>
      <c r="D6" s="3786"/>
      <c r="E6" s="3787" t="s">
        <v>4341</v>
      </c>
      <c r="F6" s="3788"/>
      <c r="G6" s="3785" t="s">
        <v>4341</v>
      </c>
      <c r="H6" s="3786"/>
      <c r="I6" s="3785" t="s">
        <v>4341</v>
      </c>
      <c r="J6" s="3786"/>
      <c r="K6" s="559" t="s">
        <v>1662</v>
      </c>
      <c r="L6" s="2686"/>
      <c r="M6" s="2687"/>
      <c r="N6" s="2687"/>
      <c r="O6" s="2687"/>
      <c r="P6" s="3801"/>
      <c r="Q6" s="3802"/>
      <c r="R6" s="3779"/>
      <c r="S6" s="3780"/>
      <c r="T6" s="3803"/>
      <c r="U6" s="3804"/>
      <c r="V6" s="3806"/>
      <c r="W6" s="3806"/>
      <c r="X6" s="3488"/>
      <c r="Y6" s="3803"/>
      <c r="Z6" s="3804"/>
      <c r="AA6" s="3774"/>
      <c r="AB6" s="3774"/>
      <c r="AC6" s="3792"/>
    </row>
    <row r="7" spans="1:29" s="108" customFormat="1" ht="15.75" thickBot="1">
      <c r="A7" s="362" t="s">
        <v>1663</v>
      </c>
      <c r="B7" s="363"/>
      <c r="C7" s="364">
        <f>'数据-取费表'!B2</f>
        <v>45309</v>
      </c>
      <c r="D7" s="365">
        <v>100</v>
      </c>
      <c r="E7" s="366">
        <v>44166</v>
      </c>
      <c r="F7" s="367">
        <f>SUMIF(59:59,YEAR(E7)&amp;"-"&amp;MONTH(E7),60:60)</f>
        <v>97</v>
      </c>
      <c r="G7" s="366">
        <v>44187</v>
      </c>
      <c r="H7" s="365">
        <f>SUMIF(59:59,YEAR(G7)&amp;"-"&amp;MONTH(G7),60:60)</f>
        <v>97</v>
      </c>
      <c r="I7" s="366">
        <v>44224</v>
      </c>
      <c r="J7" s="365">
        <f>SUMIF(59:59,YEAR(I7)&amp;"-"&amp;MONTH(I7),60:60)</f>
        <v>97</v>
      </c>
      <c r="K7" s="560"/>
      <c r="L7" s="2688"/>
      <c r="M7" s="2689"/>
      <c r="N7" s="2689"/>
      <c r="O7" s="2689"/>
      <c r="P7" s="3808" t="s">
        <v>1664</v>
      </c>
      <c r="Q7" s="3809"/>
      <c r="R7" s="700" t="s">
        <v>14</v>
      </c>
      <c r="S7" s="701">
        <f t="shared" ref="S7:S15" si="0">F7</f>
        <v>97</v>
      </c>
      <c r="T7" s="700" t="s">
        <v>14</v>
      </c>
      <c r="U7" s="701">
        <f t="shared" ref="U7:U15" si="1">H7</f>
        <v>97</v>
      </c>
      <c r="V7" s="700" t="s">
        <v>14</v>
      </c>
      <c r="W7" s="701">
        <f t="shared" ref="W7:W15" si="2">J7</f>
        <v>97</v>
      </c>
      <c r="X7" s="702"/>
      <c r="Y7" s="3775" t="s">
        <v>1664</v>
      </c>
      <c r="Z7" s="3776"/>
      <c r="AA7" s="703">
        <f>D7/F7</f>
        <v>1.0309278350515463</v>
      </c>
      <c r="AB7" s="703">
        <f>D7/H7</f>
        <v>1.0309278350515463</v>
      </c>
      <c r="AC7" s="1954">
        <f>D7/J7</f>
        <v>1.0309278350515463</v>
      </c>
    </row>
    <row r="8" spans="1:29" s="108" customFormat="1" ht="15.75" thickBot="1">
      <c r="A8" s="362" t="s">
        <v>1665</v>
      </c>
      <c r="B8" s="363"/>
      <c r="C8" s="368" t="s">
        <v>3391</v>
      </c>
      <c r="D8" s="365">
        <v>100</v>
      </c>
      <c r="E8" s="368" t="s">
        <v>3391</v>
      </c>
      <c r="F8" s="367">
        <f>SUMIF(62:62,E8,63:63)-SUMIF(62:62,C8,63:63)+100</f>
        <v>100</v>
      </c>
      <c r="G8" s="368" t="s">
        <v>3391</v>
      </c>
      <c r="H8" s="365">
        <f>SUMIF(62:62,G8,63:63)-SUMIF(62:62,C8,63:63)+100</f>
        <v>100</v>
      </c>
      <c r="I8" s="368" t="s">
        <v>3391</v>
      </c>
      <c r="J8" s="365">
        <f>SUMIF(62:62,I8,63:63)-SUMIF(62:62,C8,63:63)+100</f>
        <v>100</v>
      </c>
      <c r="K8" s="560"/>
      <c r="L8" s="2688"/>
      <c r="M8" s="2689"/>
      <c r="N8" s="2689"/>
      <c r="O8" s="2689"/>
      <c r="P8" s="3808" t="s">
        <v>1667</v>
      </c>
      <c r="Q8" s="3776"/>
      <c r="R8" s="700" t="s">
        <v>14</v>
      </c>
      <c r="S8" s="701">
        <f t="shared" si="0"/>
        <v>100</v>
      </c>
      <c r="T8" s="700" t="s">
        <v>14</v>
      </c>
      <c r="U8" s="701">
        <f t="shared" si="1"/>
        <v>100</v>
      </c>
      <c r="V8" s="700" t="s">
        <v>14</v>
      </c>
      <c r="W8" s="701">
        <f t="shared" si="2"/>
        <v>100</v>
      </c>
      <c r="X8" s="702"/>
      <c r="Y8" s="3775" t="s">
        <v>1667</v>
      </c>
      <c r="Z8" s="3776"/>
      <c r="AA8" s="703">
        <f t="shared" ref="AA8:AA47" si="3">D8/F8</f>
        <v>1</v>
      </c>
      <c r="AB8" s="703">
        <f t="shared" ref="AB8:AB47" si="4">D8/H8</f>
        <v>1</v>
      </c>
      <c r="AC8" s="1954">
        <f t="shared" ref="AC8:AC47" si="5">D8/J8</f>
        <v>1</v>
      </c>
    </row>
    <row r="9" spans="1:29" s="108" customFormat="1" ht="15">
      <c r="A9" s="369" t="s">
        <v>1668</v>
      </c>
      <c r="B9" s="63" t="s">
        <v>1669</v>
      </c>
      <c r="C9" s="3439" t="s">
        <v>3403</v>
      </c>
      <c r="D9" s="126">
        <v>100</v>
      </c>
      <c r="E9" s="373" t="s">
        <v>21</v>
      </c>
      <c r="F9" s="126">
        <f>SUMIF(64:64,E9,65:65)-SUMIF(64:64,C9,65:65)+100</f>
        <v>95</v>
      </c>
      <c r="G9" s="373" t="s">
        <v>21</v>
      </c>
      <c r="H9" s="126">
        <f>SUMIF(64:64,G9,65:65)-SUMIF(64:64,C9,65:65)+100</f>
        <v>95</v>
      </c>
      <c r="I9" s="373" t="s">
        <v>4315</v>
      </c>
      <c r="J9" s="126">
        <f>SUMIF(64:64,I9,65:65)-SUMIF(64:64,C9,65:65)+100</f>
        <v>100</v>
      </c>
      <c r="K9" s="560"/>
      <c r="L9" s="2688"/>
      <c r="M9" s="2689"/>
      <c r="N9" s="2689"/>
      <c r="O9" s="2689"/>
      <c r="P9" s="3789" t="s">
        <v>1670</v>
      </c>
      <c r="Q9" s="3483" t="str">
        <f t="shared" ref="Q9:Q15" si="6">B9</f>
        <v>用途</v>
      </c>
      <c r="R9" s="700" t="s">
        <v>14</v>
      </c>
      <c r="S9" s="701">
        <f t="shared" si="0"/>
        <v>95</v>
      </c>
      <c r="T9" s="700" t="s">
        <v>14</v>
      </c>
      <c r="U9" s="701">
        <f t="shared" si="1"/>
        <v>95</v>
      </c>
      <c r="V9" s="700" t="s">
        <v>14</v>
      </c>
      <c r="W9" s="701">
        <f t="shared" si="2"/>
        <v>100</v>
      </c>
      <c r="X9" s="702"/>
      <c r="Y9" s="3721" t="s">
        <v>1671</v>
      </c>
      <c r="Z9" s="3482" t="str">
        <f t="shared" ref="Z9:Z15" si="7">Q9</f>
        <v>用途</v>
      </c>
      <c r="AA9" s="703">
        <f t="shared" si="3"/>
        <v>1.0526315789473684</v>
      </c>
      <c r="AB9" s="703">
        <f t="shared" si="4"/>
        <v>1.0526315789473684</v>
      </c>
      <c r="AC9" s="1954">
        <f t="shared" si="5"/>
        <v>1</v>
      </c>
    </row>
    <row r="10" spans="1:29" s="378" customFormat="1" ht="27">
      <c r="A10" s="374"/>
      <c r="B10" s="375" t="s">
        <v>1672</v>
      </c>
      <c r="C10" s="3404" t="s">
        <v>3392</v>
      </c>
      <c r="D10" s="127">
        <v>100</v>
      </c>
      <c r="E10" s="3404" t="s">
        <v>4342</v>
      </c>
      <c r="F10" s="127">
        <f>SUMIF(66:66,E10,67:67)-SUMIF(66:66,C10,67:67)+100</f>
        <v>101</v>
      </c>
      <c r="G10" s="3404" t="s">
        <v>4343</v>
      </c>
      <c r="H10" s="127">
        <f>SUMIF(66:66,G10,67:67)-SUMIF(66:66,C10,67:67)+100</f>
        <v>102</v>
      </c>
      <c r="I10" s="3404" t="s">
        <v>4343</v>
      </c>
      <c r="J10" s="127">
        <f>SUMIF(66:66,I10,67:67)-SUMIF(66:66,C10,67:67)+100</f>
        <v>102</v>
      </c>
      <c r="K10" s="560"/>
      <c r="L10" s="2690"/>
      <c r="M10" s="2691"/>
      <c r="N10" s="2691"/>
      <c r="O10" s="2691"/>
      <c r="P10" s="3789"/>
      <c r="Q10" s="3483" t="str">
        <f t="shared" si="6"/>
        <v>土地使用年限（年）</v>
      </c>
      <c r="R10" s="700" t="s">
        <v>14</v>
      </c>
      <c r="S10" s="701">
        <f t="shared" si="0"/>
        <v>101</v>
      </c>
      <c r="T10" s="700" t="s">
        <v>14</v>
      </c>
      <c r="U10" s="701">
        <f t="shared" si="1"/>
        <v>102</v>
      </c>
      <c r="V10" s="700" t="s">
        <v>14</v>
      </c>
      <c r="W10" s="701">
        <f t="shared" si="2"/>
        <v>102</v>
      </c>
      <c r="X10" s="702"/>
      <c r="Y10" s="3721"/>
      <c r="Z10" s="3482" t="str">
        <f t="shared" si="7"/>
        <v>土地使用年限（年）</v>
      </c>
      <c r="AA10" s="703">
        <f t="shared" si="3"/>
        <v>0.99009900990099009</v>
      </c>
      <c r="AB10" s="703">
        <f t="shared" si="4"/>
        <v>0.98039215686274506</v>
      </c>
      <c r="AC10" s="1954">
        <f t="shared" si="5"/>
        <v>0.98039215686274506</v>
      </c>
    </row>
    <row r="11" spans="1:29" ht="15">
      <c r="A11" s="379"/>
      <c r="B11" s="375" t="s">
        <v>1673</v>
      </c>
      <c r="C11" s="380"/>
      <c r="D11" s="127">
        <v>100</v>
      </c>
      <c r="E11" s="380"/>
      <c r="F11" s="127">
        <f>LOOKUP(E11,69:69,70:70)-LOOKUP(C11,69:69,70:70)+100</f>
        <v>100</v>
      </c>
      <c r="G11" s="1955"/>
      <c r="H11" s="127">
        <f>LOOKUP(G11,69:69,70:70)-LOOKUP(C11,69:69,70:70)+100</f>
        <v>100</v>
      </c>
      <c r="I11" s="380"/>
      <c r="J11" s="127">
        <f>LOOKUP(I11,69:69,70:70)-LOOKUP(C11,69:69,70:70)+100</f>
        <v>100</v>
      </c>
      <c r="K11" s="561"/>
      <c r="L11" s="2692"/>
      <c r="M11" s="2687"/>
      <c r="N11" s="2687"/>
      <c r="O11" s="2687"/>
      <c r="P11" s="3789"/>
      <c r="Q11" s="3483" t="str">
        <f t="shared" si="6"/>
        <v>容积率</v>
      </c>
      <c r="R11" s="700" t="s">
        <v>14</v>
      </c>
      <c r="S11" s="701">
        <f t="shared" si="0"/>
        <v>100</v>
      </c>
      <c r="T11" s="700" t="s">
        <v>14</v>
      </c>
      <c r="U11" s="701">
        <f t="shared" si="1"/>
        <v>100</v>
      </c>
      <c r="V11" s="700" t="s">
        <v>14</v>
      </c>
      <c r="W11" s="701">
        <f t="shared" si="2"/>
        <v>100</v>
      </c>
      <c r="X11" s="702"/>
      <c r="Y11" s="3721"/>
      <c r="Z11" s="3482" t="str">
        <f t="shared" si="7"/>
        <v>容积率</v>
      </c>
      <c r="AA11" s="703">
        <f t="shared" si="3"/>
        <v>1</v>
      </c>
      <c r="AB11" s="703">
        <f t="shared" si="4"/>
        <v>1</v>
      </c>
      <c r="AC11" s="1954">
        <f t="shared" si="5"/>
        <v>1</v>
      </c>
    </row>
    <row r="12" spans="1:29" s="108" customFormat="1" ht="15">
      <c r="A12" s="382"/>
      <c r="B12" s="3475" t="s">
        <v>4150</v>
      </c>
      <c r="C12" s="383"/>
      <c r="D12" s="384">
        <v>100</v>
      </c>
      <c r="E12" s="383">
        <v>2004</v>
      </c>
      <c r="F12" s="127">
        <f>SUMIF(71:71,E12,72:72)-SUMIF(71:71,C12,72:72)+100</f>
        <v>100</v>
      </c>
      <c r="G12" s="1955">
        <v>2001</v>
      </c>
      <c r="H12" s="127">
        <f>SUMIF(71:71,G12,72:72)-SUMIF(71:71,C12,72:72)+100</f>
        <v>100</v>
      </c>
      <c r="I12" s="383">
        <v>2014</v>
      </c>
      <c r="J12" s="127">
        <f>SUMIF(71:71,I12,72:72)-SUMIF(71:71,C12,72:72)+100</f>
        <v>100</v>
      </c>
      <c r="K12" s="562"/>
      <c r="L12" s="2688"/>
      <c r="M12" s="2689"/>
      <c r="N12" s="2689"/>
      <c r="O12" s="2689"/>
      <c r="P12" s="3789"/>
      <c r="Q12" s="3483" t="str">
        <f t="shared" si="6"/>
        <v>建成</v>
      </c>
      <c r="R12" s="700" t="s">
        <v>14</v>
      </c>
      <c r="S12" s="701">
        <f t="shared" si="0"/>
        <v>100</v>
      </c>
      <c r="T12" s="700" t="s">
        <v>14</v>
      </c>
      <c r="U12" s="701">
        <f t="shared" si="1"/>
        <v>100</v>
      </c>
      <c r="V12" s="700" t="s">
        <v>14</v>
      </c>
      <c r="W12" s="701">
        <f t="shared" si="2"/>
        <v>100</v>
      </c>
      <c r="X12" s="702"/>
      <c r="Y12" s="3721"/>
      <c r="Z12" s="3482"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693"/>
      <c r="M13" s="2687"/>
      <c r="N13" s="2687"/>
      <c r="O13" s="2687"/>
      <c r="P13" s="3789"/>
      <c r="Q13" s="3483">
        <f t="shared" si="6"/>
        <v>111</v>
      </c>
      <c r="R13" s="700" t="s">
        <v>14</v>
      </c>
      <c r="S13" s="701">
        <f t="shared" si="0"/>
        <v>100</v>
      </c>
      <c r="T13" s="700" t="s">
        <v>14</v>
      </c>
      <c r="U13" s="701">
        <f t="shared" si="1"/>
        <v>100</v>
      </c>
      <c r="V13" s="700" t="s">
        <v>14</v>
      </c>
      <c r="W13" s="701">
        <f t="shared" si="2"/>
        <v>100</v>
      </c>
      <c r="X13" s="702"/>
      <c r="Y13" s="3721"/>
      <c r="Z13" s="3482">
        <f t="shared" si="7"/>
        <v>111</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789"/>
      <c r="Q14" s="3483">
        <f t="shared" si="6"/>
        <v>111</v>
      </c>
      <c r="R14" s="700" t="s">
        <v>14</v>
      </c>
      <c r="S14" s="701">
        <f t="shared" si="0"/>
        <v>100</v>
      </c>
      <c r="T14" s="700" t="s">
        <v>14</v>
      </c>
      <c r="U14" s="701">
        <f t="shared" si="1"/>
        <v>100</v>
      </c>
      <c r="V14" s="700" t="s">
        <v>14</v>
      </c>
      <c r="W14" s="701">
        <f t="shared" si="2"/>
        <v>100</v>
      </c>
      <c r="X14" s="702"/>
      <c r="Y14" s="3721"/>
      <c r="Z14" s="348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557" t="s">
        <v>4355</v>
      </c>
      <c r="J15" s="392">
        <f>SUMIF(77:77,I16,78:78)-SUMIF(77:77,C16,78:78)+100</f>
        <v>95</v>
      </c>
      <c r="K15" s="563">
        <v>5</v>
      </c>
      <c r="L15" s="2693"/>
      <c r="M15" s="2687"/>
      <c r="N15" s="2687"/>
      <c r="O15" s="2687"/>
      <c r="P15" s="3810" t="s">
        <v>1675</v>
      </c>
      <c r="Q15" s="3484" t="str">
        <f t="shared" si="6"/>
        <v>办公集聚程度</v>
      </c>
      <c r="R15" s="704" t="s">
        <v>14</v>
      </c>
      <c r="S15" s="705">
        <f t="shared" si="0"/>
        <v>100</v>
      </c>
      <c r="T15" s="704" t="s">
        <v>14</v>
      </c>
      <c r="U15" s="705">
        <f t="shared" si="1"/>
        <v>100</v>
      </c>
      <c r="V15" s="704" t="s">
        <v>14</v>
      </c>
      <c r="W15" s="705">
        <f t="shared" si="2"/>
        <v>95</v>
      </c>
      <c r="X15" s="3488"/>
      <c r="Y15" s="3812" t="s">
        <v>1675</v>
      </c>
      <c r="Z15" s="3486" t="str">
        <f t="shared" si="7"/>
        <v>办公集聚程度</v>
      </c>
      <c r="AA15" s="3485">
        <f t="shared" si="3"/>
        <v>1</v>
      </c>
      <c r="AB15" s="3485">
        <f t="shared" si="4"/>
        <v>1</v>
      </c>
      <c r="AC15" s="1957">
        <f t="shared" si="5"/>
        <v>1.0526315789473684</v>
      </c>
    </row>
    <row r="16" spans="1:29" ht="15">
      <c r="A16" s="379"/>
      <c r="B16" s="578"/>
      <c r="C16" s="1899" t="s">
        <v>3388</v>
      </c>
      <c r="D16" s="399"/>
      <c r="E16" s="398" t="s">
        <v>3388</v>
      </c>
      <c r="F16" s="399"/>
      <c r="G16" s="398" t="s">
        <v>3388</v>
      </c>
      <c r="H16" s="401"/>
      <c r="I16" s="398" t="s">
        <v>3399</v>
      </c>
      <c r="J16" s="399"/>
      <c r="K16" s="564"/>
      <c r="L16" s="2693"/>
      <c r="M16" s="2687"/>
      <c r="N16" s="2687"/>
      <c r="O16" s="2687"/>
      <c r="P16" s="3811"/>
      <c r="Q16" s="3484"/>
      <c r="R16" s="704"/>
      <c r="S16" s="705"/>
      <c r="T16" s="704"/>
      <c r="U16" s="705"/>
      <c r="V16" s="704"/>
      <c r="W16" s="705"/>
      <c r="X16" s="3488"/>
      <c r="Y16" s="3813"/>
      <c r="Z16" s="3486"/>
      <c r="AA16" s="3485">
        <v>1</v>
      </c>
      <c r="AB16" s="3485">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811"/>
      <c r="Q17" s="3484" t="str">
        <f>B17</f>
        <v>交通便捷度</v>
      </c>
      <c r="R17" s="704" t="s">
        <v>14</v>
      </c>
      <c r="S17" s="705">
        <f>F17</f>
        <v>100</v>
      </c>
      <c r="T17" s="704" t="s">
        <v>14</v>
      </c>
      <c r="U17" s="705">
        <f>H17</f>
        <v>100</v>
      </c>
      <c r="V17" s="704" t="s">
        <v>14</v>
      </c>
      <c r="W17" s="705">
        <f>J17</f>
        <v>100</v>
      </c>
      <c r="X17" s="3488"/>
      <c r="Y17" s="3813"/>
      <c r="Z17" s="3486" t="str">
        <f>Q17</f>
        <v>交通便捷度</v>
      </c>
      <c r="AA17" s="3485">
        <f t="shared" si="3"/>
        <v>1</v>
      </c>
      <c r="AB17" s="3485">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811"/>
      <c r="Q18" s="3484"/>
      <c r="R18" s="704"/>
      <c r="S18" s="705"/>
      <c r="T18" s="704"/>
      <c r="U18" s="705"/>
      <c r="V18" s="704"/>
      <c r="W18" s="705"/>
      <c r="X18" s="3488"/>
      <c r="Y18" s="3813"/>
      <c r="Z18" s="3486"/>
      <c r="AA18" s="3485">
        <v>1</v>
      </c>
      <c r="AB18" s="3485">
        <v>1</v>
      </c>
      <c r="AC18" s="1957">
        <v>1</v>
      </c>
    </row>
    <row r="19" spans="1:29" ht="15">
      <c r="A19" s="379"/>
      <c r="B19" s="579" t="s">
        <v>1796</v>
      </c>
      <c r="C19" s="1958" t="str">
        <f>估价对象房地状况!C7</f>
        <v>较好</v>
      </c>
      <c r="D19" s="406">
        <v>100</v>
      </c>
      <c r="E19" s="410" t="s">
        <v>3388</v>
      </c>
      <c r="F19" s="406">
        <f>SUMIF(81:81,E20,82:82)-SUMIF(81:81,C20,82:82)+100</f>
        <v>100</v>
      </c>
      <c r="G19" s="3558" t="s">
        <v>4355</v>
      </c>
      <c r="H19" s="401">
        <f>SUMIF(81:81,G20,82:82)-SUMIF(81:81,C20,82:82)+100</f>
        <v>95</v>
      </c>
      <c r="I19" s="410" t="s">
        <v>3388</v>
      </c>
      <c r="J19" s="401">
        <f>SUMIF(81:81,I20,82:82)-SUMIF(81:81,C20,82:82)+100</f>
        <v>100</v>
      </c>
      <c r="K19" s="563">
        <v>5</v>
      </c>
      <c r="L19" s="2693"/>
      <c r="M19" s="2687"/>
      <c r="N19" s="2687"/>
      <c r="O19" s="2687"/>
      <c r="P19" s="3811"/>
      <c r="Q19" s="3484" t="str">
        <f>B19</f>
        <v>公共配套设施</v>
      </c>
      <c r="R19" s="704" t="s">
        <v>14</v>
      </c>
      <c r="S19" s="705">
        <f>F19</f>
        <v>100</v>
      </c>
      <c r="T19" s="704" t="s">
        <v>14</v>
      </c>
      <c r="U19" s="705">
        <f>H19</f>
        <v>95</v>
      </c>
      <c r="V19" s="704" t="s">
        <v>14</v>
      </c>
      <c r="W19" s="705">
        <f>J19</f>
        <v>100</v>
      </c>
      <c r="X19" s="3488"/>
      <c r="Y19" s="3813"/>
      <c r="Z19" s="3486" t="str">
        <f>Q19</f>
        <v>公共配套设施</v>
      </c>
      <c r="AA19" s="3485">
        <f t="shared" si="3"/>
        <v>1</v>
      </c>
      <c r="AB19" s="3485">
        <f t="shared" si="4"/>
        <v>1.0526315789473684</v>
      </c>
      <c r="AC19" s="1957">
        <f t="shared" si="5"/>
        <v>1</v>
      </c>
    </row>
    <row r="20" spans="1:29" ht="15">
      <c r="A20" s="379"/>
      <c r="B20" s="580"/>
      <c r="C20" s="1899" t="s">
        <v>3388</v>
      </c>
      <c r="D20" s="399"/>
      <c r="E20" s="1899" t="s">
        <v>3388</v>
      </c>
      <c r="F20" s="399"/>
      <c r="G20" s="1899" t="s">
        <v>3399</v>
      </c>
      <c r="H20" s="399"/>
      <c r="I20" s="1899" t="s">
        <v>3388</v>
      </c>
      <c r="J20" s="399"/>
      <c r="K20" s="564"/>
      <c r="L20" s="2693"/>
      <c r="M20" s="2687"/>
      <c r="N20" s="2687"/>
      <c r="O20" s="2687"/>
      <c r="P20" s="3811"/>
      <c r="Q20" s="3484"/>
      <c r="R20" s="704"/>
      <c r="S20" s="705"/>
      <c r="T20" s="704"/>
      <c r="U20" s="705"/>
      <c r="V20" s="704"/>
      <c r="W20" s="705"/>
      <c r="X20" s="3488"/>
      <c r="Y20" s="3813"/>
      <c r="Z20" s="3486"/>
      <c r="AA20" s="3485">
        <v>1</v>
      </c>
      <c r="AB20" s="3485">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811"/>
      <c r="Q21" s="3484" t="str">
        <f>B21</f>
        <v>基础设施水平</v>
      </c>
      <c r="R21" s="704" t="s">
        <v>14</v>
      </c>
      <c r="S21" s="705">
        <f>F21</f>
        <v>100</v>
      </c>
      <c r="T21" s="704" t="s">
        <v>14</v>
      </c>
      <c r="U21" s="705">
        <f>H21</f>
        <v>100</v>
      </c>
      <c r="V21" s="704" t="s">
        <v>14</v>
      </c>
      <c r="W21" s="705">
        <f>J21</f>
        <v>100</v>
      </c>
      <c r="X21" s="3488"/>
      <c r="Y21" s="3813"/>
      <c r="Z21" s="3486" t="str">
        <f>Q21</f>
        <v>基础设施水平</v>
      </c>
      <c r="AA21" s="3485">
        <f t="shared" ref="AA21" si="8">D21/F21</f>
        <v>1</v>
      </c>
      <c r="AB21" s="3485">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811"/>
      <c r="Q22" s="3484"/>
      <c r="R22" s="704"/>
      <c r="S22" s="705"/>
      <c r="T22" s="704"/>
      <c r="U22" s="705"/>
      <c r="V22" s="704"/>
      <c r="W22" s="705"/>
      <c r="X22" s="3488"/>
      <c r="Y22" s="3813"/>
      <c r="Z22" s="3486"/>
      <c r="AA22" s="3485">
        <v>1</v>
      </c>
      <c r="AB22" s="3485">
        <v>1</v>
      </c>
      <c r="AC22" s="1957">
        <v>1</v>
      </c>
    </row>
    <row r="23" spans="1:29" ht="15">
      <c r="A23" s="379"/>
      <c r="B23" s="579" t="s">
        <v>1798</v>
      </c>
      <c r="C23" s="1958" t="str">
        <f>估价对象房地状况!C9</f>
        <v>较好</v>
      </c>
      <c r="D23" s="401">
        <v>100</v>
      </c>
      <c r="E23" s="3458" t="s">
        <v>4314</v>
      </c>
      <c r="F23" s="401">
        <f>SUMIF(85:85,E24,86:86)-SUMIF(85:85,C24,86:86)+100</f>
        <v>95</v>
      </c>
      <c r="G23" s="405" t="s">
        <v>3388</v>
      </c>
      <c r="H23" s="401">
        <f>SUMIF(85:85,G24,86:86)-SUMIF(85:85,C24,86:86)+100</f>
        <v>95</v>
      </c>
      <c r="I23" s="405" t="s">
        <v>3388</v>
      </c>
      <c r="J23" s="401">
        <f>SUMIF(85:85,I24,86:86)-SUMIF(85:85,C24,86:86)+100</f>
        <v>100</v>
      </c>
      <c r="K23" s="563">
        <v>5</v>
      </c>
      <c r="L23" s="2693"/>
      <c r="M23" s="2687"/>
      <c r="N23" s="2687"/>
      <c r="O23" s="2687"/>
      <c r="P23" s="3811"/>
      <c r="Q23" s="3484" t="str">
        <f>B23</f>
        <v>环境质量</v>
      </c>
      <c r="R23" s="704" t="s">
        <v>14</v>
      </c>
      <c r="S23" s="705">
        <f>F23</f>
        <v>95</v>
      </c>
      <c r="T23" s="704" t="s">
        <v>14</v>
      </c>
      <c r="U23" s="705">
        <f>H23</f>
        <v>95</v>
      </c>
      <c r="V23" s="704" t="s">
        <v>14</v>
      </c>
      <c r="W23" s="705">
        <f>J23</f>
        <v>100</v>
      </c>
      <c r="X23" s="3488"/>
      <c r="Y23" s="3813"/>
      <c r="Z23" s="3486" t="str">
        <f>Q23</f>
        <v>环境质量</v>
      </c>
      <c r="AA23" s="3485">
        <f t="shared" si="3"/>
        <v>1.0526315789473684</v>
      </c>
      <c r="AB23" s="3485">
        <f t="shared" si="4"/>
        <v>1.0526315789473684</v>
      </c>
      <c r="AC23" s="1957">
        <f t="shared" si="5"/>
        <v>1</v>
      </c>
    </row>
    <row r="24" spans="1:29" ht="15">
      <c r="A24" s="379"/>
      <c r="B24" s="581"/>
      <c r="C24" s="1899" t="s">
        <v>3388</v>
      </c>
      <c r="D24" s="399"/>
      <c r="E24" s="1892" t="s">
        <v>3399</v>
      </c>
      <c r="F24" s="399"/>
      <c r="G24" s="1892" t="s">
        <v>3399</v>
      </c>
      <c r="H24" s="399"/>
      <c r="I24" s="1892" t="s">
        <v>3388</v>
      </c>
      <c r="J24" s="399"/>
      <c r="K24" s="564"/>
      <c r="L24" s="2693"/>
      <c r="M24" s="2687"/>
      <c r="N24" s="2687"/>
      <c r="O24" s="2687"/>
      <c r="P24" s="3811"/>
      <c r="Q24" s="3484"/>
      <c r="R24" s="704"/>
      <c r="S24" s="705"/>
      <c r="T24" s="704"/>
      <c r="U24" s="705"/>
      <c r="V24" s="704"/>
      <c r="W24" s="705"/>
      <c r="X24" s="3488"/>
      <c r="Y24" s="3813"/>
      <c r="Z24" s="3486"/>
      <c r="AA24" s="3485">
        <v>1</v>
      </c>
      <c r="AB24" s="3485">
        <v>1</v>
      </c>
      <c r="AC24" s="1957">
        <v>1</v>
      </c>
    </row>
    <row r="25" spans="1:29" ht="27">
      <c r="A25" s="358"/>
      <c r="B25" s="579" t="s">
        <v>1799</v>
      </c>
      <c r="C25" s="1903"/>
      <c r="D25" s="386">
        <v>100</v>
      </c>
      <c r="E25" s="385"/>
      <c r="F25" s="386">
        <f>SUMIF(87:87,E26,88:88)-SUMIF(87:87,C26,88:88)+100</f>
        <v>100</v>
      </c>
      <c r="G25" s="1903"/>
      <c r="H25" s="386">
        <f>SUMIF(87:87,G26,88:88)-SUMIF(87:87,C26,88:88)+100</f>
        <v>100</v>
      </c>
      <c r="I25" s="385"/>
      <c r="J25" s="386">
        <f>SUMIF(87:87,I26,88:88)-SUMIF(87:87,C26,88:88)+100</f>
        <v>100</v>
      </c>
      <c r="K25" s="563"/>
      <c r="L25" s="2693"/>
      <c r="M25" s="2687"/>
      <c r="N25" s="2687"/>
      <c r="O25" s="2687"/>
      <c r="P25" s="3811"/>
      <c r="Q25" s="3484" t="str">
        <f>B25</f>
        <v>毗邻道路的类型与等级</v>
      </c>
      <c r="R25" s="704" t="s">
        <v>14</v>
      </c>
      <c r="S25" s="705">
        <f>F25</f>
        <v>100</v>
      </c>
      <c r="T25" s="704" t="s">
        <v>14</v>
      </c>
      <c r="U25" s="705">
        <f>H25</f>
        <v>100</v>
      </c>
      <c r="V25" s="704" t="s">
        <v>14</v>
      </c>
      <c r="W25" s="705">
        <f>J25</f>
        <v>100</v>
      </c>
      <c r="X25" s="3488"/>
      <c r="Y25" s="3813"/>
      <c r="Z25" s="3486" t="str">
        <f>Q25</f>
        <v>毗邻道路的类型与等级</v>
      </c>
      <c r="AA25" s="3485">
        <f t="shared" si="3"/>
        <v>1</v>
      </c>
      <c r="AB25" s="3485">
        <f t="shared" si="4"/>
        <v>1</v>
      </c>
      <c r="AC25" s="1957">
        <f t="shared" si="5"/>
        <v>1</v>
      </c>
    </row>
    <row r="26" spans="1:29" ht="15">
      <c r="A26" s="358"/>
      <c r="B26" s="580"/>
      <c r="C26" s="582"/>
      <c r="D26" s="386"/>
      <c r="E26" s="565"/>
      <c r="F26" s="386"/>
      <c r="G26" s="582"/>
      <c r="H26" s="386"/>
      <c r="I26" s="565"/>
      <c r="J26" s="386"/>
      <c r="K26" s="564"/>
      <c r="L26" s="2693"/>
      <c r="M26" s="2687"/>
      <c r="N26" s="2687"/>
      <c r="O26" s="2687"/>
      <c r="P26" s="3811"/>
      <c r="Q26" s="3484"/>
      <c r="R26" s="704"/>
      <c r="S26" s="705"/>
      <c r="T26" s="704"/>
      <c r="U26" s="705"/>
      <c r="V26" s="704"/>
      <c r="W26" s="705"/>
      <c r="X26" s="3488"/>
      <c r="Y26" s="3813"/>
      <c r="Z26" s="3486"/>
      <c r="AA26" s="3485">
        <v>1</v>
      </c>
      <c r="AB26" s="3485">
        <v>1</v>
      </c>
      <c r="AC26" s="1957">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3"/>
      <c r="M27" s="2687"/>
      <c r="N27" s="2687"/>
      <c r="O27" s="2687"/>
      <c r="P27" s="3811"/>
      <c r="Q27" s="3484" t="str">
        <f t="shared" ref="Q27:Q47" si="11">B27</f>
        <v>楼层</v>
      </c>
      <c r="R27" s="704" t="s">
        <v>14</v>
      </c>
      <c r="S27" s="705">
        <f>F27</f>
        <v>100</v>
      </c>
      <c r="T27" s="704" t="s">
        <v>14</v>
      </c>
      <c r="U27" s="705">
        <f>H27</f>
        <v>100</v>
      </c>
      <c r="V27" s="704" t="s">
        <v>14</v>
      </c>
      <c r="W27" s="705">
        <f>J27</f>
        <v>100</v>
      </c>
      <c r="X27" s="3488"/>
      <c r="Y27" s="3813"/>
      <c r="Z27" s="3486" t="str">
        <f>Q27</f>
        <v>楼层</v>
      </c>
      <c r="AA27" s="3485">
        <f t="shared" si="3"/>
        <v>1</v>
      </c>
      <c r="AB27" s="3485">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11"/>
      <c r="Q28" s="3483" t="str">
        <f t="shared" si="11"/>
        <v>朝向</v>
      </c>
      <c r="R28" s="700" t="s">
        <v>14</v>
      </c>
      <c r="S28" s="701">
        <f>F28</f>
        <v>100</v>
      </c>
      <c r="T28" s="700" t="s">
        <v>14</v>
      </c>
      <c r="U28" s="701">
        <f>H28</f>
        <v>100</v>
      </c>
      <c r="V28" s="700" t="s">
        <v>14</v>
      </c>
      <c r="W28" s="701">
        <f>J28</f>
        <v>100</v>
      </c>
      <c r="X28" s="702"/>
      <c r="Y28" s="3813"/>
      <c r="Z28" s="3482" t="str">
        <f>Q28</f>
        <v>朝向</v>
      </c>
      <c r="AA28" s="3485">
        <f>D28/F28</f>
        <v>1</v>
      </c>
      <c r="AB28" s="3485">
        <f>D28/H28</f>
        <v>1</v>
      </c>
      <c r="AC28" s="1957">
        <f>D28/J28</f>
        <v>1</v>
      </c>
    </row>
    <row r="29" spans="1:29" ht="15.75" thickBot="1">
      <c r="A29" s="379"/>
      <c r="B29" s="3476" t="s">
        <v>4152</v>
      </c>
      <c r="C29" s="3479" t="s">
        <v>4154</v>
      </c>
      <c r="D29" s="386">
        <v>100</v>
      </c>
      <c r="E29" s="3479" t="s">
        <v>4154</v>
      </c>
      <c r="F29" s="386">
        <f>SUMIF(93:93,E29,94:94)-SUMIF(93:93,C29,94:94)+100</f>
        <v>100</v>
      </c>
      <c r="G29" s="3479" t="s">
        <v>4154</v>
      </c>
      <c r="H29" s="386">
        <f>SUMIF(93:93,G29,94:94)-SUMIF(93:93,C29,94:94)+100</f>
        <v>100</v>
      </c>
      <c r="I29" s="3479" t="s">
        <v>4154</v>
      </c>
      <c r="J29" s="386">
        <f>SUMIF(93:93,I29,94:94)-SUMIF(93:93,C29,94:94)+100</f>
        <v>100</v>
      </c>
      <c r="K29" s="562"/>
      <c r="L29" s="2693"/>
      <c r="M29" s="2687"/>
      <c r="N29" s="2687"/>
      <c r="O29" s="2687"/>
      <c r="P29" s="3811"/>
      <c r="Q29" s="3484" t="str">
        <f t="shared" si="11"/>
        <v>商业繁华度</v>
      </c>
      <c r="R29" s="704" t="s">
        <v>14</v>
      </c>
      <c r="S29" s="705">
        <f t="shared" ref="S29:S47" si="12">F29</f>
        <v>100</v>
      </c>
      <c r="T29" s="704" t="s">
        <v>14</v>
      </c>
      <c r="U29" s="705">
        <f t="shared" ref="U29:U47" si="13">H29</f>
        <v>100</v>
      </c>
      <c r="V29" s="704" t="s">
        <v>14</v>
      </c>
      <c r="W29" s="705">
        <f t="shared" ref="W29:W47" si="14">J29</f>
        <v>100</v>
      </c>
      <c r="X29" s="3488"/>
      <c r="Y29" s="3813"/>
      <c r="Z29" s="3486" t="str">
        <f t="shared" ref="Z29:Z47" si="15">Q29</f>
        <v>商业繁华度</v>
      </c>
      <c r="AA29" s="3485">
        <f t="shared" si="3"/>
        <v>1</v>
      </c>
      <c r="AB29" s="3485">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11"/>
      <c r="Q30" s="3484">
        <f t="shared" si="11"/>
        <v>111</v>
      </c>
      <c r="R30" s="704" t="s">
        <v>14</v>
      </c>
      <c r="S30" s="705">
        <f t="shared" si="12"/>
        <v>100</v>
      </c>
      <c r="T30" s="704" t="s">
        <v>14</v>
      </c>
      <c r="U30" s="705">
        <f t="shared" si="13"/>
        <v>100</v>
      </c>
      <c r="V30" s="704" t="s">
        <v>14</v>
      </c>
      <c r="W30" s="705">
        <f t="shared" si="14"/>
        <v>100</v>
      </c>
      <c r="X30" s="3488"/>
      <c r="Y30" s="3813"/>
      <c r="Z30" s="3486">
        <f t="shared" si="15"/>
        <v>111</v>
      </c>
      <c r="AA30" s="3485">
        <f t="shared" si="3"/>
        <v>1</v>
      </c>
      <c r="AB30" s="3485">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11"/>
      <c r="Q31" s="3484">
        <f t="shared" si="11"/>
        <v>111</v>
      </c>
      <c r="R31" s="704" t="s">
        <v>14</v>
      </c>
      <c r="S31" s="705">
        <f t="shared" si="12"/>
        <v>100</v>
      </c>
      <c r="T31" s="704" t="s">
        <v>14</v>
      </c>
      <c r="U31" s="705">
        <f t="shared" si="13"/>
        <v>100</v>
      </c>
      <c r="V31" s="704" t="s">
        <v>14</v>
      </c>
      <c r="W31" s="705">
        <f t="shared" si="14"/>
        <v>100</v>
      </c>
      <c r="X31" s="3488"/>
      <c r="Y31" s="3813"/>
      <c r="Z31" s="3486">
        <f t="shared" si="15"/>
        <v>111</v>
      </c>
      <c r="AA31" s="3485">
        <f t="shared" si="3"/>
        <v>1</v>
      </c>
      <c r="AB31" s="3485">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11"/>
      <c r="Q32" s="3484">
        <f t="shared" si="11"/>
        <v>111</v>
      </c>
      <c r="R32" s="704" t="s">
        <v>14</v>
      </c>
      <c r="S32" s="705">
        <f t="shared" si="12"/>
        <v>100</v>
      </c>
      <c r="T32" s="704" t="s">
        <v>14</v>
      </c>
      <c r="U32" s="705">
        <f t="shared" si="13"/>
        <v>100</v>
      </c>
      <c r="V32" s="704" t="s">
        <v>14</v>
      </c>
      <c r="W32" s="705">
        <f t="shared" si="14"/>
        <v>100</v>
      </c>
      <c r="X32" s="3488"/>
      <c r="Y32" s="3813"/>
      <c r="Z32" s="3486">
        <f t="shared" si="15"/>
        <v>111</v>
      </c>
      <c r="AA32" s="3485">
        <f t="shared" si="3"/>
        <v>1</v>
      </c>
      <c r="AB32" s="3485">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693"/>
      <c r="M33" s="2687"/>
      <c r="N33" s="2687"/>
      <c r="O33" s="2687"/>
      <c r="P33" s="3814" t="s">
        <v>1680</v>
      </c>
      <c r="Q33" s="3484" t="str">
        <f t="shared" si="11"/>
        <v>建筑类型</v>
      </c>
      <c r="R33" s="704" t="s">
        <v>14</v>
      </c>
      <c r="S33" s="705">
        <f t="shared" si="12"/>
        <v>100</v>
      </c>
      <c r="T33" s="704" t="s">
        <v>14</v>
      </c>
      <c r="U33" s="705">
        <f t="shared" si="13"/>
        <v>100</v>
      </c>
      <c r="V33" s="704" t="s">
        <v>14</v>
      </c>
      <c r="W33" s="705">
        <f t="shared" si="14"/>
        <v>100</v>
      </c>
      <c r="X33" s="3488"/>
      <c r="Y33" s="3817" t="s">
        <v>1680</v>
      </c>
      <c r="Z33" s="3486" t="str">
        <f t="shared" si="15"/>
        <v>建筑类型</v>
      </c>
      <c r="AA33" s="3485">
        <f t="shared" si="3"/>
        <v>1</v>
      </c>
      <c r="AB33" s="3485">
        <f t="shared" si="4"/>
        <v>1</v>
      </c>
      <c r="AC33" s="1957">
        <f t="shared" si="5"/>
        <v>1</v>
      </c>
    </row>
    <row r="34" spans="1:29" s="422" customFormat="1" ht="15">
      <c r="A34" s="419"/>
      <c r="B34" s="375" t="s">
        <v>1681</v>
      </c>
      <c r="C34" s="420">
        <f>'数据-汇总表'!E3</f>
        <v>84373.10000000002</v>
      </c>
      <c r="D34" s="127">
        <v>100</v>
      </c>
      <c r="E34" s="381">
        <f>大宗!I28</f>
        <v>39145.39</v>
      </c>
      <c r="F34" s="376">
        <f>LOOKUP(E34,104:104,105:105)-LOOKUP(C34,104:104,105:105)+100</f>
        <v>101</v>
      </c>
      <c r="G34" s="380">
        <f>大宗!I2</f>
        <v>18396.150000000001</v>
      </c>
      <c r="H34" s="127">
        <f>LOOKUP(G34,104:104,105:105)-LOOKUP(C34,104:104,105:105)+100</f>
        <v>102</v>
      </c>
      <c r="I34" s="380">
        <f>大宗!I3</f>
        <v>14263.2</v>
      </c>
      <c r="J34" s="127">
        <f>LOOKUP(I34,104:104,105:105)-LOOKUP(C34,104:104,105:105)+100</f>
        <v>102</v>
      </c>
      <c r="K34" s="562"/>
      <c r="L34" s="2692"/>
      <c r="M34" s="2694"/>
      <c r="N34" s="2694"/>
      <c r="O34" s="2694"/>
      <c r="P34" s="3815"/>
      <c r="Q34" s="706" t="str">
        <f t="shared" si="11"/>
        <v>项目建筑规模</v>
      </c>
      <c r="R34" s="707" t="s">
        <v>14</v>
      </c>
      <c r="S34" s="708">
        <f t="shared" si="12"/>
        <v>101</v>
      </c>
      <c r="T34" s="707" t="s">
        <v>14</v>
      </c>
      <c r="U34" s="708">
        <f t="shared" si="13"/>
        <v>102</v>
      </c>
      <c r="V34" s="707" t="s">
        <v>14</v>
      </c>
      <c r="W34" s="708">
        <f t="shared" si="14"/>
        <v>102</v>
      </c>
      <c r="X34" s="709"/>
      <c r="Y34" s="3817"/>
      <c r="Z34" s="710" t="str">
        <f t="shared" si="15"/>
        <v>项目建筑规模</v>
      </c>
      <c r="AA34" s="3485">
        <f t="shared" si="3"/>
        <v>0.99009900990099009</v>
      </c>
      <c r="AB34" s="3485">
        <f t="shared" si="4"/>
        <v>0.98039215686274506</v>
      </c>
      <c r="AC34" s="1957">
        <f t="shared" si="5"/>
        <v>0.98039215686274506</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815"/>
      <c r="Q35" s="3484" t="str">
        <f t="shared" si="11"/>
        <v>建筑结构</v>
      </c>
      <c r="R35" s="704" t="s">
        <v>14</v>
      </c>
      <c r="S35" s="705">
        <f t="shared" si="12"/>
        <v>100</v>
      </c>
      <c r="T35" s="704" t="s">
        <v>14</v>
      </c>
      <c r="U35" s="705">
        <f t="shared" si="13"/>
        <v>100</v>
      </c>
      <c r="V35" s="704" t="s">
        <v>14</v>
      </c>
      <c r="W35" s="705">
        <f t="shared" si="14"/>
        <v>100</v>
      </c>
      <c r="X35" s="3488"/>
      <c r="Y35" s="3817"/>
      <c r="Z35" s="3486" t="str">
        <f t="shared" si="15"/>
        <v>建筑结构</v>
      </c>
      <c r="AA35" s="3485">
        <f t="shared" si="3"/>
        <v>1</v>
      </c>
      <c r="AB35" s="3485">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815"/>
      <c r="Q36" s="3484" t="str">
        <f t="shared" si="11"/>
        <v>公共部分装修</v>
      </c>
      <c r="R36" s="704" t="s">
        <v>14</v>
      </c>
      <c r="S36" s="705">
        <f t="shared" si="12"/>
        <v>100</v>
      </c>
      <c r="T36" s="704" t="s">
        <v>14</v>
      </c>
      <c r="U36" s="705">
        <f t="shared" si="13"/>
        <v>100</v>
      </c>
      <c r="V36" s="704" t="s">
        <v>14</v>
      </c>
      <c r="W36" s="705">
        <f t="shared" si="14"/>
        <v>100</v>
      </c>
      <c r="X36" s="3488"/>
      <c r="Y36" s="3817"/>
      <c r="Z36" s="3486" t="str">
        <f t="shared" si="15"/>
        <v>公共部分装修</v>
      </c>
      <c r="AA36" s="3485">
        <f t="shared" si="3"/>
        <v>1</v>
      </c>
      <c r="AB36" s="3485">
        <f t="shared" si="4"/>
        <v>1</v>
      </c>
      <c r="AC36" s="1957">
        <f t="shared" si="5"/>
        <v>1</v>
      </c>
    </row>
    <row r="37" spans="1:29" ht="15">
      <c r="A37" s="423"/>
      <c r="B37" s="375" t="s">
        <v>1770</v>
      </c>
      <c r="C37" s="425">
        <f>'数据-取费表'!N6</f>
        <v>0.98</v>
      </c>
      <c r="D37" s="386">
        <v>100</v>
      </c>
      <c r="E37" s="425">
        <v>0.75</v>
      </c>
      <c r="F37" s="412">
        <f>LOOKUP(E37,111:111,112:112)-LOOKUP(C37,111:111,112:112)+100</f>
        <v>94</v>
      </c>
      <c r="G37" s="425">
        <v>0.75</v>
      </c>
      <c r="H37" s="412">
        <f>LOOKUP(G37,111:111,112:112)-LOOKUP(C37,111:111,112:112)+100</f>
        <v>94</v>
      </c>
      <c r="I37" s="425">
        <v>0.8</v>
      </c>
      <c r="J37" s="386">
        <f>LOOKUP(I37,111:111,112:112)-LOOKUP(C37,111:111,112:112)+100</f>
        <v>97</v>
      </c>
      <c r="K37" s="561">
        <v>3</v>
      </c>
      <c r="L37" s="2693"/>
      <c r="M37" s="2687"/>
      <c r="N37" s="2687"/>
      <c r="O37" s="2687"/>
      <c r="P37" s="3815"/>
      <c r="Q37" s="3484" t="str">
        <f t="shared" si="11"/>
        <v>成新度</v>
      </c>
      <c r="R37" s="704" t="s">
        <v>14</v>
      </c>
      <c r="S37" s="705">
        <f t="shared" si="12"/>
        <v>94</v>
      </c>
      <c r="T37" s="704" t="s">
        <v>14</v>
      </c>
      <c r="U37" s="705">
        <f t="shared" si="13"/>
        <v>94</v>
      </c>
      <c r="V37" s="704" t="s">
        <v>14</v>
      </c>
      <c r="W37" s="705">
        <f t="shared" si="14"/>
        <v>97</v>
      </c>
      <c r="X37" s="3488"/>
      <c r="Y37" s="3817"/>
      <c r="Z37" s="3486" t="str">
        <f t="shared" si="15"/>
        <v>成新度</v>
      </c>
      <c r="AA37" s="3485">
        <f t="shared" si="3"/>
        <v>1.0638297872340425</v>
      </c>
      <c r="AB37" s="3485">
        <f t="shared" si="4"/>
        <v>1.0638297872340425</v>
      </c>
      <c r="AC37" s="1957">
        <f t="shared" si="5"/>
        <v>1.0309278350515463</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15"/>
      <c r="Q38" s="3483" t="str">
        <f t="shared" si="11"/>
        <v>写字楼等级</v>
      </c>
      <c r="R38" s="700" t="s">
        <v>14</v>
      </c>
      <c r="S38" s="701">
        <f t="shared" si="12"/>
        <v>100</v>
      </c>
      <c r="T38" s="700" t="s">
        <v>14</v>
      </c>
      <c r="U38" s="701">
        <f t="shared" si="13"/>
        <v>100</v>
      </c>
      <c r="V38" s="700" t="s">
        <v>14</v>
      </c>
      <c r="W38" s="701">
        <f t="shared" si="14"/>
        <v>100</v>
      </c>
      <c r="X38" s="702"/>
      <c r="Y38" s="3817"/>
      <c r="Z38" s="348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815" t="s">
        <v>1680</v>
      </c>
      <c r="Q39" s="3484" t="str">
        <f t="shared" si="11"/>
        <v>物业管理</v>
      </c>
      <c r="R39" s="704" t="s">
        <v>14</v>
      </c>
      <c r="S39" s="705">
        <f t="shared" si="12"/>
        <v>100</v>
      </c>
      <c r="T39" s="704" t="s">
        <v>14</v>
      </c>
      <c r="U39" s="705">
        <f t="shared" si="13"/>
        <v>100</v>
      </c>
      <c r="V39" s="704" t="s">
        <v>14</v>
      </c>
      <c r="W39" s="705">
        <f t="shared" si="14"/>
        <v>100</v>
      </c>
      <c r="X39" s="3488"/>
      <c r="Y39" s="3817" t="s">
        <v>1680</v>
      </c>
      <c r="Z39" s="3486" t="str">
        <f t="shared" si="15"/>
        <v>物业管理</v>
      </c>
      <c r="AA39" s="3485">
        <f t="shared" si="3"/>
        <v>1</v>
      </c>
      <c r="AB39" s="3485">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815"/>
      <c r="Q40" s="3484" t="str">
        <f t="shared" si="11"/>
        <v>市政基础设施</v>
      </c>
      <c r="R40" s="704" t="s">
        <v>14</v>
      </c>
      <c r="S40" s="705">
        <f t="shared" si="12"/>
        <v>100</v>
      </c>
      <c r="T40" s="704" t="s">
        <v>14</v>
      </c>
      <c r="U40" s="705">
        <f t="shared" si="13"/>
        <v>100</v>
      </c>
      <c r="V40" s="704" t="s">
        <v>14</v>
      </c>
      <c r="W40" s="705">
        <f t="shared" si="14"/>
        <v>100</v>
      </c>
      <c r="X40" s="3488"/>
      <c r="Y40" s="3817"/>
      <c r="Z40" s="3486" t="str">
        <f t="shared" si="15"/>
        <v>市政基础设施</v>
      </c>
      <c r="AA40" s="3485">
        <f t="shared" si="3"/>
        <v>1</v>
      </c>
      <c r="AB40" s="3485">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815"/>
      <c r="Q41" s="3484" t="str">
        <f t="shared" si="11"/>
        <v>层高</v>
      </c>
      <c r="R41" s="704" t="s">
        <v>14</v>
      </c>
      <c r="S41" s="705">
        <f t="shared" si="12"/>
        <v>100</v>
      </c>
      <c r="T41" s="704" t="s">
        <v>14</v>
      </c>
      <c r="U41" s="705">
        <f t="shared" si="13"/>
        <v>100</v>
      </c>
      <c r="V41" s="704" t="s">
        <v>14</v>
      </c>
      <c r="W41" s="705">
        <f t="shared" si="14"/>
        <v>100</v>
      </c>
      <c r="X41" s="3488"/>
      <c r="Y41" s="3817"/>
      <c r="Z41" s="3486" t="str">
        <f t="shared" si="15"/>
        <v>层高</v>
      </c>
      <c r="AA41" s="3485">
        <f t="shared" si="3"/>
        <v>1</v>
      </c>
      <c r="AB41" s="3485">
        <f t="shared" si="4"/>
        <v>1</v>
      </c>
      <c r="AC41" s="1957">
        <f t="shared" si="5"/>
        <v>1</v>
      </c>
    </row>
    <row r="42" spans="1:29" s="422" customFormat="1" ht="15">
      <c r="A42" s="419"/>
      <c r="B42" s="348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15"/>
      <c r="Q42" s="706" t="str">
        <f t="shared" si="11"/>
        <v>单套建筑面积</v>
      </c>
      <c r="R42" s="707" t="s">
        <v>14</v>
      </c>
      <c r="S42" s="708">
        <f t="shared" si="12"/>
        <v>100</v>
      </c>
      <c r="T42" s="707" t="s">
        <v>14</v>
      </c>
      <c r="U42" s="708">
        <f t="shared" si="13"/>
        <v>100</v>
      </c>
      <c r="V42" s="707" t="s">
        <v>14</v>
      </c>
      <c r="W42" s="708">
        <f t="shared" si="14"/>
        <v>100</v>
      </c>
      <c r="X42" s="709"/>
      <c r="Y42" s="3817"/>
      <c r="Z42" s="710" t="str">
        <f t="shared" si="15"/>
        <v>单套建筑面积</v>
      </c>
      <c r="AA42" s="3485">
        <f t="shared" si="3"/>
        <v>1</v>
      </c>
      <c r="AB42" s="3485">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815"/>
      <c r="Q43" s="3484" t="str">
        <f t="shared" si="11"/>
        <v>内部装修</v>
      </c>
      <c r="R43" s="704" t="s">
        <v>14</v>
      </c>
      <c r="S43" s="705">
        <f t="shared" si="12"/>
        <v>100</v>
      </c>
      <c r="T43" s="704" t="s">
        <v>14</v>
      </c>
      <c r="U43" s="705">
        <f t="shared" si="13"/>
        <v>100</v>
      </c>
      <c r="V43" s="704" t="s">
        <v>14</v>
      </c>
      <c r="W43" s="705">
        <f t="shared" si="14"/>
        <v>100</v>
      </c>
      <c r="X43" s="3488"/>
      <c r="Y43" s="3817"/>
      <c r="Z43" s="3486" t="str">
        <f t="shared" si="15"/>
        <v>内部装修</v>
      </c>
      <c r="AA43" s="3485">
        <f t="shared" si="3"/>
        <v>1</v>
      </c>
      <c r="AB43" s="3485">
        <f t="shared" si="4"/>
        <v>1</v>
      </c>
      <c r="AC43" s="1957">
        <f t="shared" si="5"/>
        <v>1</v>
      </c>
    </row>
    <row r="44" spans="1:29" ht="15">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815"/>
      <c r="Q44" s="3484" t="str">
        <f t="shared" si="11"/>
        <v>内部装修维护情况</v>
      </c>
      <c r="R44" s="704" t="s">
        <v>14</v>
      </c>
      <c r="S44" s="705">
        <f t="shared" si="12"/>
        <v>100</v>
      </c>
      <c r="T44" s="704" t="s">
        <v>14</v>
      </c>
      <c r="U44" s="705">
        <f t="shared" si="13"/>
        <v>100</v>
      </c>
      <c r="V44" s="704" t="s">
        <v>14</v>
      </c>
      <c r="W44" s="705">
        <f t="shared" si="14"/>
        <v>100</v>
      </c>
      <c r="X44" s="3488"/>
      <c r="Y44" s="3817"/>
      <c r="Z44" s="3486" t="str">
        <f t="shared" si="15"/>
        <v>内部装修维护情况</v>
      </c>
      <c r="AA44" s="3485">
        <f t="shared" si="3"/>
        <v>1</v>
      </c>
      <c r="AB44" s="3485">
        <f t="shared" si="4"/>
        <v>1</v>
      </c>
      <c r="AC44" s="1957">
        <f t="shared" si="5"/>
        <v>1</v>
      </c>
    </row>
    <row r="45" spans="1:29" s="108" customFormat="1" ht="15">
      <c r="A45" s="424"/>
      <c r="B45" s="3437" t="s">
        <v>3400</v>
      </c>
      <c r="C45" s="416" t="s">
        <v>4348</v>
      </c>
      <c r="D45" s="127">
        <v>100</v>
      </c>
      <c r="E45" s="3556">
        <v>0.15</v>
      </c>
      <c r="F45" s="376">
        <f>SUMIF(127:127,E45,128:128)-SUMIF(127:127,C45,128:128)+100</f>
        <v>105</v>
      </c>
      <c r="G45" s="416" t="s">
        <v>4349</v>
      </c>
      <c r="H45" s="127">
        <f>SUMIF(127:127,G45,128:128)-SUMIF(127:127,C45,128:128)+100</f>
        <v>115</v>
      </c>
      <c r="I45" s="416" t="s">
        <v>4350</v>
      </c>
      <c r="J45" s="127">
        <f>SUMIF(127:127,I45,128:128)-SUMIF(127:127,C45,128:128)+100</f>
        <v>105</v>
      </c>
      <c r="K45" s="562"/>
      <c r="L45" s="2688"/>
      <c r="M45" s="2689"/>
      <c r="N45" s="2689"/>
      <c r="O45" s="2689"/>
      <c r="P45" s="3815"/>
      <c r="Q45" s="3483" t="str">
        <f t="shared" si="11"/>
        <v>地下占比</v>
      </c>
      <c r="R45" s="700" t="s">
        <v>14</v>
      </c>
      <c r="S45" s="701">
        <f t="shared" si="12"/>
        <v>105</v>
      </c>
      <c r="T45" s="700" t="s">
        <v>14</v>
      </c>
      <c r="U45" s="701">
        <f t="shared" si="13"/>
        <v>115</v>
      </c>
      <c r="V45" s="700" t="s">
        <v>14</v>
      </c>
      <c r="W45" s="701">
        <f t="shared" si="14"/>
        <v>105</v>
      </c>
      <c r="X45" s="702"/>
      <c r="Y45" s="3817"/>
      <c r="Z45" s="3482" t="str">
        <f t="shared" si="15"/>
        <v>地下占比</v>
      </c>
      <c r="AA45" s="703">
        <f t="shared" si="3"/>
        <v>0.95238095238095233</v>
      </c>
      <c r="AB45" s="703">
        <f t="shared" si="4"/>
        <v>0.86956521739130432</v>
      </c>
      <c r="AC45" s="1954">
        <f t="shared" si="5"/>
        <v>0.95238095238095233</v>
      </c>
    </row>
    <row r="46" spans="1:29" ht="15">
      <c r="A46" s="423"/>
      <c r="B46" s="1129">
        <v>111</v>
      </c>
      <c r="C46" s="3537"/>
      <c r="D46" s="386">
        <v>100</v>
      </c>
      <c r="E46" s="3552"/>
      <c r="F46" s="412">
        <f>SUMIF(129:129,E46,130:130)-SUMIF(129:129,C46,130:130)+100</f>
        <v>100</v>
      </c>
      <c r="G46" s="3536"/>
      <c r="H46" s="386">
        <f>SUMIF(129:129,G46,130:130)-SUMIF(129:129,C46,130:130)+100</f>
        <v>100</v>
      </c>
      <c r="I46" s="3536"/>
      <c r="J46" s="386">
        <f>SUMIF(129:129,I46,130:130)-SUMIF(129:129,C46,130:130)+100</f>
        <v>100</v>
      </c>
      <c r="K46" s="562"/>
      <c r="L46" s="2693"/>
      <c r="M46" s="2687"/>
      <c r="N46" s="2687"/>
      <c r="O46" s="2687"/>
      <c r="P46" s="3815"/>
      <c r="Q46" s="3484">
        <f t="shared" si="11"/>
        <v>111</v>
      </c>
      <c r="R46" s="704" t="s">
        <v>14</v>
      </c>
      <c r="S46" s="705">
        <f t="shared" si="12"/>
        <v>100</v>
      </c>
      <c r="T46" s="704" t="s">
        <v>14</v>
      </c>
      <c r="U46" s="705">
        <f t="shared" si="13"/>
        <v>100</v>
      </c>
      <c r="V46" s="704" t="s">
        <v>14</v>
      </c>
      <c r="W46" s="705">
        <f t="shared" si="14"/>
        <v>100</v>
      </c>
      <c r="X46" s="3488"/>
      <c r="Y46" s="3817"/>
      <c r="Z46" s="3486">
        <f t="shared" si="15"/>
        <v>111</v>
      </c>
      <c r="AA46" s="3485">
        <f t="shared" si="3"/>
        <v>1</v>
      </c>
      <c r="AB46" s="3485">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16"/>
      <c r="Q47" s="3484">
        <f t="shared" si="11"/>
        <v>111</v>
      </c>
      <c r="R47" s="704" t="s">
        <v>14</v>
      </c>
      <c r="S47" s="705">
        <f t="shared" si="12"/>
        <v>100</v>
      </c>
      <c r="T47" s="704" t="s">
        <v>14</v>
      </c>
      <c r="U47" s="705">
        <f t="shared" si="13"/>
        <v>100</v>
      </c>
      <c r="V47" s="704" t="s">
        <v>14</v>
      </c>
      <c r="W47" s="705">
        <f t="shared" si="14"/>
        <v>100</v>
      </c>
      <c r="X47" s="3488"/>
      <c r="Y47" s="3818"/>
      <c r="Z47" s="3486">
        <f t="shared" si="15"/>
        <v>111</v>
      </c>
      <c r="AA47" s="3485">
        <f t="shared" si="3"/>
        <v>1</v>
      </c>
      <c r="AB47" s="3485">
        <f t="shared" si="4"/>
        <v>1</v>
      </c>
      <c r="AC47" s="1957">
        <f t="shared" si="5"/>
        <v>1</v>
      </c>
    </row>
    <row r="48" spans="1:29" ht="15">
      <c r="A48" s="430" t="s">
        <v>1692</v>
      </c>
      <c r="B48" s="431"/>
      <c r="C48" s="1150" t="s">
        <v>0</v>
      </c>
      <c r="D48" s="1151"/>
      <c r="E48" s="1152">
        <f>大宗!M28</f>
        <v>63864</v>
      </c>
      <c r="F48" s="1153"/>
      <c r="G48" s="1154">
        <f>大宗!N2</f>
        <v>60981</v>
      </c>
      <c r="H48" s="1155"/>
      <c r="I48" s="1152">
        <f>大宗!M3</f>
        <v>69925</v>
      </c>
      <c r="J48" s="436"/>
      <c r="K48" s="713"/>
      <c r="L48" s="2695"/>
      <c r="M48" s="2687"/>
      <c r="N48" s="2687"/>
      <c r="O48" s="2687"/>
      <c r="P48" s="3789" t="str">
        <f>A48</f>
        <v>成交单价（元/平方米）</v>
      </c>
      <c r="Q48" s="3819"/>
      <c r="R48" s="3820">
        <f>E48</f>
        <v>63864</v>
      </c>
      <c r="S48" s="3820"/>
      <c r="T48" s="3820">
        <f>G48</f>
        <v>60981</v>
      </c>
      <c r="U48" s="3820"/>
      <c r="V48" s="3820">
        <f>I48</f>
        <v>69925</v>
      </c>
      <c r="W48" s="3820"/>
      <c r="X48" s="397"/>
      <c r="Y48" s="711"/>
      <c r="Z48" s="397"/>
      <c r="AA48" s="397"/>
      <c r="AB48" s="397"/>
      <c r="AC48" s="578"/>
    </row>
    <row r="49" spans="1:60" ht="15.75" thickBot="1">
      <c r="A49" s="437" t="s">
        <v>1693</v>
      </c>
      <c r="B49" s="438"/>
      <c r="C49" s="1156">
        <f>R50</f>
        <v>69754</v>
      </c>
      <c r="D49" s="2312" t="s">
        <v>2120</v>
      </c>
      <c r="E49" s="1157">
        <f>R49</f>
        <v>72456</v>
      </c>
      <c r="F49" s="2313"/>
      <c r="G49" s="1156">
        <f>T49</f>
        <v>65197</v>
      </c>
      <c r="H49" s="2313"/>
      <c r="I49" s="1157">
        <f>V49</f>
        <v>71610</v>
      </c>
      <c r="J49" s="2313"/>
      <c r="K49" s="2315">
        <f>F49+H49+J49</f>
        <v>0</v>
      </c>
      <c r="L49" s="2695"/>
      <c r="M49" s="2687"/>
      <c r="N49" s="2687"/>
      <c r="O49" s="2687"/>
      <c r="P49" s="3789" t="str">
        <f>A49</f>
        <v>比较价值（元/平方米）</v>
      </c>
      <c r="Q49" s="3819"/>
      <c r="R49" s="3820">
        <f>IF(F1="售价",ROUND(PRODUCT(R48,AA7:AA47),0),ROUND(PRODUCT(R48,AA7:AA47),1))</f>
        <v>72456</v>
      </c>
      <c r="S49" s="3820"/>
      <c r="T49" s="3820">
        <f>IF(F1="售价",ROUND(PRODUCT(T48,AB7:AB47),0),ROUND(PRODUCT(T48,AB7:AB47),1))</f>
        <v>65197</v>
      </c>
      <c r="U49" s="3820"/>
      <c r="V49" s="3820">
        <f>IF(F1="售价",ROUND(PRODUCT(V48,AC7:AC47),0),ROUND(PRODUCT(V48,AC7:AC47),1))</f>
        <v>71610</v>
      </c>
      <c r="W49" s="3820"/>
      <c r="X49" s="397"/>
      <c r="Y49" s="397"/>
      <c r="Z49" s="397"/>
      <c r="AA49" s="397"/>
      <c r="AB49" s="397"/>
      <c r="AC49" s="578"/>
    </row>
    <row r="50" spans="1:60" ht="15.75" thickBot="1">
      <c r="A50" s="441" t="s">
        <v>1694</v>
      </c>
      <c r="B50" s="442"/>
      <c r="C50" s="1159">
        <f>R50</f>
        <v>69754</v>
      </c>
      <c r="D50" s="1159"/>
      <c r="E50" s="1159"/>
      <c r="F50" s="1159"/>
      <c r="G50" s="1159"/>
      <c r="H50" s="1159"/>
      <c r="I50" s="1159"/>
      <c r="J50" s="443"/>
      <c r="K50" s="714"/>
      <c r="L50" s="2695"/>
      <c r="M50" s="2687"/>
      <c r="N50" s="2687"/>
      <c r="O50" s="2687"/>
      <c r="P50" s="3821" t="str">
        <f>A50</f>
        <v>估价对象XX用房的比较价值（楼面单价，元/平方米）</v>
      </c>
      <c r="Q50" s="3822"/>
      <c r="R50" s="3823">
        <f>IF(F1="售价",ROUND(IF(D49="简单平均",AVERAGE(R49:V49),R49*F49+T49*H49+V49*J49),0),ROUND(IF(D49="简单平均",AVERAGE(R49:V49),R49*F49+T49*H49+V49*J49),1))</f>
        <v>69754</v>
      </c>
      <c r="S50" s="3823"/>
      <c r="T50" s="3823"/>
      <c r="U50" s="3823"/>
      <c r="V50" s="3823"/>
      <c r="W50" s="3823"/>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0.13453588876362277</v>
      </c>
      <c r="F53" s="449" t="str">
        <f>IF(OR(E53&gt;=0.3,E53&lt;=-0.3),"超过30%","")</f>
        <v/>
      </c>
      <c r="G53" s="448">
        <f>IF(G48&lt;G49,G49/G48-1,G48/G49-1)</f>
        <v>6.9136288352109609E-2</v>
      </c>
      <c r="H53" s="449" t="str">
        <f>IF(OR(G53&gt;=0.3,G53&lt;=-0.3),"超过30%","")</f>
        <v/>
      </c>
      <c r="I53" s="448">
        <f>IF(I48&lt;I49,I49/I48-1,I48/I49-1)</f>
        <v>2.4097247050411053E-2</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0.11133947881037476</v>
      </c>
      <c r="F54" s="449" t="str">
        <f>IF(OR(E54&gt;=0.2,E54&lt;=-0.2),"超过20%","")</f>
        <v/>
      </c>
      <c r="G54" s="448">
        <f>IF(G49&lt;I49,I49/G49-1,G49/I49-1)</f>
        <v>9.8363421629829695E-2</v>
      </c>
      <c r="H54" s="449" t="str">
        <f>IF(OR(G54&gt;=0.2,G54&lt;=-0.2),"超过20%","")</f>
        <v/>
      </c>
      <c r="I54" s="448">
        <f>IF(I49&lt;E49,E49/I49-1,I49/E49-1)</f>
        <v>1.1813992459153821E-2</v>
      </c>
      <c r="J54" s="449" t="str">
        <f>IF(OR(I54&gt;=0.2,I54&lt;=-0.2),"超过20%","")</f>
        <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4.7277020711369078E-2</v>
      </c>
      <c r="F55" s="449" t="str">
        <f>IF(OR(E55&gt;=0.3,E55&lt;=-0.3),"超过30%","")</f>
        <v/>
      </c>
      <c r="G55" s="448">
        <f>IF(G48&lt;I48,I48/G48-1,G48/I48-1)</f>
        <v>0.14666863449271084</v>
      </c>
      <c r="H55" s="449" t="str">
        <f>IF(OR(G55&gt;=0.3,G55&lt;=-0.3),"超过30%","")</f>
        <v/>
      </c>
      <c r="I55" s="448">
        <f>IF(I48&lt;E48,E48/I48-1,I48/E48-1)</f>
        <v>9.4904797695102072E-2</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BH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si="16"/>
        <v>44896</v>
      </c>
      <c r="Q59" s="3440">
        <f t="shared" si="16"/>
        <v>44866</v>
      </c>
      <c r="R59" s="3440">
        <f t="shared" si="16"/>
        <v>44835</v>
      </c>
      <c r="S59" s="3440">
        <f t="shared" si="16"/>
        <v>44805</v>
      </c>
      <c r="T59" s="3440">
        <f t="shared" si="16"/>
        <v>44774</v>
      </c>
      <c r="U59" s="3440">
        <f t="shared" si="16"/>
        <v>44743</v>
      </c>
      <c r="V59" s="3440">
        <f t="shared" si="16"/>
        <v>44713</v>
      </c>
      <c r="W59" s="3440">
        <f t="shared" si="16"/>
        <v>44682</v>
      </c>
      <c r="X59" s="3440">
        <f t="shared" si="16"/>
        <v>44652</v>
      </c>
      <c r="Y59" s="3440">
        <f t="shared" si="16"/>
        <v>44621</v>
      </c>
      <c r="Z59" s="3440">
        <f t="shared" si="16"/>
        <v>44593</v>
      </c>
      <c r="AA59" s="3440">
        <f t="shared" si="16"/>
        <v>44562</v>
      </c>
      <c r="AB59" s="3440">
        <f t="shared" si="16"/>
        <v>44531</v>
      </c>
      <c r="AC59" s="3440">
        <f t="shared" si="16"/>
        <v>44501</v>
      </c>
      <c r="AD59" s="3440">
        <f t="shared" si="16"/>
        <v>44470</v>
      </c>
      <c r="AE59" s="3440">
        <f t="shared" si="16"/>
        <v>44440</v>
      </c>
      <c r="AF59" s="3440">
        <f t="shared" si="16"/>
        <v>44409</v>
      </c>
      <c r="AG59" s="3440">
        <f t="shared" si="16"/>
        <v>44378</v>
      </c>
      <c r="AH59" s="3440">
        <f t="shared" si="16"/>
        <v>44348</v>
      </c>
      <c r="AI59" s="3440">
        <f t="shared" si="16"/>
        <v>44317</v>
      </c>
      <c r="AJ59" s="3440">
        <f t="shared" si="16"/>
        <v>44287</v>
      </c>
      <c r="AK59" s="3440">
        <f t="shared" si="16"/>
        <v>44256</v>
      </c>
      <c r="AL59" s="3440">
        <f t="shared" si="16"/>
        <v>44228</v>
      </c>
      <c r="AM59" s="3440">
        <f t="shared" si="16"/>
        <v>44197</v>
      </c>
      <c r="AN59" s="3440">
        <f t="shared" si="16"/>
        <v>44166</v>
      </c>
      <c r="AO59" s="3440">
        <f t="shared" si="16"/>
        <v>44136</v>
      </c>
      <c r="AP59" s="3440">
        <f t="shared" si="16"/>
        <v>44105</v>
      </c>
      <c r="AQ59" s="3440">
        <f t="shared" si="16"/>
        <v>44075</v>
      </c>
      <c r="AR59" s="3440">
        <f t="shared" si="16"/>
        <v>44044</v>
      </c>
      <c r="AS59" s="3440">
        <f t="shared" si="16"/>
        <v>44013</v>
      </c>
      <c r="AT59" s="3440">
        <f t="shared" si="16"/>
        <v>43983</v>
      </c>
      <c r="AU59" s="3440">
        <f t="shared" si="16"/>
        <v>43952</v>
      </c>
      <c r="AV59" s="3440">
        <f t="shared" si="16"/>
        <v>43922</v>
      </c>
      <c r="AW59" s="3440">
        <f t="shared" si="16"/>
        <v>43891</v>
      </c>
      <c r="AX59" s="3440">
        <f t="shared" si="16"/>
        <v>43862</v>
      </c>
      <c r="AY59" s="3440">
        <f t="shared" si="16"/>
        <v>43831</v>
      </c>
      <c r="AZ59" s="3440">
        <f t="shared" si="16"/>
        <v>43800</v>
      </c>
      <c r="BA59" s="3440">
        <f t="shared" si="16"/>
        <v>43770</v>
      </c>
      <c r="BB59" s="3440">
        <f t="shared" si="16"/>
        <v>43739</v>
      </c>
      <c r="BC59" s="3440">
        <f t="shared" si="16"/>
        <v>43709</v>
      </c>
      <c r="BD59" s="3440">
        <f t="shared" si="16"/>
        <v>43678</v>
      </c>
      <c r="BE59" s="3440">
        <f t="shared" si="16"/>
        <v>43647</v>
      </c>
      <c r="BF59" s="3440">
        <f t="shared" si="16"/>
        <v>43617</v>
      </c>
      <c r="BG59" s="3440">
        <f t="shared" si="16"/>
        <v>43586</v>
      </c>
      <c r="BH59" s="3440">
        <f t="shared" si="16"/>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商办综合</v>
      </c>
      <c r="D64" s="3439" t="s">
        <v>4151</v>
      </c>
      <c r="E64" s="3439"/>
      <c r="F64" s="3439"/>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95</v>
      </c>
      <c r="E65" s="485"/>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4343</v>
      </c>
      <c r="D66" s="532" t="s">
        <v>3394</v>
      </c>
      <c r="E66" s="532" t="s">
        <v>3392</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100</v>
      </c>
      <c r="D67" s="485">
        <f>C67-1</f>
        <v>99</v>
      </c>
      <c r="E67" s="485">
        <f>D67-1</f>
        <v>98</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95</v>
      </c>
      <c r="E78" s="493">
        <f>D78-$K15</f>
        <v>90</v>
      </c>
      <c r="F78" s="493">
        <f>E78-$K15</f>
        <v>85</v>
      </c>
      <c r="G78" s="493">
        <f>F78-$K15</f>
        <v>80</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95</v>
      </c>
      <c r="E82" s="493">
        <f>D82-$K19</f>
        <v>90</v>
      </c>
      <c r="F82" s="493">
        <f>E82-$K19</f>
        <v>85</v>
      </c>
      <c r="G82" s="493">
        <f>F82-$K19</f>
        <v>80</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95</v>
      </c>
      <c r="E86" s="493">
        <f>D86-$K23</f>
        <v>90</v>
      </c>
      <c r="F86" s="493">
        <f>E86-$K23</f>
        <v>85</v>
      </c>
      <c r="G86" s="493">
        <f>F86-$K23</f>
        <v>80</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105</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30000</v>
      </c>
      <c r="E104" s="545">
        <v>60000</v>
      </c>
      <c r="F104" s="544">
        <v>90000</v>
      </c>
      <c r="G104" s="545">
        <v>150000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103</v>
      </c>
      <c r="E112" s="493">
        <f t="shared" ref="E112:M112" si="27">D112+$K37</f>
        <v>106</v>
      </c>
      <c r="F112" s="493">
        <f t="shared" si="27"/>
        <v>109</v>
      </c>
      <c r="G112" s="493">
        <f t="shared" si="27"/>
        <v>112</v>
      </c>
      <c r="H112" s="493">
        <f t="shared" si="27"/>
        <v>115</v>
      </c>
      <c r="I112" s="493">
        <f t="shared" si="27"/>
        <v>118</v>
      </c>
      <c r="J112" s="493">
        <f t="shared" si="27"/>
        <v>121</v>
      </c>
      <c r="K112" s="493">
        <f t="shared" si="27"/>
        <v>124</v>
      </c>
      <c r="L112" s="493">
        <f t="shared" si="27"/>
        <v>127</v>
      </c>
      <c r="M112" s="493">
        <f t="shared" si="27"/>
        <v>130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t="str">
        <f>B45</f>
        <v>地下占比</v>
      </c>
      <c r="C127" s="3555">
        <v>0</v>
      </c>
      <c r="D127" s="3555">
        <v>0.15</v>
      </c>
      <c r="E127" s="3438" t="s">
        <v>4347</v>
      </c>
      <c r="F127" s="3438"/>
      <c r="G127" s="3438"/>
      <c r="H127" s="504"/>
      <c r="I127" s="504"/>
      <c r="J127" s="504"/>
      <c r="K127" s="504"/>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v>90</v>
      </c>
      <c r="E128" s="485">
        <v>85</v>
      </c>
      <c r="F128" s="485"/>
      <c r="G128" s="485"/>
      <c r="H128" s="485"/>
      <c r="I128" s="485"/>
      <c r="J128" s="485"/>
      <c r="K128" s="485"/>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row r="134" spans="1:29">
      <c r="C134" s="3551" t="s">
        <v>4346</v>
      </c>
      <c r="D134" s="357">
        <v>50000</v>
      </c>
      <c r="E134" s="357">
        <v>50000</v>
      </c>
      <c r="F134" s="357">
        <f>E134</f>
        <v>50000</v>
      </c>
    </row>
    <row r="135" spans="1:29">
      <c r="C135" s="3551" t="s">
        <v>4344</v>
      </c>
      <c r="D135" s="357">
        <f>D134-D136</f>
        <v>50000</v>
      </c>
      <c r="E135" s="357">
        <f t="shared" ref="E135:F135" si="32">E134-E136</f>
        <v>42500</v>
      </c>
      <c r="F135" s="357">
        <f t="shared" si="32"/>
        <v>37500</v>
      </c>
      <c r="G135" s="357">
        <v>70000</v>
      </c>
    </row>
    <row r="136" spans="1:29">
      <c r="C136" s="3551" t="s">
        <v>4345</v>
      </c>
      <c r="D136" s="357">
        <f>D134*D137</f>
        <v>0</v>
      </c>
      <c r="E136" s="357">
        <f t="shared" ref="E136:F136" si="33">E134*E137</f>
        <v>7500</v>
      </c>
      <c r="F136" s="357">
        <f t="shared" si="33"/>
        <v>12500</v>
      </c>
      <c r="G136" s="357">
        <v>20000</v>
      </c>
    </row>
    <row r="137" spans="1:29">
      <c r="D137" s="3553">
        <v>0</v>
      </c>
      <c r="E137" s="3553">
        <v>0.15</v>
      </c>
      <c r="F137" s="3553">
        <v>0.25</v>
      </c>
    </row>
    <row r="138" spans="1:29">
      <c r="D138" s="357">
        <f>(D135*G135+D136*G136)/D134</f>
        <v>70000</v>
      </c>
      <c r="E138" s="357">
        <f>(E135*G135+E136*G136)/E134</f>
        <v>62500</v>
      </c>
      <c r="F138" s="357">
        <f>(F135*G135+F136*G136)/F134</f>
        <v>57500</v>
      </c>
    </row>
    <row r="139" spans="1:29">
      <c r="E139" s="3554">
        <f>(E138-D138)/E138</f>
        <v>-0.12</v>
      </c>
      <c r="F139" s="3554">
        <f>(F138-D138)/F138</f>
        <v>-0.21739130434782608</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878" t="s">
        <v>2068</v>
      </c>
      <c r="D1" s="3879"/>
      <c r="E1" s="3879"/>
      <c r="F1" s="3879"/>
      <c r="G1" s="3879"/>
      <c r="H1" s="3879"/>
      <c r="I1" s="3879"/>
      <c r="J1" s="3879"/>
      <c r="K1" s="3879"/>
      <c r="L1" s="3879"/>
      <c r="M1" s="3879"/>
      <c r="N1" s="3879"/>
      <c r="O1" s="3879"/>
      <c r="P1" s="3879"/>
      <c r="Q1" s="3879"/>
      <c r="R1" s="3879"/>
      <c r="S1" s="3880"/>
      <c r="T1" s="979" t="s">
        <v>2069</v>
      </c>
    </row>
    <row r="2" spans="1:45" s="655" customFormat="1" ht="38.25">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493" t="s">
        <v>4199</v>
      </c>
      <c r="C5" s="3494" t="s">
        <v>4200</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5"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5"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75">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875" t="s">
        <v>27</v>
      </c>
      <c r="D22" s="3876"/>
      <c r="E22" s="3876"/>
      <c r="F22" s="3876"/>
      <c r="G22" s="3876"/>
      <c r="H22" s="3876"/>
      <c r="I22" s="3876"/>
      <c r="J22" s="3876"/>
      <c r="K22" s="3876"/>
      <c r="L22" s="3876"/>
      <c r="M22" s="3876"/>
      <c r="N22" s="3876"/>
      <c r="O22" s="3876"/>
      <c r="P22" s="3876"/>
      <c r="Q22" s="3877"/>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4159</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4159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4159</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4159</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4159</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4159</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4159</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4159</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4159</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4159</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4159</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4159</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4159</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4159</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4159</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4159</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4159</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4159</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4159</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4159</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4159</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4159</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4159</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4159</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4159</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4159</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4159</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4159</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4159</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4159</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4159</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4159</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4159</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4159</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4159</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4159</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4159</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4159</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4159</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4159</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4159</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4159</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4159</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4159</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4159</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4159</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4159</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4159</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4159</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4159</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4159</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4159</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4159</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4159</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4159</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4159</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5">
      <c r="A4" s="355" t="s">
        <v>1753</v>
      </c>
      <c r="B4" s="356"/>
      <c r="C4" s="3793" t="s">
        <v>1754</v>
      </c>
      <c r="D4" s="3794"/>
      <c r="E4" s="3795" t="s">
        <v>1755</v>
      </c>
      <c r="F4" s="3796"/>
      <c r="G4" s="3793" t="s">
        <v>1756</v>
      </c>
      <c r="H4" s="3794"/>
      <c r="I4" s="3793" t="s">
        <v>1757</v>
      </c>
      <c r="J4" s="3794"/>
      <c r="K4" s="559" t="s">
        <v>1758</v>
      </c>
      <c r="L4" s="2686"/>
      <c r="M4" s="2687"/>
      <c r="N4" s="2687"/>
      <c r="O4" s="2687"/>
      <c r="P4" s="3827" t="s">
        <v>1759</v>
      </c>
      <c r="Q4" s="3828"/>
      <c r="R4" s="3825" t="s">
        <v>1755</v>
      </c>
      <c r="S4" s="3826"/>
      <c r="T4" s="3825" t="s">
        <v>1756</v>
      </c>
      <c r="U4" s="3826"/>
      <c r="V4" s="3806" t="s">
        <v>1757</v>
      </c>
      <c r="W4" s="3806"/>
      <c r="X4" s="1350"/>
      <c r="Y4" s="3825" t="s">
        <v>1759</v>
      </c>
      <c r="Z4" s="3826"/>
      <c r="AA4" s="3824" t="s">
        <v>1755</v>
      </c>
      <c r="AB4" s="3773" t="s">
        <v>1756</v>
      </c>
      <c r="AC4" s="3824" t="s">
        <v>1757</v>
      </c>
    </row>
    <row r="5" spans="1:30" ht="75" customHeight="1">
      <c r="A5" s="358"/>
      <c r="B5" s="359"/>
      <c r="C5" s="3783" t="s">
        <v>1657</v>
      </c>
      <c r="D5" s="3784"/>
      <c r="E5" s="3781" t="str">
        <f>土地案例!A2</f>
        <v>北京市朝阳区太阳宫乡0301-613地块B4综合性商业金融服务业用地</v>
      </c>
      <c r="F5" s="3782"/>
      <c r="G5" s="3783" t="str">
        <f>土地案例!A3</f>
        <v>北京市海淀区西八里庄0711-652、640、641地块B4综合性商业金融服务业用地</v>
      </c>
      <c r="H5" s="3784"/>
      <c r="I5" s="3783" t="s">
        <v>3438</v>
      </c>
      <c r="J5" s="3784"/>
      <c r="K5" s="559"/>
      <c r="L5" s="2686"/>
      <c r="M5" s="2687"/>
      <c r="N5" s="2687"/>
      <c r="O5" s="2687"/>
      <c r="P5" s="3829"/>
      <c r="Q5" s="3800"/>
      <c r="R5" s="3779"/>
      <c r="S5" s="3780"/>
      <c r="T5" s="3779"/>
      <c r="U5" s="3780"/>
      <c r="V5" s="3806"/>
      <c r="W5" s="3806"/>
      <c r="X5" s="1350"/>
      <c r="Y5" s="3779"/>
      <c r="Z5" s="3780"/>
      <c r="AA5" s="3773"/>
      <c r="AB5" s="3773"/>
      <c r="AC5" s="3773"/>
    </row>
    <row r="6" spans="1:30" ht="15.75" thickBot="1">
      <c r="A6" s="360"/>
      <c r="B6" s="361"/>
      <c r="C6" s="3785" t="s">
        <v>1661</v>
      </c>
      <c r="D6" s="3786"/>
      <c r="E6" s="3787" t="s">
        <v>1661</v>
      </c>
      <c r="F6" s="3788"/>
      <c r="G6" s="3785" t="s">
        <v>1661</v>
      </c>
      <c r="H6" s="3786"/>
      <c r="I6" s="3785" t="s">
        <v>1661</v>
      </c>
      <c r="J6" s="3786"/>
      <c r="K6" s="559" t="s">
        <v>1662</v>
      </c>
      <c r="L6" s="2686"/>
      <c r="M6" s="2687"/>
      <c r="N6" s="2687"/>
      <c r="O6" s="2687"/>
      <c r="P6" s="3830"/>
      <c r="Q6" s="3802"/>
      <c r="R6" s="3779"/>
      <c r="S6" s="3780"/>
      <c r="T6" s="3803"/>
      <c r="U6" s="3804"/>
      <c r="V6" s="3806"/>
      <c r="W6" s="3806"/>
      <c r="X6" s="1350"/>
      <c r="Y6" s="3803"/>
      <c r="Z6" s="3804"/>
      <c r="AA6" s="3774"/>
      <c r="AB6" s="3774"/>
      <c r="AC6" s="3774"/>
    </row>
    <row r="7" spans="1:30" s="108" customFormat="1" ht="15.75" thickBot="1">
      <c r="A7" s="362" t="s">
        <v>1663</v>
      </c>
      <c r="B7" s="363"/>
      <c r="C7" s="364">
        <f>'数据-取费表'!B2</f>
        <v>45309</v>
      </c>
      <c r="D7" s="365">
        <v>100</v>
      </c>
      <c r="E7" s="366">
        <f>土地案例!AC2</f>
        <v>45114.000497685185</v>
      </c>
      <c r="F7" s="367">
        <f>SUMIF(69:69,YEAR(E7)&amp;"-"&amp;INT((MONTH(E7)+2)/3),70:70)</f>
        <v>99</v>
      </c>
      <c r="G7" s="1969">
        <f>土地案例!AC3</f>
        <v>44167.000497685185</v>
      </c>
      <c r="H7" s="365">
        <f>SUMIF(69:69,YEAR(G7)&amp;"-"&amp;INT((MONTH(G7)+2)/3),70:70)</f>
        <v>0</v>
      </c>
      <c r="I7" s="1969">
        <v>44980.000497685185</v>
      </c>
      <c r="J7" s="365">
        <f>SUMIF(69:69,YEAR(I7)&amp;"-"&amp;INT((MONTH(I7)+2)/3),70:70)</f>
        <v>98</v>
      </c>
      <c r="K7" s="560"/>
      <c r="L7" s="2688"/>
      <c r="M7" s="2689"/>
      <c r="N7" s="2689"/>
      <c r="O7" s="2689"/>
      <c r="P7" s="3775" t="s">
        <v>1664</v>
      </c>
      <c r="Q7" s="3809"/>
      <c r="R7" s="700" t="s">
        <v>14</v>
      </c>
      <c r="S7" s="701">
        <f t="shared" ref="S7:S15" si="0">F7</f>
        <v>99</v>
      </c>
      <c r="T7" s="700" t="s">
        <v>14</v>
      </c>
      <c r="U7" s="701">
        <f t="shared" ref="U7:U15" si="1">H7</f>
        <v>0</v>
      </c>
      <c r="V7" s="700" t="s">
        <v>14</v>
      </c>
      <c r="W7" s="701">
        <f t="shared" ref="W7:W15" si="2">J7</f>
        <v>98</v>
      </c>
      <c r="X7" s="702"/>
      <c r="Y7" s="3775" t="s">
        <v>1664</v>
      </c>
      <c r="Z7" s="3776"/>
      <c r="AA7" s="703">
        <f>D7/F7</f>
        <v>1.0101010101010102</v>
      </c>
      <c r="AB7" s="703" t="e">
        <f>D7/H7</f>
        <v>#DIV/0!</v>
      </c>
      <c r="AC7" s="703">
        <f>D7/J7</f>
        <v>1.0204081632653061</v>
      </c>
    </row>
    <row r="8" spans="1:30" s="108" customFormat="1" ht="15.75" thickBot="1">
      <c r="A8" s="362" t="s">
        <v>1665</v>
      </c>
      <c r="B8" s="363"/>
      <c r="C8" s="368" t="s">
        <v>1666</v>
      </c>
      <c r="D8" s="365">
        <v>100</v>
      </c>
      <c r="E8" s="368" t="s">
        <v>3391</v>
      </c>
      <c r="F8" s="367">
        <f>SUMIF(72:72,E8,73:73)-SUMIF(72:72,C8,73:73)+100</f>
        <v>100</v>
      </c>
      <c r="G8" s="368" t="s">
        <v>3391</v>
      </c>
      <c r="H8" s="365">
        <f>SUMIF(72:72,G8,73:73)-SUMIF(72:72,C8,73:73)+100</f>
        <v>100</v>
      </c>
      <c r="I8" s="368" t="s">
        <v>3391</v>
      </c>
      <c r="J8" s="365">
        <f>SUMIF(72:72,I8,73:73)-SUMIF(72:72,C8,73:73)+100</f>
        <v>100</v>
      </c>
      <c r="K8" s="560"/>
      <c r="L8" s="2688"/>
      <c r="M8" s="2689"/>
      <c r="N8" s="2689"/>
      <c r="O8" s="2689"/>
      <c r="P8" s="3775" t="s">
        <v>1667</v>
      </c>
      <c r="Q8" s="3776"/>
      <c r="R8" s="700" t="s">
        <v>14</v>
      </c>
      <c r="S8" s="701">
        <f t="shared" si="0"/>
        <v>100</v>
      </c>
      <c r="T8" s="700" t="s">
        <v>14</v>
      </c>
      <c r="U8" s="701">
        <f t="shared" si="1"/>
        <v>100</v>
      </c>
      <c r="V8" s="700" t="s">
        <v>14</v>
      </c>
      <c r="W8" s="701">
        <f t="shared" si="2"/>
        <v>100</v>
      </c>
      <c r="X8" s="702"/>
      <c r="Y8" s="3775" t="s">
        <v>1667</v>
      </c>
      <c r="Z8" s="3776"/>
      <c r="AA8" s="703">
        <f t="shared" ref="AA8:AA45" si="3">D8/F8</f>
        <v>1</v>
      </c>
      <c r="AB8" s="703">
        <f t="shared" ref="AB8:AB45" si="4">D8/H8</f>
        <v>1</v>
      </c>
      <c r="AC8" s="703">
        <f t="shared" ref="AC8:AC45" si="5">D8/J8</f>
        <v>1</v>
      </c>
    </row>
    <row r="9" spans="1:30" s="108" customFormat="1" ht="28.5">
      <c r="A9" s="369" t="s">
        <v>1668</v>
      </c>
      <c r="B9" s="63" t="s">
        <v>1669</v>
      </c>
      <c r="C9" s="1972" t="s">
        <v>4178</v>
      </c>
      <c r="D9" s="126">
        <v>100</v>
      </c>
      <c r="E9" s="1972" t="s">
        <v>4179</v>
      </c>
      <c r="F9" s="126">
        <f>SUMIF(74:74,E9,75:75)-SUMIF(74:74,C9,75:75)+100</f>
        <v>100</v>
      </c>
      <c r="G9" s="1972" t="s">
        <v>4179</v>
      </c>
      <c r="H9" s="126">
        <f>SUMIF(74:74,G9,75:75)-SUMIF(74:74,C9,75:75)+100</f>
        <v>100</v>
      </c>
      <c r="I9" s="1972" t="s">
        <v>4179</v>
      </c>
      <c r="J9" s="126">
        <f>SUMIF(74:74,I9,75:75)-SUMIF(74:74,C9,75:75)+100</f>
        <v>100</v>
      </c>
      <c r="K9" s="560"/>
      <c r="L9" s="2688"/>
      <c r="M9" s="2689"/>
      <c r="N9" s="2689"/>
      <c r="O9" s="2743"/>
      <c r="P9" s="3819" t="s">
        <v>1670</v>
      </c>
      <c r="Q9" s="1338" t="str">
        <f t="shared" ref="Q9:Q15" si="6">B9</f>
        <v>用途</v>
      </c>
      <c r="R9" s="700" t="s">
        <v>14</v>
      </c>
      <c r="S9" s="701">
        <f t="shared" si="0"/>
        <v>100</v>
      </c>
      <c r="T9" s="700" t="s">
        <v>14</v>
      </c>
      <c r="U9" s="701">
        <f t="shared" si="1"/>
        <v>100</v>
      </c>
      <c r="V9" s="700" t="s">
        <v>14</v>
      </c>
      <c r="W9" s="701">
        <f t="shared" si="2"/>
        <v>100</v>
      </c>
      <c r="X9" s="702"/>
      <c r="Y9" s="3721" t="s">
        <v>1671</v>
      </c>
      <c r="Z9" s="52" t="str">
        <f t="shared" ref="Z9:Z15" si="7">Q9</f>
        <v>用途</v>
      </c>
      <c r="AA9" s="703">
        <f t="shared" si="3"/>
        <v>1</v>
      </c>
      <c r="AB9" s="703">
        <f t="shared" si="4"/>
        <v>1</v>
      </c>
      <c r="AC9" s="703">
        <f t="shared" si="5"/>
        <v>1</v>
      </c>
    </row>
    <row r="10" spans="1:30" s="378" customFormat="1" ht="27">
      <c r="A10" s="374"/>
      <c r="B10" s="375" t="s">
        <v>1672</v>
      </c>
      <c r="C10" s="383">
        <f>'数据-取费表'!F6</f>
        <v>20.64</v>
      </c>
      <c r="D10" s="127">
        <v>100</v>
      </c>
      <c r="E10" s="416" t="s">
        <v>3431</v>
      </c>
      <c r="F10" s="127">
        <f>ROUND(100/'数据-取费表'!G16,0)</f>
        <v>125</v>
      </c>
      <c r="G10" s="414" t="s">
        <v>4198</v>
      </c>
      <c r="H10" s="127">
        <f>ROUND(100/'数据-取费表'!G16,0)</f>
        <v>125</v>
      </c>
      <c r="I10" s="414" t="s">
        <v>3431</v>
      </c>
      <c r="J10" s="127">
        <f>ROUND(100/'数据-取费表'!G16,0)</f>
        <v>125</v>
      </c>
      <c r="K10" s="620"/>
      <c r="L10" s="2690"/>
      <c r="M10" s="2691"/>
      <c r="N10" s="2691"/>
      <c r="O10" s="2744"/>
      <c r="P10" s="3819"/>
      <c r="Q10" s="1338" t="str">
        <f t="shared" si="6"/>
        <v>土地使用年限（年）</v>
      </c>
      <c r="R10" s="700" t="s">
        <v>14</v>
      </c>
      <c r="S10" s="701">
        <f t="shared" si="0"/>
        <v>125</v>
      </c>
      <c r="T10" s="700" t="s">
        <v>14</v>
      </c>
      <c r="U10" s="701">
        <f t="shared" si="1"/>
        <v>125</v>
      </c>
      <c r="V10" s="700" t="s">
        <v>14</v>
      </c>
      <c r="W10" s="701">
        <f t="shared" si="2"/>
        <v>125</v>
      </c>
      <c r="X10" s="702"/>
      <c r="Y10" s="3721"/>
      <c r="Z10" s="52" t="str">
        <f t="shared" si="7"/>
        <v>土地使用年限（年）</v>
      </c>
      <c r="AA10" s="703">
        <f t="shared" si="3"/>
        <v>0.8</v>
      </c>
      <c r="AB10" s="703">
        <f t="shared" si="4"/>
        <v>0.8</v>
      </c>
      <c r="AC10" s="703">
        <f t="shared" si="5"/>
        <v>0.8</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819"/>
      <c r="Q11" s="1338" t="str">
        <f t="shared" si="6"/>
        <v>容积率</v>
      </c>
      <c r="R11" s="700" t="s">
        <v>14</v>
      </c>
      <c r="S11" s="701">
        <f t="shared" si="0"/>
        <v>102</v>
      </c>
      <c r="T11" s="700" t="s">
        <v>14</v>
      </c>
      <c r="U11" s="701">
        <f t="shared" si="1"/>
        <v>102</v>
      </c>
      <c r="V11" s="700" t="s">
        <v>14</v>
      </c>
      <c r="W11" s="701">
        <f t="shared" si="2"/>
        <v>102</v>
      </c>
      <c r="X11" s="702"/>
      <c r="Y11" s="3721"/>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819"/>
      <c r="Q12" s="1338" t="str">
        <f t="shared" si="6"/>
        <v>配建</v>
      </c>
      <c r="R12" s="700" t="s">
        <v>14</v>
      </c>
      <c r="S12" s="701">
        <f t="shared" si="0"/>
        <v>100</v>
      </c>
      <c r="T12" s="700" t="s">
        <v>14</v>
      </c>
      <c r="U12" s="701">
        <f t="shared" si="1"/>
        <v>100</v>
      </c>
      <c r="V12" s="700" t="s">
        <v>14</v>
      </c>
      <c r="W12" s="701">
        <f t="shared" si="2"/>
        <v>100</v>
      </c>
      <c r="X12" s="702"/>
      <c r="Y12" s="3721"/>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819"/>
      <c r="Q13" s="1338">
        <f t="shared" si="6"/>
        <v>111</v>
      </c>
      <c r="R13" s="700" t="s">
        <v>14</v>
      </c>
      <c r="S13" s="701">
        <f t="shared" si="0"/>
        <v>100</v>
      </c>
      <c r="T13" s="700" t="s">
        <v>14</v>
      </c>
      <c r="U13" s="701">
        <f t="shared" si="1"/>
        <v>100</v>
      </c>
      <c r="V13" s="700" t="s">
        <v>14</v>
      </c>
      <c r="W13" s="701">
        <f t="shared" si="2"/>
        <v>100</v>
      </c>
      <c r="X13" s="702"/>
      <c r="Y13" s="3721"/>
      <c r="Z13" s="52">
        <f t="shared" si="7"/>
        <v>111</v>
      </c>
      <c r="AA13" s="703">
        <f>D13/F13</f>
        <v>1</v>
      </c>
      <c r="AB13" s="703">
        <f>D13/H13</f>
        <v>1</v>
      </c>
      <c r="AC13" s="703">
        <f>D13/J13</f>
        <v>1</v>
      </c>
    </row>
    <row r="14" spans="1:30" ht="15.75"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819"/>
      <c r="Q14" s="1338">
        <f t="shared" si="6"/>
        <v>111</v>
      </c>
      <c r="R14" s="700" t="s">
        <v>14</v>
      </c>
      <c r="S14" s="701">
        <f t="shared" si="0"/>
        <v>100</v>
      </c>
      <c r="T14" s="700" t="s">
        <v>14</v>
      </c>
      <c r="U14" s="701">
        <f t="shared" si="1"/>
        <v>100</v>
      </c>
      <c r="V14" s="700" t="s">
        <v>14</v>
      </c>
      <c r="W14" s="701">
        <f t="shared" si="2"/>
        <v>100</v>
      </c>
      <c r="X14" s="702"/>
      <c r="Y14" s="3721"/>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812" t="s">
        <v>1675</v>
      </c>
      <c r="Q15" s="1347" t="str">
        <f t="shared" si="6"/>
        <v>居住社区成熟度</v>
      </c>
      <c r="R15" s="704" t="s">
        <v>14</v>
      </c>
      <c r="S15" s="705">
        <f t="shared" si="0"/>
        <v>100</v>
      </c>
      <c r="T15" s="704" t="s">
        <v>14</v>
      </c>
      <c r="U15" s="705">
        <f t="shared" si="1"/>
        <v>100</v>
      </c>
      <c r="V15" s="704" t="s">
        <v>14</v>
      </c>
      <c r="W15" s="705">
        <f t="shared" si="2"/>
        <v>100</v>
      </c>
      <c r="X15" s="1350"/>
      <c r="Y15" s="3812"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813"/>
      <c r="Q16" s="1347"/>
      <c r="R16" s="704"/>
      <c r="S16" s="705"/>
      <c r="T16" s="704"/>
      <c r="U16" s="705"/>
      <c r="V16" s="704"/>
      <c r="W16" s="705"/>
      <c r="X16" s="1350"/>
      <c r="Y16" s="3813"/>
      <c r="Z16" s="1351"/>
      <c r="AA16" s="1348">
        <v>1</v>
      </c>
      <c r="AB16" s="1348">
        <v>1</v>
      </c>
      <c r="AC16" s="1348">
        <v>1</v>
      </c>
    </row>
    <row r="17" spans="1:29" ht="15">
      <c r="A17" s="379"/>
      <c r="B17" s="402" t="s">
        <v>1761</v>
      </c>
      <c r="C17" s="1950" t="str">
        <f>估价对象房地状况!C16</f>
        <v>一般</v>
      </c>
      <c r="D17" s="401">
        <v>100</v>
      </c>
      <c r="E17" s="3457" t="s">
        <v>3439</v>
      </c>
      <c r="F17" s="401">
        <f>SUMIF(89:89,E18,90:90)-SUMIF(89:89,C18,90:90)+100</f>
        <v>102</v>
      </c>
      <c r="G17" s="3457" t="s">
        <v>3399</v>
      </c>
      <c r="H17" s="406">
        <f>SUMIF(89:89,G18,90:90)-SUMIF(89:89,C18,90:90)+100</f>
        <v>100</v>
      </c>
      <c r="I17" s="3458" t="s">
        <v>3439</v>
      </c>
      <c r="J17" s="406">
        <f>SUMIF(89:89,I18,90:90)-SUMIF(89:89,C18,90:90)+100</f>
        <v>102</v>
      </c>
      <c r="K17" s="621">
        <f>'比较法-办公'!K15</f>
        <v>2</v>
      </c>
      <c r="L17" s="2693"/>
      <c r="M17" s="2687"/>
      <c r="N17" s="2687"/>
      <c r="O17" s="2745"/>
      <c r="P17" s="3813"/>
      <c r="Q17" s="1347" t="str">
        <f>B17</f>
        <v>商业繁华度</v>
      </c>
      <c r="R17" s="704" t="s">
        <v>14</v>
      </c>
      <c r="S17" s="705">
        <f>F17</f>
        <v>102</v>
      </c>
      <c r="T17" s="704" t="s">
        <v>14</v>
      </c>
      <c r="U17" s="705">
        <f>H17</f>
        <v>100</v>
      </c>
      <c r="V17" s="704" t="s">
        <v>14</v>
      </c>
      <c r="W17" s="705">
        <f>J17</f>
        <v>102</v>
      </c>
      <c r="X17" s="1350"/>
      <c r="Y17" s="3813"/>
      <c r="Z17" s="1351" t="str">
        <f>Q17</f>
        <v>商业繁华度</v>
      </c>
      <c r="AA17" s="1348">
        <f t="shared" si="3"/>
        <v>0.98039215686274506</v>
      </c>
      <c r="AB17" s="1348">
        <f t="shared" si="4"/>
        <v>1</v>
      </c>
      <c r="AC17" s="1348">
        <f t="shared" si="5"/>
        <v>0.98039215686274506</v>
      </c>
    </row>
    <row r="18" spans="1:29" ht="15">
      <c r="A18" s="379"/>
      <c r="B18" s="407"/>
      <c r="C18" s="1896" t="s">
        <v>3399</v>
      </c>
      <c r="D18" s="401"/>
      <c r="E18" s="1898" t="s">
        <v>3388</v>
      </c>
      <c r="F18" s="401"/>
      <c r="G18" s="1898" t="s">
        <v>3399</v>
      </c>
      <c r="H18" s="399"/>
      <c r="I18" s="1892" t="s">
        <v>3388</v>
      </c>
      <c r="J18" s="399"/>
      <c r="K18" s="620"/>
      <c r="L18" s="2693"/>
      <c r="M18" s="2687"/>
      <c r="N18" s="2687"/>
      <c r="O18" s="2745"/>
      <c r="P18" s="3813"/>
      <c r="Q18" s="1347"/>
      <c r="R18" s="704"/>
      <c r="S18" s="705"/>
      <c r="T18" s="704"/>
      <c r="U18" s="705"/>
      <c r="V18" s="704"/>
      <c r="W18" s="705"/>
      <c r="X18" s="1350"/>
      <c r="Y18" s="3813"/>
      <c r="Z18" s="1351"/>
      <c r="AA18" s="1348">
        <v>1</v>
      </c>
      <c r="AB18" s="1348">
        <v>1</v>
      </c>
      <c r="AC18" s="1348">
        <v>1</v>
      </c>
    </row>
    <row r="19" spans="1:29" ht="15">
      <c r="A19" s="379"/>
      <c r="B19" s="402" t="s">
        <v>1795</v>
      </c>
      <c r="C19" s="1950" t="str">
        <f>估价对象房地状况!C17</f>
        <v>较好</v>
      </c>
      <c r="D19" s="406">
        <v>100</v>
      </c>
      <c r="E19" s="408" t="s">
        <v>3388</v>
      </c>
      <c r="F19" s="406">
        <f>SUMIF(91:91,E20,92:92)-SUMIF(91:91,C20,92:92)+100</f>
        <v>100</v>
      </c>
      <c r="G19" s="3457" t="s">
        <v>3439</v>
      </c>
      <c r="H19" s="401">
        <f>SUMIF(91:91,G20,92:92)-SUMIF(91:91,C20,92:92)+100</f>
        <v>100</v>
      </c>
      <c r="I19" s="410" t="s">
        <v>4206</v>
      </c>
      <c r="J19" s="401">
        <f>SUMIF(91:91,I20,92:92)-SUMIF(91:91,C20,92:92)+100</f>
        <v>96</v>
      </c>
      <c r="K19" s="621">
        <v>2</v>
      </c>
      <c r="L19" s="2693"/>
      <c r="M19" s="2687"/>
      <c r="N19" s="2687"/>
      <c r="O19" s="2745"/>
      <c r="P19" s="3813"/>
      <c r="Q19" s="1347" t="str">
        <f>B19</f>
        <v>办公集聚程度</v>
      </c>
      <c r="R19" s="704" t="s">
        <v>14</v>
      </c>
      <c r="S19" s="705">
        <f>F19</f>
        <v>100</v>
      </c>
      <c r="T19" s="704" t="s">
        <v>14</v>
      </c>
      <c r="U19" s="705">
        <f>H19</f>
        <v>100</v>
      </c>
      <c r="V19" s="704" t="s">
        <v>14</v>
      </c>
      <c r="W19" s="705">
        <f>J19</f>
        <v>96</v>
      </c>
      <c r="X19" s="1350"/>
      <c r="Y19" s="3813"/>
      <c r="Z19" s="1351" t="str">
        <f>Q19</f>
        <v>办公集聚程度</v>
      </c>
      <c r="AA19" s="1348">
        <f t="shared" si="3"/>
        <v>1</v>
      </c>
      <c r="AB19" s="1348">
        <f t="shared" si="4"/>
        <v>1</v>
      </c>
      <c r="AC19" s="1348">
        <f t="shared" si="5"/>
        <v>1.0416666666666667</v>
      </c>
    </row>
    <row r="20" spans="1:29" ht="15">
      <c r="A20" s="379"/>
      <c r="B20" s="407"/>
      <c r="C20" s="1896" t="s">
        <v>3388</v>
      </c>
      <c r="D20" s="399"/>
      <c r="E20" s="1893" t="s">
        <v>3388</v>
      </c>
      <c r="F20" s="399"/>
      <c r="G20" s="1898" t="s">
        <v>3388</v>
      </c>
      <c r="H20" s="399"/>
      <c r="I20" s="1892" t="s">
        <v>4206</v>
      </c>
      <c r="J20" s="399"/>
      <c r="K20" s="620"/>
      <c r="L20" s="2693"/>
      <c r="M20" s="2687"/>
      <c r="N20" s="2687"/>
      <c r="O20" s="2745"/>
      <c r="P20" s="3813"/>
      <c r="Q20" s="1347"/>
      <c r="R20" s="704"/>
      <c r="S20" s="705"/>
      <c r="T20" s="704"/>
      <c r="U20" s="705"/>
      <c r="V20" s="704"/>
      <c r="W20" s="705"/>
      <c r="X20" s="1350"/>
      <c r="Y20" s="3813"/>
      <c r="Z20" s="1351"/>
      <c r="AA20" s="1348">
        <v>1</v>
      </c>
      <c r="AB20" s="1348">
        <v>1</v>
      </c>
      <c r="AC20" s="1348">
        <v>1</v>
      </c>
    </row>
    <row r="21" spans="1:29" ht="15">
      <c r="A21" s="379"/>
      <c r="B21" s="402" t="s">
        <v>1817</v>
      </c>
      <c r="C21" s="1895" t="str">
        <f>估价对象房地状况!C18</f>
        <v>较好</v>
      </c>
      <c r="D21" s="401">
        <v>100</v>
      </c>
      <c r="E21" s="403" t="s">
        <v>3388</v>
      </c>
      <c r="F21" s="406">
        <f>SUMIF(93:93,E22,94:94)-SUMIF(93:93,C22,94:94)+100</f>
        <v>100</v>
      </c>
      <c r="G21" s="403" t="s">
        <v>3388</v>
      </c>
      <c r="H21" s="401">
        <f>SUMIF(93:93,G22,94:94)-SUMIF(93:93,C22,94:94)+100</f>
        <v>100</v>
      </c>
      <c r="I21" s="3457" t="s">
        <v>3399</v>
      </c>
      <c r="J21" s="401">
        <f>SUMIF(93:93,I22,94:94)-SUMIF(93:93,C22,94:94)+100</f>
        <v>98</v>
      </c>
      <c r="K21" s="621">
        <v>2</v>
      </c>
      <c r="L21" s="2693"/>
      <c r="M21" s="2687"/>
      <c r="N21" s="2687"/>
      <c r="O21" s="2745"/>
      <c r="P21" s="3813"/>
      <c r="Q21" s="1347" t="str">
        <f>B21</f>
        <v>交通便捷度</v>
      </c>
      <c r="R21" s="704" t="s">
        <v>14</v>
      </c>
      <c r="S21" s="705">
        <f>F21</f>
        <v>100</v>
      </c>
      <c r="T21" s="704" t="s">
        <v>14</v>
      </c>
      <c r="U21" s="705">
        <f>H21</f>
        <v>100</v>
      </c>
      <c r="V21" s="704" t="s">
        <v>14</v>
      </c>
      <c r="W21" s="705">
        <f>J21</f>
        <v>98</v>
      </c>
      <c r="X21" s="1350"/>
      <c r="Y21" s="3813"/>
      <c r="Z21" s="1351" t="str">
        <f>Q21</f>
        <v>交通便捷度</v>
      </c>
      <c r="AA21" s="1348">
        <f t="shared" si="3"/>
        <v>1</v>
      </c>
      <c r="AB21" s="1348">
        <f t="shared" si="4"/>
        <v>1</v>
      </c>
      <c r="AC21" s="1348">
        <f t="shared" si="5"/>
        <v>1.0204081632653061</v>
      </c>
    </row>
    <row r="22" spans="1:29" ht="15">
      <c r="A22" s="379"/>
      <c r="B22" s="1127"/>
      <c r="C22" s="398" t="s">
        <v>3388</v>
      </c>
      <c r="D22" s="401"/>
      <c r="E22" s="1893" t="s">
        <v>3388</v>
      </c>
      <c r="F22" s="399"/>
      <c r="G22" s="1893" t="s">
        <v>3388</v>
      </c>
      <c r="H22" s="399"/>
      <c r="I22" s="1898" t="s">
        <v>3399</v>
      </c>
      <c r="J22" s="399"/>
      <c r="K22" s="620"/>
      <c r="L22" s="2693"/>
      <c r="M22" s="2687"/>
      <c r="N22" s="2687"/>
      <c r="O22" s="2745"/>
      <c r="P22" s="3813"/>
      <c r="Q22" s="1347"/>
      <c r="R22" s="704"/>
      <c r="S22" s="705"/>
      <c r="T22" s="704"/>
      <c r="U22" s="705"/>
      <c r="V22" s="704"/>
      <c r="W22" s="705"/>
      <c r="X22" s="1350"/>
      <c r="Y22" s="3813"/>
      <c r="Z22" s="1351"/>
      <c r="AA22" s="1348">
        <v>1</v>
      </c>
      <c r="AB22" s="1348">
        <v>1</v>
      </c>
      <c r="AC22" s="1348">
        <v>1</v>
      </c>
    </row>
    <row r="23" spans="1:29" ht="15">
      <c r="A23" s="358"/>
      <c r="B23" s="402" t="s">
        <v>1855</v>
      </c>
      <c r="C23" s="1132">
        <f>估价对象房地状况!C19</f>
        <v>0</v>
      </c>
      <c r="D23" s="406">
        <v>100</v>
      </c>
      <c r="E23" s="403" t="s">
        <v>3388</v>
      </c>
      <c r="F23" s="406">
        <f>SUMIF(95:95,E24,96:96)-SUMIF(95:95,C24,96:96)+100</f>
        <v>100</v>
      </c>
      <c r="G23" s="405" t="s">
        <v>3388</v>
      </c>
      <c r="H23" s="406">
        <f>SUMIF(95:95,G24,96:96)-SUMIF(95:95,C24,96:96)+100</f>
        <v>100</v>
      </c>
      <c r="I23" s="405" t="s">
        <v>3388</v>
      </c>
      <c r="J23" s="406">
        <f>SUMIF(95:95,I24,96:96)-SUMIF(95:95,C24,96:96)+100</f>
        <v>100</v>
      </c>
      <c r="K23" s="621">
        <v>2</v>
      </c>
      <c r="L23" s="2693"/>
      <c r="M23" s="2687"/>
      <c r="N23" s="2687"/>
      <c r="O23" s="2745"/>
      <c r="P23" s="3813"/>
      <c r="Q23" s="1347" t="str">
        <f t="shared" ref="Q23:Q37" si="8">B23</f>
        <v>区域土地利用方向</v>
      </c>
      <c r="R23" s="704" t="s">
        <v>14</v>
      </c>
      <c r="S23" s="705">
        <f>F23</f>
        <v>100</v>
      </c>
      <c r="T23" s="704" t="s">
        <v>14</v>
      </c>
      <c r="U23" s="705">
        <f>H23</f>
        <v>100</v>
      </c>
      <c r="V23" s="704" t="s">
        <v>14</v>
      </c>
      <c r="W23" s="705">
        <f>J23</f>
        <v>100</v>
      </c>
      <c r="X23" s="1350"/>
      <c r="Y23" s="3813"/>
      <c r="Z23" s="1351" t="str">
        <f>Q23</f>
        <v>区域土地利用方向</v>
      </c>
      <c r="AA23" s="1348">
        <f t="shared" si="3"/>
        <v>1</v>
      </c>
      <c r="AB23" s="1348">
        <f t="shared" si="4"/>
        <v>1</v>
      </c>
      <c r="AC23" s="1348">
        <f t="shared" si="5"/>
        <v>1</v>
      </c>
    </row>
    <row r="24" spans="1:29" ht="15">
      <c r="A24" s="358"/>
      <c r="B24" s="407"/>
      <c r="C24" s="398" t="s">
        <v>3388</v>
      </c>
      <c r="D24" s="399"/>
      <c r="E24" s="1893" t="s">
        <v>3388</v>
      </c>
      <c r="F24" s="399"/>
      <c r="G24" s="1892" t="s">
        <v>3388</v>
      </c>
      <c r="H24" s="399"/>
      <c r="I24" s="1892" t="s">
        <v>3388</v>
      </c>
      <c r="J24" s="399"/>
      <c r="K24" s="736"/>
      <c r="L24" s="2693"/>
      <c r="M24" s="2687"/>
      <c r="N24" s="2687"/>
      <c r="O24" s="2745"/>
      <c r="P24" s="3813"/>
      <c r="Q24" s="1347"/>
      <c r="R24" s="704"/>
      <c r="S24" s="705"/>
      <c r="T24" s="704"/>
      <c r="U24" s="705"/>
      <c r="V24" s="704"/>
      <c r="W24" s="705"/>
      <c r="X24" s="1350"/>
      <c r="Y24" s="3813"/>
      <c r="Z24" s="1351"/>
      <c r="AA24" s="1348"/>
      <c r="AB24" s="1348"/>
      <c r="AC24" s="1348"/>
    </row>
    <row r="25" spans="1:29" ht="27">
      <c r="A25" s="358"/>
      <c r="B25" s="1127" t="s">
        <v>1856</v>
      </c>
      <c r="C25" s="1950" t="str">
        <f>估价对象房地状况!C20</f>
        <v>较好</v>
      </c>
      <c r="D25" s="401">
        <v>100</v>
      </c>
      <c r="E25" s="405" t="s">
        <v>3388</v>
      </c>
      <c r="F25" s="401">
        <f>SUMIF(97:97,E26,98:98)-SUMIF(97:97,C26,98:98)+100</f>
        <v>100</v>
      </c>
      <c r="G25" s="405" t="s">
        <v>3388</v>
      </c>
      <c r="H25" s="401">
        <f>SUMIF(97:97,G26,98:98)-SUMIF(97:97,C26,98:98)+100</f>
        <v>100</v>
      </c>
      <c r="I25" s="405" t="s">
        <v>3388</v>
      </c>
      <c r="J25" s="401">
        <f>SUMIF(97:97,I26,98:98)-SUMIF(97:97,C26,98:98)+100</f>
        <v>100</v>
      </c>
      <c r="K25" s="621">
        <v>2</v>
      </c>
      <c r="L25" s="2693"/>
      <c r="M25" s="2687"/>
      <c r="N25" s="2687"/>
      <c r="O25" s="2745"/>
      <c r="P25" s="3813"/>
      <c r="Q25" s="1347" t="str">
        <f t="shared" si="8"/>
        <v>自然及人文环境状况</v>
      </c>
      <c r="R25" s="704" t="s">
        <v>14</v>
      </c>
      <c r="S25" s="705">
        <f>F25</f>
        <v>100</v>
      </c>
      <c r="T25" s="704" t="s">
        <v>14</v>
      </c>
      <c r="U25" s="705">
        <f>H25</f>
        <v>100</v>
      </c>
      <c r="V25" s="704" t="s">
        <v>14</v>
      </c>
      <c r="W25" s="705">
        <f>J25</f>
        <v>100</v>
      </c>
      <c r="X25" s="1350"/>
      <c r="Y25" s="3813"/>
      <c r="Z25" s="1351" t="str">
        <f>Q25</f>
        <v>自然及人文环境状况</v>
      </c>
      <c r="AA25" s="1348">
        <f t="shared" si="3"/>
        <v>1</v>
      </c>
      <c r="AB25" s="1348">
        <f t="shared" si="4"/>
        <v>1</v>
      </c>
      <c r="AC25" s="1348">
        <f t="shared" si="5"/>
        <v>1</v>
      </c>
    </row>
    <row r="26" spans="1:29" ht="15">
      <c r="A26" s="358"/>
      <c r="B26" s="407"/>
      <c r="C26" s="398" t="s">
        <v>3388</v>
      </c>
      <c r="D26" s="399"/>
      <c r="E26" s="1899" t="s">
        <v>3388</v>
      </c>
      <c r="F26" s="399"/>
      <c r="G26" s="1899" t="s">
        <v>3388</v>
      </c>
      <c r="H26" s="399"/>
      <c r="I26" s="398" t="s">
        <v>3388</v>
      </c>
      <c r="J26" s="399"/>
      <c r="K26" s="620"/>
      <c r="L26" s="2693"/>
      <c r="M26" s="2687"/>
      <c r="N26" s="2687"/>
      <c r="O26" s="2745"/>
      <c r="P26" s="3813"/>
      <c r="Q26" s="1347"/>
      <c r="R26" s="704"/>
      <c r="S26" s="705"/>
      <c r="T26" s="704"/>
      <c r="U26" s="705"/>
      <c r="V26" s="704"/>
      <c r="W26" s="705"/>
      <c r="X26" s="1350"/>
      <c r="Y26" s="3813"/>
      <c r="Z26" s="1351"/>
      <c r="AA26" s="1348">
        <v>1</v>
      </c>
      <c r="AB26" s="1348">
        <v>1</v>
      </c>
      <c r="AC26" s="1348">
        <v>1</v>
      </c>
    </row>
    <row r="27" spans="1:29" s="108" customFormat="1" ht="15">
      <c r="A27" s="597"/>
      <c r="B27" s="1127" t="s">
        <v>1762</v>
      </c>
      <c r="C27" s="1895" t="str">
        <f>估价对象房地状况!C21</f>
        <v>较好</v>
      </c>
      <c r="D27" s="401">
        <v>100</v>
      </c>
      <c r="E27" s="405" t="s">
        <v>3388</v>
      </c>
      <c r="F27" s="401">
        <f>SUMIF(99:99,E28,100:100)-SUMIF(99:99,C28,100:100)+100</f>
        <v>100</v>
      </c>
      <c r="G27" s="405" t="s">
        <v>3388</v>
      </c>
      <c r="H27" s="401">
        <f>SUMIF(99:99,G28,100:100)-SUMIF(99:99,C28,100:100)+100</f>
        <v>100</v>
      </c>
      <c r="I27" s="405" t="s">
        <v>3388</v>
      </c>
      <c r="J27" s="401">
        <f>SUMIF(99:99,I28,100:100)-SUMIF(99:99,C28,100:100)+100</f>
        <v>100</v>
      </c>
      <c r="K27" s="621">
        <v>2</v>
      </c>
      <c r="L27" s="2688"/>
      <c r="M27" s="2689"/>
      <c r="N27" s="2689"/>
      <c r="O27" s="2743"/>
      <c r="P27" s="3813"/>
      <c r="Q27" s="1338" t="str">
        <f t="shared" si="8"/>
        <v>公共配套设施</v>
      </c>
      <c r="R27" s="700" t="s">
        <v>14</v>
      </c>
      <c r="S27" s="701">
        <f>F27</f>
        <v>100</v>
      </c>
      <c r="T27" s="700" t="s">
        <v>14</v>
      </c>
      <c r="U27" s="701">
        <f>H27</f>
        <v>100</v>
      </c>
      <c r="V27" s="700" t="s">
        <v>14</v>
      </c>
      <c r="W27" s="701">
        <f>J27</f>
        <v>100</v>
      </c>
      <c r="X27" s="702"/>
      <c r="Y27" s="3813"/>
      <c r="Z27" s="52" t="str">
        <f>Q27</f>
        <v>公共配套设施</v>
      </c>
      <c r="AA27" s="1348">
        <f>D27/F27</f>
        <v>1</v>
      </c>
      <c r="AB27" s="1348">
        <f>D27/H27</f>
        <v>1</v>
      </c>
      <c r="AC27" s="1348">
        <f>D27/J27</f>
        <v>1</v>
      </c>
    </row>
    <row r="28" spans="1:29" s="108" customFormat="1" ht="15">
      <c r="A28" s="597"/>
      <c r="B28" s="407"/>
      <c r="C28" s="398" t="s">
        <v>3388</v>
      </c>
      <c r="D28" s="399"/>
      <c r="E28" s="1899" t="s">
        <v>3388</v>
      </c>
      <c r="F28" s="399"/>
      <c r="G28" s="1899" t="s">
        <v>3388</v>
      </c>
      <c r="H28" s="399"/>
      <c r="I28" s="398" t="s">
        <v>3388</v>
      </c>
      <c r="J28" s="399"/>
      <c r="K28" s="620"/>
      <c r="L28" s="2688"/>
      <c r="M28" s="2689"/>
      <c r="N28" s="2689"/>
      <c r="O28" s="2743"/>
      <c r="P28" s="3813"/>
      <c r="Q28" s="1338"/>
      <c r="R28" s="700"/>
      <c r="S28" s="701"/>
      <c r="T28" s="700"/>
      <c r="U28" s="701"/>
      <c r="V28" s="700"/>
      <c r="W28" s="701"/>
      <c r="X28" s="702"/>
      <c r="Y28" s="3813"/>
      <c r="Z28" s="52"/>
      <c r="AA28" s="1348">
        <v>1</v>
      </c>
      <c r="AB28" s="1348">
        <v>1</v>
      </c>
      <c r="AC28" s="1348">
        <v>1</v>
      </c>
    </row>
    <row r="29" spans="1:29" s="108" customFormat="1" ht="15">
      <c r="A29" s="597"/>
      <c r="B29" s="1127" t="s">
        <v>1763</v>
      </c>
      <c r="C29" s="1895" t="str">
        <f>估价对象房地状况!C22</f>
        <v>七通</v>
      </c>
      <c r="D29" s="401">
        <v>100</v>
      </c>
      <c r="E29" s="403" t="s">
        <v>3393</v>
      </c>
      <c r="F29" s="401">
        <f>SUMIF(101:101,E30,102:102)-SUMIF(101:101,C30,102:102)+100</f>
        <v>100</v>
      </c>
      <c r="G29" s="403" t="s">
        <v>3393</v>
      </c>
      <c r="H29" s="401">
        <f>SUMIF(101:101,G30,102:102)-SUMIF(101:101,C30,102:102)+100</f>
        <v>100</v>
      </c>
      <c r="I29" s="405" t="s">
        <v>3393</v>
      </c>
      <c r="J29" s="401">
        <f>SUMIF(101:101,I30,102:102)-SUMIF(101:101,C30,102:102)+100</f>
        <v>100</v>
      </c>
      <c r="K29" s="621">
        <v>2</v>
      </c>
      <c r="L29" s="2688"/>
      <c r="M29" s="2689"/>
      <c r="N29" s="2689"/>
      <c r="O29" s="2743"/>
      <c r="P29" s="3813"/>
      <c r="Q29" s="1338" t="str">
        <f t="shared" ref="Q29" si="9">B29</f>
        <v>基础设施水平</v>
      </c>
      <c r="R29" s="700" t="s">
        <v>14</v>
      </c>
      <c r="S29" s="701">
        <f>F29</f>
        <v>100</v>
      </c>
      <c r="T29" s="700" t="s">
        <v>14</v>
      </c>
      <c r="U29" s="701">
        <f>H29</f>
        <v>100</v>
      </c>
      <c r="V29" s="700" t="s">
        <v>14</v>
      </c>
      <c r="W29" s="701">
        <f>J29</f>
        <v>100</v>
      </c>
      <c r="X29" s="702"/>
      <c r="Y29" s="3813"/>
      <c r="Z29" s="52" t="str">
        <f>Q29</f>
        <v>基础设施水平</v>
      </c>
      <c r="AA29" s="1348">
        <f>D29/F29</f>
        <v>1</v>
      </c>
      <c r="AB29" s="1348">
        <f>D29/H29</f>
        <v>1</v>
      </c>
      <c r="AC29" s="1348">
        <f>D29/J29</f>
        <v>1</v>
      </c>
    </row>
    <row r="30" spans="1:29" s="108" customFormat="1" ht="15.75" thickBot="1">
      <c r="A30" s="597"/>
      <c r="B30" s="407"/>
      <c r="C30" s="1973" t="s">
        <v>3393</v>
      </c>
      <c r="D30" s="399"/>
      <c r="E30" s="1974" t="s">
        <v>3393</v>
      </c>
      <c r="F30" s="399"/>
      <c r="G30" s="1974" t="s">
        <v>3393</v>
      </c>
      <c r="H30" s="399"/>
      <c r="I30" s="1974" t="s">
        <v>3393</v>
      </c>
      <c r="J30" s="399"/>
      <c r="K30" s="620"/>
      <c r="L30" s="2688"/>
      <c r="M30" s="2689"/>
      <c r="N30" s="2689"/>
      <c r="O30" s="2743"/>
      <c r="P30" s="3813"/>
      <c r="Q30" s="1338"/>
      <c r="R30" s="700"/>
      <c r="S30" s="701"/>
      <c r="T30" s="700"/>
      <c r="U30" s="701"/>
      <c r="V30" s="700"/>
      <c r="W30" s="701"/>
      <c r="X30" s="702"/>
      <c r="Y30" s="3813"/>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813"/>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813"/>
      <c r="Z31" s="1351" t="str">
        <f t="shared" ref="Z31:Z45" si="13">Q31</f>
        <v>临街状况</v>
      </c>
      <c r="AA31" s="1348">
        <f t="shared" si="3"/>
        <v>1</v>
      </c>
      <c r="AB31" s="1348">
        <f t="shared" si="4"/>
        <v>1</v>
      </c>
      <c r="AC31" s="1348">
        <f t="shared" si="5"/>
        <v>1</v>
      </c>
    </row>
    <row r="32" spans="1:29" ht="27"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813"/>
      <c r="Q32" s="1347" t="str">
        <f t="shared" si="8"/>
        <v>毗邻道路的类型与等级</v>
      </c>
      <c r="R32" s="704" t="s">
        <v>14</v>
      </c>
      <c r="S32" s="705">
        <f t="shared" si="10"/>
        <v>100</v>
      </c>
      <c r="T32" s="704" t="s">
        <v>14</v>
      </c>
      <c r="U32" s="705">
        <f t="shared" si="11"/>
        <v>100</v>
      </c>
      <c r="V32" s="704" t="s">
        <v>14</v>
      </c>
      <c r="W32" s="705">
        <f t="shared" si="12"/>
        <v>100</v>
      </c>
      <c r="X32" s="1350"/>
      <c r="Y32" s="3813"/>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813"/>
      <c r="Q33" s="1347"/>
      <c r="R33" s="704"/>
      <c r="S33" s="705"/>
      <c r="T33" s="704"/>
      <c r="U33" s="705"/>
      <c r="V33" s="704"/>
      <c r="W33" s="705"/>
      <c r="X33" s="1350"/>
      <c r="Y33" s="3813"/>
      <c r="Z33" s="1351"/>
      <c r="AA33" s="1348">
        <v>1</v>
      </c>
      <c r="AB33" s="1348">
        <v>1</v>
      </c>
      <c r="AC33" s="1348">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813"/>
      <c r="Q34" s="1347" t="str">
        <f t="shared" si="8"/>
        <v>土地级别</v>
      </c>
      <c r="R34" s="704" t="s">
        <v>14</v>
      </c>
      <c r="S34" s="705">
        <f t="shared" si="10"/>
        <v>100</v>
      </c>
      <c r="T34" s="704" t="s">
        <v>14</v>
      </c>
      <c r="U34" s="705">
        <f t="shared" si="11"/>
        <v>100</v>
      </c>
      <c r="V34" s="704" t="s">
        <v>14</v>
      </c>
      <c r="W34" s="705">
        <f t="shared" si="12"/>
        <v>100</v>
      </c>
      <c r="X34" s="1350"/>
      <c r="Y34" s="3813"/>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813"/>
      <c r="Q35" s="1347">
        <f t="shared" si="8"/>
        <v>111</v>
      </c>
      <c r="R35" s="704" t="s">
        <v>14</v>
      </c>
      <c r="S35" s="705">
        <f t="shared" si="10"/>
        <v>100</v>
      </c>
      <c r="T35" s="704" t="s">
        <v>14</v>
      </c>
      <c r="U35" s="705">
        <f t="shared" si="11"/>
        <v>100</v>
      </c>
      <c r="V35" s="704" t="s">
        <v>14</v>
      </c>
      <c r="W35" s="705">
        <f t="shared" si="12"/>
        <v>100</v>
      </c>
      <c r="X35" s="1350"/>
      <c r="Y35" s="3813"/>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34" t="s">
        <v>1680</v>
      </c>
      <c r="Q36" s="1347">
        <f t="shared" si="8"/>
        <v>111</v>
      </c>
      <c r="R36" s="704" t="s">
        <v>14</v>
      </c>
      <c r="S36" s="705">
        <f t="shared" si="10"/>
        <v>100</v>
      </c>
      <c r="T36" s="704" t="s">
        <v>14</v>
      </c>
      <c r="U36" s="705">
        <f t="shared" si="11"/>
        <v>100</v>
      </c>
      <c r="V36" s="704" t="s">
        <v>14</v>
      </c>
      <c r="W36" s="705">
        <f t="shared" si="12"/>
        <v>100</v>
      </c>
      <c r="X36" s="1350"/>
      <c r="Y36" s="3817" t="s">
        <v>1680</v>
      </c>
      <c r="Z36" s="1351">
        <f t="shared" si="13"/>
        <v>111</v>
      </c>
      <c r="AA36" s="1348">
        <f t="shared" si="3"/>
        <v>1</v>
      </c>
      <c r="AB36" s="1348">
        <f t="shared" si="4"/>
        <v>1</v>
      </c>
      <c r="AC36" s="1348">
        <f t="shared" si="5"/>
        <v>1</v>
      </c>
    </row>
    <row r="37" spans="1:29" s="422" customFormat="1" ht="15.75"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817"/>
      <c r="Q37" s="1347">
        <f t="shared" si="8"/>
        <v>111</v>
      </c>
      <c r="R37" s="707" t="s">
        <v>14</v>
      </c>
      <c r="S37" s="708">
        <f t="shared" si="10"/>
        <v>100</v>
      </c>
      <c r="T37" s="707" t="s">
        <v>14</v>
      </c>
      <c r="U37" s="708">
        <f t="shared" si="11"/>
        <v>100</v>
      </c>
      <c r="V37" s="707" t="s">
        <v>14</v>
      </c>
      <c r="W37" s="708">
        <f t="shared" si="12"/>
        <v>100</v>
      </c>
      <c r="X37" s="709"/>
      <c r="Y37" s="3817"/>
      <c r="Z37" s="710">
        <f t="shared" si="13"/>
        <v>111</v>
      </c>
      <c r="AA37" s="1348">
        <f t="shared" si="3"/>
        <v>1</v>
      </c>
      <c r="AB37" s="1348">
        <f t="shared" si="4"/>
        <v>1</v>
      </c>
      <c r="AC37" s="1348">
        <f t="shared" si="5"/>
        <v>1</v>
      </c>
    </row>
    <row r="38" spans="1:29" ht="15">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817"/>
      <c r="Q38" s="1347" t="str">
        <f>B38</f>
        <v>宗地面积</v>
      </c>
      <c r="R38" s="704" t="s">
        <v>14</v>
      </c>
      <c r="S38" s="705">
        <f t="shared" si="10"/>
        <v>100</v>
      </c>
      <c r="T38" s="704" t="s">
        <v>14</v>
      </c>
      <c r="U38" s="705">
        <f t="shared" si="11"/>
        <v>104</v>
      </c>
      <c r="V38" s="704" t="s">
        <v>14</v>
      </c>
      <c r="W38" s="705">
        <f t="shared" si="12"/>
        <v>106</v>
      </c>
      <c r="X38" s="1350"/>
      <c r="Y38" s="3817"/>
      <c r="Z38" s="1351" t="str">
        <f t="shared" si="13"/>
        <v>宗地面积</v>
      </c>
      <c r="AA38" s="1348">
        <f t="shared" si="3"/>
        <v>1</v>
      </c>
      <c r="AB38" s="1348">
        <f t="shared" si="4"/>
        <v>0.96153846153846156</v>
      </c>
      <c r="AC38" s="1348">
        <f t="shared" si="5"/>
        <v>0.94339622641509435</v>
      </c>
    </row>
    <row r="39" spans="1:29" ht="15">
      <c r="A39" s="423"/>
      <c r="B39" s="375" t="s">
        <v>1859</v>
      </c>
      <c r="C39" s="1901" t="s">
        <v>3432</v>
      </c>
      <c r="D39" s="386">
        <v>100</v>
      </c>
      <c r="E39" s="1901" t="s">
        <v>3432</v>
      </c>
      <c r="F39" s="386">
        <f>SUMIF(118:118,E39,119:119)-SUMIF(118:118,C39,119:119)+100</f>
        <v>100</v>
      </c>
      <c r="G39" s="1901" t="s">
        <v>3432</v>
      </c>
      <c r="H39" s="386">
        <f>SUMIF(118:118,G39,119:119)-SUMIF(118:118,C39,119:119)+100</f>
        <v>100</v>
      </c>
      <c r="I39" s="1901" t="s">
        <v>3432</v>
      </c>
      <c r="J39" s="386">
        <f>SUMIF(118:118,I39,119:119)-SUMIF(118:118,C39,119:119)+100</f>
        <v>100</v>
      </c>
      <c r="K39" s="561">
        <v>2</v>
      </c>
      <c r="L39" s="2693"/>
      <c r="M39" s="2687"/>
      <c r="N39" s="2687"/>
      <c r="O39" s="2745"/>
      <c r="P39" s="3817"/>
      <c r="Q39" s="1347" t="str">
        <f t="shared" ref="Q39:Q45" si="14">B39</f>
        <v>宗地形状</v>
      </c>
      <c r="R39" s="704" t="s">
        <v>14</v>
      </c>
      <c r="S39" s="705">
        <f t="shared" si="10"/>
        <v>100</v>
      </c>
      <c r="T39" s="704" t="s">
        <v>14</v>
      </c>
      <c r="U39" s="705">
        <f t="shared" si="11"/>
        <v>100</v>
      </c>
      <c r="V39" s="704" t="s">
        <v>14</v>
      </c>
      <c r="W39" s="705">
        <f t="shared" si="12"/>
        <v>100</v>
      </c>
      <c r="X39" s="1350"/>
      <c r="Y39" s="3817"/>
      <c r="Z39" s="1351" t="str">
        <f t="shared" si="13"/>
        <v>宗地形状</v>
      </c>
      <c r="AA39" s="1348">
        <f t="shared" si="3"/>
        <v>1</v>
      </c>
      <c r="AB39" s="1348">
        <f t="shared" si="4"/>
        <v>1</v>
      </c>
      <c r="AC39" s="1348">
        <f t="shared" si="5"/>
        <v>1</v>
      </c>
    </row>
    <row r="40" spans="1:29" ht="15">
      <c r="A40" s="423"/>
      <c r="B40" s="375" t="s">
        <v>1860</v>
      </c>
      <c r="C40" s="1901" t="s">
        <v>3433</v>
      </c>
      <c r="D40" s="386">
        <v>100</v>
      </c>
      <c r="E40" s="1901" t="s">
        <v>3433</v>
      </c>
      <c r="F40" s="386">
        <f>SUMIF(120:120,E40,121:121)-SUMIF(120:120,C40,121:121)+100</f>
        <v>100</v>
      </c>
      <c r="G40" s="1901" t="s">
        <v>3433</v>
      </c>
      <c r="H40" s="386">
        <f>SUMIF(120:120,G40,121:121)-SUMIF(120:120,C40,121:121)+100</f>
        <v>100</v>
      </c>
      <c r="I40" s="1901" t="s">
        <v>3433</v>
      </c>
      <c r="J40" s="386">
        <f>SUMIF(120:120,I40,121:121)-SUMIF(120:120,C40,121:121)+100</f>
        <v>100</v>
      </c>
      <c r="K40" s="561">
        <v>2</v>
      </c>
      <c r="L40" s="2693"/>
      <c r="M40" s="2687"/>
      <c r="N40" s="2687"/>
      <c r="O40" s="2745"/>
      <c r="P40" s="3817"/>
      <c r="Q40" s="1347" t="str">
        <f t="shared" si="14"/>
        <v>临街宽度及深度</v>
      </c>
      <c r="R40" s="704" t="s">
        <v>14</v>
      </c>
      <c r="S40" s="705">
        <f t="shared" si="10"/>
        <v>100</v>
      </c>
      <c r="T40" s="704" t="s">
        <v>14</v>
      </c>
      <c r="U40" s="705">
        <f t="shared" si="11"/>
        <v>100</v>
      </c>
      <c r="V40" s="704" t="s">
        <v>14</v>
      </c>
      <c r="W40" s="705">
        <f t="shared" si="12"/>
        <v>100</v>
      </c>
      <c r="X40" s="1350"/>
      <c r="Y40" s="3817"/>
      <c r="Z40" s="1351" t="str">
        <f t="shared" si="13"/>
        <v>临街宽度及深度</v>
      </c>
      <c r="AA40" s="1348">
        <f t="shared" si="3"/>
        <v>1</v>
      </c>
      <c r="AB40" s="1348">
        <f t="shared" si="4"/>
        <v>1</v>
      </c>
      <c r="AC40" s="1348">
        <f t="shared" si="5"/>
        <v>1</v>
      </c>
    </row>
    <row r="41" spans="1:29" s="108" customFormat="1" ht="15">
      <c r="A41" s="424"/>
      <c r="B41" s="375" t="s">
        <v>1861</v>
      </c>
      <c r="C41" s="1975" t="s">
        <v>3440</v>
      </c>
      <c r="D41" s="127">
        <v>100</v>
      </c>
      <c r="E41" s="1975" t="s">
        <v>3435</v>
      </c>
      <c r="F41" s="386">
        <f>SUMIF(122:122,E41,123:123)-SUMIF(122:122,C41,123:123)+100</f>
        <v>94</v>
      </c>
      <c r="G41" s="1975" t="s">
        <v>3435</v>
      </c>
      <c r="H41" s="386">
        <f>SUMIF(122:122,G41,123:123)-SUMIF(122:122,C41,123:123)+100</f>
        <v>94</v>
      </c>
      <c r="I41" s="1975" t="s">
        <v>3435</v>
      </c>
      <c r="J41" s="386">
        <f>SUMIF(122:122,I41,123:123)-SUMIF(122:122,C41,123:123)+100</f>
        <v>94</v>
      </c>
      <c r="K41" s="561">
        <v>2</v>
      </c>
      <c r="L41" s="2688"/>
      <c r="M41" s="2689"/>
      <c r="N41" s="2689"/>
      <c r="O41" s="2743"/>
      <c r="P41" s="3817"/>
      <c r="Q41" s="1347" t="str">
        <f t="shared" si="14"/>
        <v>宗地开发程度</v>
      </c>
      <c r="R41" s="700" t="s">
        <v>14</v>
      </c>
      <c r="S41" s="701">
        <f t="shared" si="10"/>
        <v>94</v>
      </c>
      <c r="T41" s="700" t="s">
        <v>14</v>
      </c>
      <c r="U41" s="701">
        <f t="shared" si="11"/>
        <v>94</v>
      </c>
      <c r="V41" s="700" t="s">
        <v>14</v>
      </c>
      <c r="W41" s="701">
        <f t="shared" si="12"/>
        <v>94</v>
      </c>
      <c r="X41" s="702"/>
      <c r="Y41" s="3817"/>
      <c r="Z41" s="52" t="str">
        <f t="shared" si="13"/>
        <v>宗地开发程度</v>
      </c>
      <c r="AA41" s="703">
        <f t="shared" si="3"/>
        <v>1.0638297872340425</v>
      </c>
      <c r="AB41" s="703">
        <f t="shared" si="4"/>
        <v>1.0638297872340425</v>
      </c>
      <c r="AC41" s="703">
        <f t="shared" si="5"/>
        <v>1.0638297872340425</v>
      </c>
    </row>
    <row r="42" spans="1:29" ht="15.75" thickBot="1">
      <c r="A42" s="423"/>
      <c r="B42" s="375" t="s">
        <v>1862</v>
      </c>
      <c r="C42" s="1901" t="s">
        <v>3388</v>
      </c>
      <c r="D42" s="386">
        <v>100</v>
      </c>
      <c r="E42" s="1901" t="s">
        <v>3388</v>
      </c>
      <c r="F42" s="386">
        <f>SUMIF(124:124,E42,125:125)-SUMIF(124:124,C42,125:125)+100</f>
        <v>100</v>
      </c>
      <c r="G42" s="1901" t="s">
        <v>3388</v>
      </c>
      <c r="H42" s="386">
        <f>SUMIF(124:124,G42,125:125)-SUMIF(124:124,C42,125:125)+100</f>
        <v>100</v>
      </c>
      <c r="I42" s="1901" t="s">
        <v>3388</v>
      </c>
      <c r="J42" s="386">
        <f>SUMIF(124:124,I42,125:125)-SUMIF(124:124,C42,125:125)+100</f>
        <v>100</v>
      </c>
      <c r="K42" s="561">
        <v>2</v>
      </c>
      <c r="L42" s="2693"/>
      <c r="M42" s="2687"/>
      <c r="N42" s="2687"/>
      <c r="O42" s="2745"/>
      <c r="P42" s="3817" t="s">
        <v>1680</v>
      </c>
      <c r="Q42" s="1347" t="str">
        <f t="shared" si="14"/>
        <v>工程地质条件</v>
      </c>
      <c r="R42" s="704" t="s">
        <v>14</v>
      </c>
      <c r="S42" s="705">
        <f t="shared" si="10"/>
        <v>100</v>
      </c>
      <c r="T42" s="704" t="s">
        <v>14</v>
      </c>
      <c r="U42" s="705">
        <f t="shared" si="11"/>
        <v>100</v>
      </c>
      <c r="V42" s="704" t="s">
        <v>14</v>
      </c>
      <c r="W42" s="705">
        <f t="shared" si="12"/>
        <v>100</v>
      </c>
      <c r="X42" s="1350"/>
      <c r="Y42" s="3817"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817"/>
      <c r="Q43" s="1347">
        <f t="shared" si="14"/>
        <v>111</v>
      </c>
      <c r="R43" s="704" t="s">
        <v>14</v>
      </c>
      <c r="S43" s="705">
        <f t="shared" si="10"/>
        <v>100</v>
      </c>
      <c r="T43" s="704" t="s">
        <v>14</v>
      </c>
      <c r="U43" s="705">
        <f t="shared" si="11"/>
        <v>100</v>
      </c>
      <c r="V43" s="704" t="s">
        <v>14</v>
      </c>
      <c r="W43" s="705">
        <f t="shared" si="12"/>
        <v>100</v>
      </c>
      <c r="X43" s="1350"/>
      <c r="Y43" s="3817"/>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817"/>
      <c r="Q44" s="1347">
        <f t="shared" si="14"/>
        <v>111</v>
      </c>
      <c r="R44" s="704" t="s">
        <v>14</v>
      </c>
      <c r="S44" s="705">
        <f t="shared" si="10"/>
        <v>100</v>
      </c>
      <c r="T44" s="704" t="s">
        <v>14</v>
      </c>
      <c r="U44" s="705">
        <f t="shared" si="11"/>
        <v>100</v>
      </c>
      <c r="V44" s="704" t="s">
        <v>14</v>
      </c>
      <c r="W44" s="705">
        <f t="shared" si="12"/>
        <v>100</v>
      </c>
      <c r="X44" s="1350"/>
      <c r="Y44" s="3817"/>
      <c r="Z44" s="1351">
        <f t="shared" si="13"/>
        <v>111</v>
      </c>
      <c r="AA44" s="1348">
        <f t="shared" si="3"/>
        <v>1</v>
      </c>
      <c r="AB44" s="1348">
        <f t="shared" si="4"/>
        <v>1</v>
      </c>
      <c r="AC44" s="1348">
        <f t="shared" si="5"/>
        <v>1</v>
      </c>
    </row>
    <row r="45" spans="1:29" s="422" customFormat="1" ht="15.75"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817"/>
      <c r="Q45" s="1347">
        <f t="shared" si="14"/>
        <v>111</v>
      </c>
      <c r="R45" s="707" t="s">
        <v>14</v>
      </c>
      <c r="S45" s="708">
        <f t="shared" si="10"/>
        <v>100</v>
      </c>
      <c r="T45" s="707" t="s">
        <v>14</v>
      </c>
      <c r="U45" s="708">
        <f t="shared" si="11"/>
        <v>100</v>
      </c>
      <c r="V45" s="707" t="s">
        <v>14</v>
      </c>
      <c r="W45" s="708">
        <f t="shared" si="12"/>
        <v>100</v>
      </c>
      <c r="X45" s="709"/>
      <c r="Y45" s="3817"/>
      <c r="Z45" s="710">
        <f t="shared" si="13"/>
        <v>111</v>
      </c>
      <c r="AA45" s="1348">
        <f t="shared" si="3"/>
        <v>1</v>
      </c>
      <c r="AB45" s="1348">
        <f t="shared" si="4"/>
        <v>1</v>
      </c>
      <c r="AC45" s="1348">
        <f t="shared" si="5"/>
        <v>1</v>
      </c>
    </row>
    <row r="46" spans="1:29" ht="15">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819" t="str">
        <f>A46</f>
        <v>成交单价</v>
      </c>
      <c r="Q46" s="3819"/>
      <c r="R46" s="3806">
        <f>E46</f>
        <v>28065</v>
      </c>
      <c r="S46" s="3806"/>
      <c r="T46" s="3806">
        <f>G46</f>
        <v>31358</v>
      </c>
      <c r="U46" s="3806"/>
      <c r="V46" s="3806">
        <f>I46</f>
        <v>23078</v>
      </c>
      <c r="W46" s="3806"/>
      <c r="X46" s="689"/>
      <c r="Y46" s="711"/>
      <c r="Z46" s="689"/>
      <c r="AA46" s="689"/>
      <c r="AB46" s="689"/>
      <c r="AC46" s="689"/>
    </row>
    <row r="47" spans="1:29" ht="15.75" thickBot="1">
      <c r="A47" s="437" t="s">
        <v>1777</v>
      </c>
      <c r="B47" s="631"/>
      <c r="C47" s="440" t="e">
        <f>R48</f>
        <v>#DIV/0!</v>
      </c>
      <c r="D47" s="2312" t="s">
        <v>2120</v>
      </c>
      <c r="E47" s="440">
        <f>R47</f>
        <v>23190</v>
      </c>
      <c r="F47" s="2313"/>
      <c r="G47" s="439" t="e">
        <f>T47</f>
        <v>#DIV/0!</v>
      </c>
      <c r="H47" s="2313"/>
      <c r="I47" s="440">
        <f>V47</f>
        <v>19317</v>
      </c>
      <c r="J47" s="2313"/>
      <c r="K47" s="2315">
        <f>F47+H47+J47</f>
        <v>0</v>
      </c>
      <c r="L47" s="2695"/>
      <c r="M47" s="2696"/>
      <c r="N47" s="2696"/>
      <c r="O47" s="2696"/>
      <c r="P47" s="3819" t="str">
        <f>A47</f>
        <v>比较价值（元/平方米）</v>
      </c>
      <c r="Q47" s="3819"/>
      <c r="R47" s="3837">
        <f>ROUND(PRODUCT(R46,AA7:AA45),0)</f>
        <v>23190</v>
      </c>
      <c r="S47" s="3837"/>
      <c r="T47" s="3837" t="e">
        <f>ROUND(PRODUCT(T46,AB7:AB45),0)</f>
        <v>#DIV/0!</v>
      </c>
      <c r="U47" s="3837"/>
      <c r="V47" s="3837">
        <f>ROUND(PRODUCT(V46,AC7:AC45),0)</f>
        <v>19317</v>
      </c>
      <c r="W47" s="3837"/>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5"/>
      <c r="M48" s="2696"/>
      <c r="N48" s="2696"/>
      <c r="O48" s="2696"/>
      <c r="P48" s="3831" t="str">
        <f>A48</f>
        <v>估价对象XX用房的比较价值（楼面单价，元/平方米）</v>
      </c>
      <c r="Q48" s="3832"/>
      <c r="R48" s="3836" t="e">
        <f>ROUND(IF(D47="简单平均",AVERAGE(R47:W47),R47*F47+T47*H47+V47*J47),0)</f>
        <v>#DIV/0!</v>
      </c>
      <c r="S48" s="3836"/>
      <c r="T48" s="3836"/>
      <c r="U48" s="3836"/>
      <c r="V48" s="3836"/>
      <c r="W48" s="3836"/>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0.21021992238033627</v>
      </c>
      <c r="F51" s="449" t="str">
        <f>IF(OR(E51&gt;=0.3,E51&lt;=-0.3),"超过30%","")</f>
        <v/>
      </c>
      <c r="G51" s="448" t="e">
        <f>IF(G46&lt;G47,G47/G46-1,G46/G47-1)</f>
        <v>#DIV/0!</v>
      </c>
      <c r="H51" s="449" t="e">
        <f>IF(OR(G51&gt;=0.3,G51&lt;=-0.3),"超过30%","")</f>
        <v>#DIV/0!</v>
      </c>
      <c r="I51" s="448">
        <f>IF(I46&lt;I47,I47/I46-1,I46/I47-1)</f>
        <v>0.19469896981933021</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0.2004969715794378</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5"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793" t="s">
        <v>1871</v>
      </c>
      <c r="H55" s="3838"/>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789"/>
      <c r="H56" s="3819"/>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5"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ht="13.5"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696"/>
      <c r="Q67" s="2696"/>
      <c r="R67" s="2696"/>
      <c r="S67" s="2696"/>
      <c r="T67" s="2696"/>
      <c r="U67" s="2696"/>
      <c r="V67" s="2696"/>
      <c r="W67" s="2696"/>
      <c r="X67" s="2696"/>
      <c r="Y67" s="2696"/>
      <c r="Z67" s="2696"/>
      <c r="AA67" s="2696"/>
      <c r="AB67" s="2696"/>
      <c r="AC67" s="2696"/>
    </row>
    <row r="68" spans="1:29" ht="21.75"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5">
      <c r="A69" s="1984" t="s">
        <v>1888</v>
      </c>
      <c r="B69" s="1105"/>
      <c r="C69" s="1177" t="str">
        <f>YEAR(C67)&amp;"-"&amp;ROUNDUP(MONTH(C67)/3,0)</f>
        <v>2024-1</v>
      </c>
      <c r="D69" s="1177" t="str">
        <f>YEAR(D67)&amp;"-"&amp;ROUNDUP(MONTH(D67)/3,0)</f>
        <v>2023-4</v>
      </c>
      <c r="E69" s="1177" t="str">
        <f t="shared" ref="E69:O69" si="19">YEAR(E67)&amp;"-"&amp;ROUNDUP(MONTH(E67)/3,0)</f>
        <v>2023-3</v>
      </c>
      <c r="F69" s="1177" t="str">
        <f t="shared" si="19"/>
        <v>2023-2</v>
      </c>
      <c r="G69" s="1177" t="str">
        <f t="shared" si="19"/>
        <v>2023-1</v>
      </c>
      <c r="H69" s="1177" t="str">
        <f t="shared" si="19"/>
        <v>2022-4</v>
      </c>
      <c r="I69" s="1177" t="str">
        <f t="shared" si="19"/>
        <v>2022-3</v>
      </c>
      <c r="J69" s="1177" t="str">
        <f t="shared" si="19"/>
        <v>2022-2</v>
      </c>
      <c r="K69" s="1177" t="str">
        <f t="shared" si="19"/>
        <v>2022-1</v>
      </c>
      <c r="L69" s="1177" t="str">
        <f t="shared" si="19"/>
        <v>2021-4</v>
      </c>
      <c r="M69" s="1177" t="str">
        <f t="shared" si="19"/>
        <v>2021-3</v>
      </c>
      <c r="N69" s="1177" t="str">
        <f t="shared" si="19"/>
        <v>2021-2</v>
      </c>
      <c r="O69" s="1177" t="str">
        <f t="shared" si="19"/>
        <v>2021-1</v>
      </c>
      <c r="P69" s="2747" t="s">
        <v>4195</v>
      </c>
      <c r="Q69" s="2712" t="s">
        <v>4196</v>
      </c>
      <c r="R69" s="2712" t="s">
        <v>4197</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6">
        <f>C70-0.5</f>
        <v>99.5</v>
      </c>
      <c r="E70" s="3456">
        <f t="shared" ref="E70:R70" si="20">D70-0.5</f>
        <v>99</v>
      </c>
      <c r="F70" s="3456">
        <f t="shared" si="20"/>
        <v>98.5</v>
      </c>
      <c r="G70" s="3456">
        <f t="shared" si="20"/>
        <v>98</v>
      </c>
      <c r="H70" s="3456">
        <f t="shared" si="20"/>
        <v>97.5</v>
      </c>
      <c r="I70" s="3456">
        <f t="shared" si="20"/>
        <v>97</v>
      </c>
      <c r="J70" s="3456">
        <f t="shared" si="20"/>
        <v>96.5</v>
      </c>
      <c r="K70" s="3456">
        <f t="shared" si="20"/>
        <v>96</v>
      </c>
      <c r="L70" s="3456">
        <f t="shared" si="20"/>
        <v>95.5</v>
      </c>
      <c r="M70" s="3456">
        <f t="shared" si="20"/>
        <v>95</v>
      </c>
      <c r="N70" s="3456">
        <f t="shared" si="20"/>
        <v>94.5</v>
      </c>
      <c r="O70" s="3456">
        <f t="shared" si="20"/>
        <v>94</v>
      </c>
      <c r="P70" s="3456">
        <f t="shared" si="20"/>
        <v>93.5</v>
      </c>
      <c r="Q70" s="3456">
        <f t="shared" si="20"/>
        <v>93</v>
      </c>
      <c r="R70" s="3456">
        <f t="shared" si="20"/>
        <v>92.5</v>
      </c>
      <c r="S70" s="2633"/>
      <c r="T70" s="2633"/>
      <c r="U70" s="2633"/>
      <c r="V70" s="2633"/>
      <c r="W70" s="2633"/>
      <c r="X70" s="2633"/>
      <c r="Y70" s="2633"/>
      <c r="Z70" s="2633"/>
      <c r="AA70" s="2633"/>
      <c r="AB70" s="2633"/>
      <c r="AC70" s="2633"/>
    </row>
    <row r="71" spans="1:29" s="108" customFormat="1" ht="15.7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5">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27.75">
      <c r="A74" s="476" t="s">
        <v>1703</v>
      </c>
      <c r="B74" s="477" t="s">
        <v>1669</v>
      </c>
      <c r="C74" s="479" t="s">
        <v>4175</v>
      </c>
      <c r="D74" s="479" t="s">
        <v>4176</v>
      </c>
      <c r="E74" s="479" t="s">
        <v>4177</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5.75"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7.75"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5.75"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ht="15">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5.75"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5.75"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5.75"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5.75"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5.75"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7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5.75"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7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5.75"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7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5.75"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7.75"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7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5.75"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5.75"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5"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5.75"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5"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5.75"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ht="15">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3393</v>
      </c>
      <c r="D122" s="503" t="s">
        <v>3440</v>
      </c>
      <c r="E122" s="503" t="s">
        <v>3434</v>
      </c>
      <c r="F122" s="503" t="s">
        <v>3441</v>
      </c>
      <c r="G122" s="503" t="s">
        <v>3435</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5"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5.75"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5"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5.75"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5"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5.75"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60"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3663</v>
      </c>
      <c r="B1" t="s">
        <v>3664</v>
      </c>
      <c r="C1" t="s">
        <v>3665</v>
      </c>
      <c r="D1" t="s">
        <v>3666</v>
      </c>
      <c r="E1" t="s">
        <v>3667</v>
      </c>
      <c r="F1" t="s">
        <v>3668</v>
      </c>
      <c r="G1" t="s">
        <v>3669</v>
      </c>
      <c r="H1" t="s">
        <v>3670</v>
      </c>
      <c r="I1" t="s">
        <v>3671</v>
      </c>
      <c r="J1" t="s">
        <v>3672</v>
      </c>
      <c r="K1" t="s">
        <v>3673</v>
      </c>
      <c r="L1" t="s">
        <v>3674</v>
      </c>
      <c r="M1" t="s">
        <v>3675</v>
      </c>
      <c r="N1" t="s">
        <v>3676</v>
      </c>
      <c r="O1" t="s">
        <v>3677</v>
      </c>
      <c r="P1" t="s">
        <v>3678</v>
      </c>
      <c r="Q1" t="s">
        <v>3679</v>
      </c>
      <c r="R1" t="s">
        <v>3680</v>
      </c>
      <c r="S1" t="s">
        <v>3681</v>
      </c>
      <c r="T1" t="s">
        <v>3682</v>
      </c>
      <c r="U1" t="s">
        <v>3683</v>
      </c>
      <c r="V1" t="s">
        <v>3684</v>
      </c>
      <c r="W1" t="s">
        <v>3685</v>
      </c>
      <c r="X1" t="s">
        <v>3686</v>
      </c>
      <c r="Y1" t="s">
        <v>3687</v>
      </c>
      <c r="Z1" t="s">
        <v>3688</v>
      </c>
      <c r="AA1" t="s">
        <v>3689</v>
      </c>
      <c r="AB1" t="s">
        <v>3690</v>
      </c>
      <c r="AC1" s="3460" t="s">
        <v>3691</v>
      </c>
      <c r="AD1" t="s">
        <v>3692</v>
      </c>
      <c r="AE1" t="s">
        <v>3693</v>
      </c>
      <c r="AF1" t="s">
        <v>3694</v>
      </c>
      <c r="AG1" t="s">
        <v>3695</v>
      </c>
      <c r="AH1" t="s">
        <v>3696</v>
      </c>
      <c r="AI1" t="s">
        <v>3697</v>
      </c>
      <c r="AJ1" t="s">
        <v>3698</v>
      </c>
      <c r="AK1" t="s">
        <v>3699</v>
      </c>
      <c r="AL1" t="s">
        <v>3700</v>
      </c>
      <c r="AM1" t="s">
        <v>3701</v>
      </c>
      <c r="AN1" t="s">
        <v>3702</v>
      </c>
      <c r="AO1" t="s">
        <v>3703</v>
      </c>
      <c r="AP1" t="s">
        <v>3704</v>
      </c>
      <c r="AQ1" t="s">
        <v>3705</v>
      </c>
      <c r="AR1" t="s">
        <v>3706</v>
      </c>
      <c r="AS1" t="s">
        <v>3707</v>
      </c>
      <c r="AT1" t="s">
        <v>3708</v>
      </c>
      <c r="AU1" t="s">
        <v>3709</v>
      </c>
      <c r="AV1" t="s">
        <v>3710</v>
      </c>
      <c r="AW1" t="s">
        <v>3711</v>
      </c>
      <c r="AX1" t="s">
        <v>3712</v>
      </c>
      <c r="AY1" t="s">
        <v>3713</v>
      </c>
      <c r="AZ1" t="s">
        <v>3714</v>
      </c>
    </row>
    <row r="2" spans="1:52">
      <c r="A2" t="s">
        <v>3715</v>
      </c>
      <c r="B2" t="s">
        <v>3365</v>
      </c>
      <c r="C2" t="s">
        <v>3716</v>
      </c>
      <c r="D2" t="s">
        <v>3717</v>
      </c>
      <c r="E2" t="s">
        <v>3718</v>
      </c>
      <c r="F2" t="s">
        <v>3719</v>
      </c>
      <c r="G2" t="s">
        <v>3720</v>
      </c>
      <c r="H2" t="s">
        <v>3721</v>
      </c>
      <c r="I2">
        <v>10610.35</v>
      </c>
      <c r="J2">
        <v>47747</v>
      </c>
      <c r="K2">
        <v>4.5</v>
      </c>
      <c r="L2" t="s">
        <v>3722</v>
      </c>
      <c r="M2" t="s">
        <v>3723</v>
      </c>
      <c r="N2" t="s">
        <v>3724</v>
      </c>
      <c r="O2" t="s">
        <v>3725</v>
      </c>
      <c r="P2" t="s">
        <v>3726</v>
      </c>
      <c r="Q2" t="s">
        <v>3726</v>
      </c>
      <c r="R2" t="s">
        <v>3726</v>
      </c>
      <c r="S2" t="s">
        <v>3726</v>
      </c>
      <c r="T2" t="s">
        <v>3726</v>
      </c>
      <c r="U2" t="s">
        <v>3726</v>
      </c>
      <c r="V2" t="s">
        <v>3726</v>
      </c>
      <c r="W2" t="s">
        <v>3726</v>
      </c>
      <c r="X2">
        <v>0</v>
      </c>
      <c r="Y2">
        <v>0</v>
      </c>
      <c r="Z2">
        <v>45079.000497685185</v>
      </c>
      <c r="AA2">
        <v>45102.000497685185</v>
      </c>
      <c r="AB2">
        <v>45114.000497685185</v>
      </c>
      <c r="AC2" s="3460">
        <v>45114.000497685185</v>
      </c>
      <c r="AD2" t="s">
        <v>3727</v>
      </c>
      <c r="AE2" t="s">
        <v>3728</v>
      </c>
      <c r="AF2" t="s">
        <v>3729</v>
      </c>
      <c r="AG2" t="s">
        <v>3730</v>
      </c>
      <c r="AH2" t="s">
        <v>3731</v>
      </c>
      <c r="AI2">
        <v>134000</v>
      </c>
      <c r="AJ2">
        <v>27000</v>
      </c>
      <c r="AK2" t="s">
        <v>3732</v>
      </c>
      <c r="AL2">
        <v>134000</v>
      </c>
      <c r="AM2">
        <v>8419.4500000000007</v>
      </c>
      <c r="AN2">
        <v>8419.4500000000007</v>
      </c>
      <c r="AO2">
        <v>28065</v>
      </c>
      <c r="AP2">
        <v>28065</v>
      </c>
      <c r="AQ2" t="s">
        <v>3726</v>
      </c>
      <c r="AR2" t="s">
        <v>3726</v>
      </c>
      <c r="AS2">
        <v>0</v>
      </c>
      <c r="AT2" t="s">
        <v>3733</v>
      </c>
      <c r="AU2" t="s">
        <v>3725</v>
      </c>
      <c r="AV2" t="s">
        <v>3726</v>
      </c>
      <c r="AW2" t="s">
        <v>3725</v>
      </c>
      <c r="AX2" t="s">
        <v>3726</v>
      </c>
      <c r="AY2" t="s">
        <v>3726</v>
      </c>
      <c r="AZ2" t="s">
        <v>3726</v>
      </c>
    </row>
    <row r="3" spans="1:52">
      <c r="A3" s="3490" t="s">
        <v>4204</v>
      </c>
      <c r="B3" t="s">
        <v>3365</v>
      </c>
      <c r="C3" t="s">
        <v>4028</v>
      </c>
      <c r="D3" t="s">
        <v>3717</v>
      </c>
      <c r="E3" t="s">
        <v>3753</v>
      </c>
      <c r="F3" t="s">
        <v>4029</v>
      </c>
      <c r="G3" t="s">
        <v>4030</v>
      </c>
      <c r="H3" t="s">
        <v>3721</v>
      </c>
      <c r="I3">
        <v>51788.13</v>
      </c>
      <c r="J3">
        <v>184800</v>
      </c>
      <c r="K3" t="s">
        <v>4031</v>
      </c>
      <c r="L3" t="s">
        <v>3722</v>
      </c>
      <c r="M3" t="s">
        <v>3723</v>
      </c>
      <c r="N3" t="s">
        <v>3724</v>
      </c>
      <c r="O3" t="s">
        <v>3725</v>
      </c>
      <c r="P3" t="s">
        <v>3726</v>
      </c>
      <c r="Q3" t="s">
        <v>4032</v>
      </c>
      <c r="R3" t="s">
        <v>3726</v>
      </c>
      <c r="S3" t="s">
        <v>3726</v>
      </c>
      <c r="T3" t="s">
        <v>3726</v>
      </c>
      <c r="U3" t="s">
        <v>3726</v>
      </c>
      <c r="V3">
        <v>0</v>
      </c>
      <c r="W3">
        <v>0</v>
      </c>
      <c r="X3">
        <v>0</v>
      </c>
      <c r="Y3">
        <v>0</v>
      </c>
      <c r="Z3">
        <v>44133.000497685185</v>
      </c>
      <c r="AA3">
        <v>44153.000497685185</v>
      </c>
      <c r="AB3">
        <v>44167.000497685185</v>
      </c>
      <c r="AC3" s="3460">
        <v>44167.000497685185</v>
      </c>
      <c r="AD3" t="s">
        <v>4033</v>
      </c>
      <c r="AE3" t="s">
        <v>3728</v>
      </c>
      <c r="AF3" t="s">
        <v>4034</v>
      </c>
      <c r="AG3" t="s">
        <v>4035</v>
      </c>
      <c r="AH3" t="s">
        <v>3750</v>
      </c>
      <c r="AI3">
        <v>570500</v>
      </c>
      <c r="AJ3">
        <v>115000</v>
      </c>
      <c r="AK3" t="s">
        <v>4036</v>
      </c>
      <c r="AL3">
        <v>579500</v>
      </c>
      <c r="AM3">
        <v>7344.03</v>
      </c>
      <c r="AN3">
        <v>7459.88</v>
      </c>
      <c r="AO3">
        <v>30871</v>
      </c>
      <c r="AP3">
        <v>31358</v>
      </c>
      <c r="AQ3" t="s">
        <v>3726</v>
      </c>
      <c r="AR3" t="s">
        <v>3726</v>
      </c>
      <c r="AS3">
        <v>1.58</v>
      </c>
      <c r="AT3" t="s">
        <v>3861</v>
      </c>
      <c r="AU3" t="s">
        <v>3725</v>
      </c>
      <c r="AV3" t="s">
        <v>3726</v>
      </c>
      <c r="AW3" t="s">
        <v>3725</v>
      </c>
      <c r="AX3" t="s">
        <v>3726</v>
      </c>
      <c r="AY3" t="s">
        <v>3726</v>
      </c>
      <c r="AZ3" t="s">
        <v>3726</v>
      </c>
    </row>
    <row r="4" spans="1:52">
      <c r="A4" t="s">
        <v>3438</v>
      </c>
      <c r="B4" t="s">
        <v>3365</v>
      </c>
      <c r="C4" t="s">
        <v>3744</v>
      </c>
      <c r="D4" t="s">
        <v>3717</v>
      </c>
      <c r="E4" t="s">
        <v>3718</v>
      </c>
      <c r="F4" t="s">
        <v>3745</v>
      </c>
      <c r="G4" t="s">
        <v>3746</v>
      </c>
      <c r="H4" t="s">
        <v>3721</v>
      </c>
      <c r="I4">
        <v>62796.800000000003</v>
      </c>
      <c r="J4">
        <v>275500</v>
      </c>
      <c r="K4">
        <v>4.3899999999999997</v>
      </c>
      <c r="L4" t="s">
        <v>3722</v>
      </c>
      <c r="M4" t="s">
        <v>3723</v>
      </c>
      <c r="N4" t="s">
        <v>3724</v>
      </c>
      <c r="O4" t="s">
        <v>3725</v>
      </c>
      <c r="P4" t="s">
        <v>3726</v>
      </c>
      <c r="Q4" t="s">
        <v>3726</v>
      </c>
      <c r="R4" t="s">
        <v>3726</v>
      </c>
      <c r="S4" t="s">
        <v>3726</v>
      </c>
      <c r="T4" t="s">
        <v>3726</v>
      </c>
      <c r="U4" t="s">
        <v>3726</v>
      </c>
      <c r="V4" t="s">
        <v>3726</v>
      </c>
      <c r="W4" t="s">
        <v>3726</v>
      </c>
      <c r="X4">
        <v>0</v>
      </c>
      <c r="Y4">
        <v>0</v>
      </c>
      <c r="Z4">
        <v>44946.000497685185</v>
      </c>
      <c r="AA4">
        <v>44966.000497685185</v>
      </c>
      <c r="AB4">
        <v>44980.000497685185</v>
      </c>
      <c r="AC4" s="3460">
        <v>44980.000497685185</v>
      </c>
      <c r="AD4" t="s">
        <v>3747</v>
      </c>
      <c r="AE4" t="s">
        <v>3728</v>
      </c>
      <c r="AF4" t="s">
        <v>3748</v>
      </c>
      <c r="AG4" t="s">
        <v>3749</v>
      </c>
      <c r="AH4" t="s">
        <v>3750</v>
      </c>
      <c r="AI4">
        <v>635800</v>
      </c>
      <c r="AJ4">
        <v>127500</v>
      </c>
      <c r="AK4" t="s">
        <v>3751</v>
      </c>
      <c r="AL4">
        <v>635800</v>
      </c>
      <c r="AM4">
        <v>6749.81</v>
      </c>
      <c r="AN4">
        <v>6749.81</v>
      </c>
      <c r="AO4">
        <v>23078</v>
      </c>
      <c r="AP4">
        <v>23078</v>
      </c>
      <c r="AQ4" t="s">
        <v>3726</v>
      </c>
      <c r="AR4" t="s">
        <v>3726</v>
      </c>
      <c r="AS4">
        <v>0</v>
      </c>
      <c r="AT4" t="s">
        <v>3733</v>
      </c>
      <c r="AU4" t="s">
        <v>3725</v>
      </c>
      <c r="AV4" t="s">
        <v>3726</v>
      </c>
      <c r="AW4" t="s">
        <v>3725</v>
      </c>
      <c r="AX4" t="s">
        <v>3726</v>
      </c>
      <c r="AY4" t="s">
        <v>3726</v>
      </c>
      <c r="AZ4" t="s">
        <v>3726</v>
      </c>
    </row>
    <row r="6" spans="1:52">
      <c r="A6" t="s">
        <v>3663</v>
      </c>
      <c r="B6" t="s">
        <v>3664</v>
      </c>
      <c r="C6" t="s">
        <v>3665</v>
      </c>
      <c r="D6" t="s">
        <v>3666</v>
      </c>
      <c r="E6" t="s">
        <v>3667</v>
      </c>
      <c r="F6" t="s">
        <v>3668</v>
      </c>
      <c r="G6" t="s">
        <v>3669</v>
      </c>
      <c r="H6" t="s">
        <v>3670</v>
      </c>
      <c r="I6" t="s">
        <v>3671</v>
      </c>
      <c r="J6" t="s">
        <v>3672</v>
      </c>
      <c r="K6" t="s">
        <v>3673</v>
      </c>
      <c r="L6" t="s">
        <v>3674</v>
      </c>
      <c r="M6" t="s">
        <v>3675</v>
      </c>
      <c r="N6" t="s">
        <v>3676</v>
      </c>
      <c r="O6" t="s">
        <v>3677</v>
      </c>
      <c r="P6" t="s">
        <v>3678</v>
      </c>
      <c r="Q6" t="s">
        <v>3679</v>
      </c>
      <c r="R6" t="s">
        <v>3680</v>
      </c>
      <c r="S6" t="s">
        <v>3681</v>
      </c>
      <c r="T6" t="s">
        <v>3682</v>
      </c>
      <c r="U6" t="s">
        <v>3683</v>
      </c>
      <c r="V6" t="s">
        <v>3684</v>
      </c>
      <c r="W6" t="s">
        <v>3685</v>
      </c>
      <c r="X6" t="s">
        <v>3686</v>
      </c>
      <c r="Y6" t="s">
        <v>3687</v>
      </c>
      <c r="Z6" t="s">
        <v>3688</v>
      </c>
      <c r="AA6" t="s">
        <v>3689</v>
      </c>
      <c r="AB6" t="s">
        <v>3690</v>
      </c>
      <c r="AC6" s="3460" t="s">
        <v>3691</v>
      </c>
      <c r="AD6" t="s">
        <v>3692</v>
      </c>
      <c r="AE6" t="s">
        <v>3693</v>
      </c>
      <c r="AF6" t="s">
        <v>3694</v>
      </c>
      <c r="AG6" t="s">
        <v>3695</v>
      </c>
      <c r="AH6" t="s">
        <v>3696</v>
      </c>
      <c r="AI6" t="s">
        <v>3697</v>
      </c>
      <c r="AJ6" t="s">
        <v>3698</v>
      </c>
      <c r="AK6" t="s">
        <v>3699</v>
      </c>
      <c r="AL6" t="s">
        <v>3700</v>
      </c>
      <c r="AM6" t="s">
        <v>3701</v>
      </c>
      <c r="AN6" t="s">
        <v>3702</v>
      </c>
      <c r="AO6" t="s">
        <v>3703</v>
      </c>
      <c r="AP6" t="s">
        <v>3704</v>
      </c>
      <c r="AQ6" t="s">
        <v>3705</v>
      </c>
      <c r="AR6" t="s">
        <v>3706</v>
      </c>
      <c r="AS6" t="s">
        <v>3707</v>
      </c>
      <c r="AT6" t="s">
        <v>3708</v>
      </c>
      <c r="AU6" t="s">
        <v>3709</v>
      </c>
      <c r="AV6" t="s">
        <v>3710</v>
      </c>
      <c r="AW6" t="s">
        <v>3711</v>
      </c>
      <c r="AX6" t="s">
        <v>3712</v>
      </c>
      <c r="AY6" t="s">
        <v>3713</v>
      </c>
      <c r="AZ6" t="s">
        <v>3714</v>
      </c>
    </row>
    <row r="7" spans="1:52">
      <c r="A7" t="s">
        <v>3436</v>
      </c>
      <c r="B7" t="s">
        <v>3365</v>
      </c>
      <c r="C7" t="s">
        <v>3752</v>
      </c>
      <c r="D7" t="s">
        <v>3717</v>
      </c>
      <c r="E7" t="s">
        <v>3753</v>
      </c>
      <c r="F7" t="s">
        <v>3754</v>
      </c>
      <c r="G7" t="s">
        <v>3755</v>
      </c>
      <c r="H7" t="s">
        <v>3721</v>
      </c>
      <c r="I7">
        <v>49900.54</v>
      </c>
      <c r="J7">
        <v>109781.19</v>
      </c>
      <c r="K7">
        <v>2.2000000000000002</v>
      </c>
      <c r="L7" t="s">
        <v>3722</v>
      </c>
      <c r="M7" t="s">
        <v>3756</v>
      </c>
      <c r="N7" t="s">
        <v>3724</v>
      </c>
      <c r="O7" t="s">
        <v>3725</v>
      </c>
      <c r="P7" t="s">
        <v>3726</v>
      </c>
      <c r="Q7">
        <v>45</v>
      </c>
      <c r="R7" t="s">
        <v>3726</v>
      </c>
      <c r="S7" t="s">
        <v>3726</v>
      </c>
      <c r="T7" t="s">
        <v>3726</v>
      </c>
      <c r="U7" t="s">
        <v>3726</v>
      </c>
      <c r="V7" t="s">
        <v>3726</v>
      </c>
      <c r="W7" t="s">
        <v>3726</v>
      </c>
      <c r="X7">
        <v>0</v>
      </c>
      <c r="Y7">
        <v>0</v>
      </c>
      <c r="Z7">
        <v>45107.000497685185</v>
      </c>
      <c r="AA7">
        <v>45127.000497685185</v>
      </c>
      <c r="AB7">
        <v>45141.000497685185</v>
      </c>
      <c r="AC7" s="3460">
        <v>45141.000497685185</v>
      </c>
      <c r="AD7" t="s">
        <v>3757</v>
      </c>
      <c r="AE7" t="s">
        <v>3728</v>
      </c>
      <c r="AF7" t="s">
        <v>3758</v>
      </c>
      <c r="AG7" t="s">
        <v>3759</v>
      </c>
      <c r="AH7" t="s">
        <v>3726</v>
      </c>
      <c r="AI7">
        <v>227000</v>
      </c>
      <c r="AJ7">
        <v>46000</v>
      </c>
      <c r="AK7" t="s">
        <v>3760</v>
      </c>
      <c r="AL7">
        <v>227000</v>
      </c>
      <c r="AM7">
        <v>3032.7</v>
      </c>
      <c r="AN7">
        <v>3032.7</v>
      </c>
      <c r="AO7">
        <v>20677</v>
      </c>
      <c r="AP7">
        <v>20677</v>
      </c>
      <c r="AQ7" t="s">
        <v>3726</v>
      </c>
      <c r="AR7" t="s">
        <v>3726</v>
      </c>
      <c r="AS7">
        <v>0</v>
      </c>
      <c r="AT7" t="s">
        <v>3733</v>
      </c>
      <c r="AU7" t="s">
        <v>3725</v>
      </c>
      <c r="AV7" t="s">
        <v>3726</v>
      </c>
      <c r="AW7" t="s">
        <v>3725</v>
      </c>
      <c r="AX7" t="s">
        <v>3726</v>
      </c>
      <c r="AY7" t="s">
        <v>3726</v>
      </c>
      <c r="AZ7" t="s">
        <v>3726</v>
      </c>
    </row>
    <row r="8" spans="1:52">
      <c r="A8" t="s">
        <v>3761</v>
      </c>
      <c r="B8" t="s">
        <v>3365</v>
      </c>
      <c r="C8" t="s">
        <v>3762</v>
      </c>
      <c r="D8" t="s">
        <v>3717</v>
      </c>
      <c r="E8" t="s">
        <v>3763</v>
      </c>
      <c r="F8" t="s">
        <v>3764</v>
      </c>
      <c r="G8" t="s">
        <v>3765</v>
      </c>
      <c r="H8" t="s">
        <v>3721</v>
      </c>
      <c r="I8">
        <v>15459.22</v>
      </c>
      <c r="J8">
        <v>52599.12</v>
      </c>
      <c r="K8" t="s">
        <v>3766</v>
      </c>
      <c r="L8" t="s">
        <v>3722</v>
      </c>
      <c r="M8" t="s">
        <v>3767</v>
      </c>
      <c r="N8" t="s">
        <v>3724</v>
      </c>
      <c r="O8" t="s">
        <v>3725</v>
      </c>
      <c r="P8" t="s">
        <v>3726</v>
      </c>
      <c r="Q8" t="s">
        <v>3768</v>
      </c>
      <c r="R8" t="s">
        <v>3726</v>
      </c>
      <c r="S8" t="s">
        <v>3726</v>
      </c>
      <c r="T8" t="s">
        <v>3726</v>
      </c>
      <c r="U8" t="s">
        <v>3726</v>
      </c>
      <c r="V8" t="s">
        <v>3726</v>
      </c>
      <c r="W8" t="s">
        <v>3726</v>
      </c>
      <c r="X8">
        <v>0</v>
      </c>
      <c r="Y8">
        <v>0</v>
      </c>
      <c r="Z8">
        <v>45079.000497685185</v>
      </c>
      <c r="AA8">
        <v>45102.000497685185</v>
      </c>
      <c r="AB8">
        <v>45114.000497685185</v>
      </c>
      <c r="AC8" s="3460">
        <v>45114.000497685185</v>
      </c>
      <c r="AD8" t="s">
        <v>3769</v>
      </c>
      <c r="AE8" t="s">
        <v>3728</v>
      </c>
      <c r="AF8" t="s">
        <v>3770</v>
      </c>
      <c r="AG8" t="s">
        <v>3771</v>
      </c>
      <c r="AH8" t="s">
        <v>3742</v>
      </c>
      <c r="AI8">
        <v>53100</v>
      </c>
      <c r="AJ8">
        <v>11000</v>
      </c>
      <c r="AK8" t="s">
        <v>633</v>
      </c>
      <c r="AL8">
        <v>53100</v>
      </c>
      <c r="AM8">
        <v>2289.9</v>
      </c>
      <c r="AN8">
        <v>2289.9</v>
      </c>
      <c r="AO8">
        <v>10095</v>
      </c>
      <c r="AP8">
        <v>10095</v>
      </c>
      <c r="AQ8" t="s">
        <v>3726</v>
      </c>
      <c r="AR8" t="s">
        <v>3726</v>
      </c>
      <c r="AS8">
        <v>0</v>
      </c>
      <c r="AT8" t="s">
        <v>3772</v>
      </c>
      <c r="AU8" t="s">
        <v>3725</v>
      </c>
      <c r="AV8" t="s">
        <v>3726</v>
      </c>
      <c r="AW8" t="s">
        <v>3725</v>
      </c>
      <c r="AX8" t="s">
        <v>3726</v>
      </c>
      <c r="AY8" t="s">
        <v>3726</v>
      </c>
      <c r="AZ8" t="s">
        <v>3726</v>
      </c>
    </row>
    <row r="9" spans="1:52">
      <c r="A9" t="s">
        <v>3715</v>
      </c>
      <c r="B9" t="s">
        <v>3365</v>
      </c>
      <c r="C9" t="s">
        <v>3716</v>
      </c>
      <c r="D9" t="s">
        <v>3717</v>
      </c>
      <c r="E9" t="s">
        <v>3718</v>
      </c>
      <c r="F9" t="s">
        <v>3719</v>
      </c>
      <c r="G9" t="s">
        <v>3720</v>
      </c>
      <c r="H9" t="s">
        <v>3721</v>
      </c>
      <c r="I9">
        <v>10610.35</v>
      </c>
      <c r="J9">
        <v>47747</v>
      </c>
      <c r="K9">
        <v>4.5</v>
      </c>
      <c r="L9" t="s">
        <v>3722</v>
      </c>
      <c r="M9" t="s">
        <v>3723</v>
      </c>
      <c r="N9" t="s">
        <v>3724</v>
      </c>
      <c r="O9" t="s">
        <v>3725</v>
      </c>
      <c r="P9" t="s">
        <v>3726</v>
      </c>
      <c r="Q9" t="s">
        <v>3726</v>
      </c>
      <c r="R9" t="s">
        <v>3726</v>
      </c>
      <c r="S9" t="s">
        <v>3726</v>
      </c>
      <c r="T9" t="s">
        <v>3726</v>
      </c>
      <c r="U9" t="s">
        <v>3726</v>
      </c>
      <c r="V9" t="s">
        <v>3726</v>
      </c>
      <c r="W9" t="s">
        <v>3726</v>
      </c>
      <c r="X9">
        <v>0</v>
      </c>
      <c r="Y9">
        <v>0</v>
      </c>
      <c r="Z9">
        <v>45079.000497685185</v>
      </c>
      <c r="AA9">
        <v>45102.000497685185</v>
      </c>
      <c r="AB9">
        <v>45114.000497685185</v>
      </c>
      <c r="AC9" s="3460">
        <v>45114.000497685185</v>
      </c>
      <c r="AD9" t="s">
        <v>3727</v>
      </c>
      <c r="AE9" t="s">
        <v>3728</v>
      </c>
      <c r="AF9" t="s">
        <v>3729</v>
      </c>
      <c r="AG9" t="s">
        <v>3730</v>
      </c>
      <c r="AH9" t="s">
        <v>3731</v>
      </c>
      <c r="AI9">
        <v>134000</v>
      </c>
      <c r="AJ9">
        <v>27000</v>
      </c>
      <c r="AK9" t="s">
        <v>3732</v>
      </c>
      <c r="AL9">
        <v>134000</v>
      </c>
      <c r="AM9">
        <v>8419.4500000000007</v>
      </c>
      <c r="AN9">
        <v>8419.4500000000007</v>
      </c>
      <c r="AO9">
        <v>28065</v>
      </c>
      <c r="AP9">
        <v>28065</v>
      </c>
      <c r="AQ9" t="s">
        <v>3726</v>
      </c>
      <c r="AR9" t="s">
        <v>3726</v>
      </c>
      <c r="AS9">
        <v>0</v>
      </c>
      <c r="AT9" t="s">
        <v>3733</v>
      </c>
      <c r="AU9" t="s">
        <v>3725</v>
      </c>
      <c r="AV9" t="s">
        <v>3726</v>
      </c>
      <c r="AW9" t="s">
        <v>3725</v>
      </c>
      <c r="AX9" t="s">
        <v>3726</v>
      </c>
      <c r="AY9" t="s">
        <v>3726</v>
      </c>
      <c r="AZ9" t="s">
        <v>3726</v>
      </c>
    </row>
    <row r="10" spans="1:52">
      <c r="A10" t="s">
        <v>3437</v>
      </c>
      <c r="B10" t="s">
        <v>3365</v>
      </c>
      <c r="C10" t="s">
        <v>3734</v>
      </c>
      <c r="D10" t="s">
        <v>3717</v>
      </c>
      <c r="E10" t="s">
        <v>3735</v>
      </c>
      <c r="F10" t="s">
        <v>3736</v>
      </c>
      <c r="G10" t="s">
        <v>3737</v>
      </c>
      <c r="H10" t="s">
        <v>3721</v>
      </c>
      <c r="I10">
        <v>67829.210000000006</v>
      </c>
      <c r="J10">
        <v>298100</v>
      </c>
      <c r="K10">
        <v>4.4000000000000004</v>
      </c>
      <c r="L10" t="s">
        <v>3722</v>
      </c>
      <c r="M10" t="s">
        <v>3738</v>
      </c>
      <c r="N10" t="s">
        <v>3724</v>
      </c>
      <c r="O10" t="s">
        <v>3725</v>
      </c>
      <c r="P10" t="s">
        <v>3726</v>
      </c>
      <c r="Q10" t="s">
        <v>3726</v>
      </c>
      <c r="R10" t="s">
        <v>3726</v>
      </c>
      <c r="S10" t="s">
        <v>3726</v>
      </c>
      <c r="T10" t="s">
        <v>3726</v>
      </c>
      <c r="U10" t="s">
        <v>3726</v>
      </c>
      <c r="V10" t="s">
        <v>3726</v>
      </c>
      <c r="W10" t="s">
        <v>3726</v>
      </c>
      <c r="X10">
        <v>0</v>
      </c>
      <c r="Y10">
        <v>0</v>
      </c>
      <c r="Z10">
        <v>45056.000497685185</v>
      </c>
      <c r="AA10">
        <v>45076.000497685185</v>
      </c>
      <c r="AB10">
        <v>45090.000497685185</v>
      </c>
      <c r="AC10" s="3460">
        <v>45090.000497685185</v>
      </c>
      <c r="AD10" t="s">
        <v>3739</v>
      </c>
      <c r="AE10" t="s">
        <v>3728</v>
      </c>
      <c r="AF10" t="s">
        <v>3740</v>
      </c>
      <c r="AG10" t="s">
        <v>3741</v>
      </c>
      <c r="AH10" t="s">
        <v>3742</v>
      </c>
      <c r="AI10">
        <v>680000</v>
      </c>
      <c r="AJ10">
        <v>136000</v>
      </c>
      <c r="AK10" t="s">
        <v>3743</v>
      </c>
      <c r="AL10">
        <v>680000</v>
      </c>
      <c r="AM10">
        <v>6683.45</v>
      </c>
      <c r="AN10">
        <v>6683.45</v>
      </c>
      <c r="AO10">
        <v>22811</v>
      </c>
      <c r="AP10">
        <v>22811</v>
      </c>
      <c r="AQ10" t="s">
        <v>3726</v>
      </c>
      <c r="AR10" t="s">
        <v>3726</v>
      </c>
      <c r="AS10">
        <v>0</v>
      </c>
      <c r="AT10" t="s">
        <v>3733</v>
      </c>
      <c r="AU10" t="s">
        <v>3725</v>
      </c>
      <c r="AV10" t="s">
        <v>3726</v>
      </c>
      <c r="AW10" t="s">
        <v>3725</v>
      </c>
      <c r="AX10" t="s">
        <v>3726</v>
      </c>
      <c r="AY10" t="s">
        <v>3726</v>
      </c>
      <c r="AZ10" t="s">
        <v>3726</v>
      </c>
    </row>
    <row r="11" spans="1:52">
      <c r="A11" t="s">
        <v>3773</v>
      </c>
      <c r="B11" t="s">
        <v>3365</v>
      </c>
      <c r="C11" t="s">
        <v>3774</v>
      </c>
      <c r="D11" t="s">
        <v>3717</v>
      </c>
      <c r="E11" t="s">
        <v>3775</v>
      </c>
      <c r="F11" t="s">
        <v>3776</v>
      </c>
      <c r="G11" t="s">
        <v>3777</v>
      </c>
      <c r="H11" t="s">
        <v>3721</v>
      </c>
      <c r="I11">
        <v>101190.07</v>
      </c>
      <c r="J11">
        <v>198291</v>
      </c>
      <c r="K11" t="s">
        <v>3778</v>
      </c>
      <c r="L11" t="s">
        <v>3722</v>
      </c>
      <c r="M11" t="s">
        <v>3756</v>
      </c>
      <c r="N11" t="s">
        <v>3724</v>
      </c>
      <c r="O11" t="s">
        <v>3725</v>
      </c>
      <c r="P11">
        <v>0.4</v>
      </c>
      <c r="Q11" t="s">
        <v>3779</v>
      </c>
      <c r="R11" t="s">
        <v>3726</v>
      </c>
      <c r="S11" t="s">
        <v>3726</v>
      </c>
      <c r="T11" t="s">
        <v>3726</v>
      </c>
      <c r="U11" t="s">
        <v>3726</v>
      </c>
      <c r="V11" t="s">
        <v>3726</v>
      </c>
      <c r="W11" t="s">
        <v>3726</v>
      </c>
      <c r="X11">
        <v>0</v>
      </c>
      <c r="Y11">
        <v>0</v>
      </c>
      <c r="Z11">
        <v>45054.000497685185</v>
      </c>
      <c r="AA11">
        <v>45075.000497685185</v>
      </c>
      <c r="AB11">
        <v>45089.000497685185</v>
      </c>
      <c r="AC11" s="3460">
        <v>45089.000497685185</v>
      </c>
      <c r="AD11" t="s">
        <v>3780</v>
      </c>
      <c r="AE11" t="s">
        <v>3728</v>
      </c>
      <c r="AF11" t="s">
        <v>3781</v>
      </c>
      <c r="AG11" t="s">
        <v>3782</v>
      </c>
      <c r="AH11" t="s">
        <v>3742</v>
      </c>
      <c r="AI11">
        <v>100000</v>
      </c>
      <c r="AJ11">
        <v>20000</v>
      </c>
      <c r="AK11" t="s">
        <v>633</v>
      </c>
      <c r="AL11">
        <v>100000</v>
      </c>
      <c r="AM11">
        <v>658.83</v>
      </c>
      <c r="AN11">
        <v>658.83</v>
      </c>
      <c r="AO11">
        <v>5043</v>
      </c>
      <c r="AP11">
        <v>5043</v>
      </c>
      <c r="AQ11" t="s">
        <v>3726</v>
      </c>
      <c r="AR11" t="s">
        <v>3726</v>
      </c>
      <c r="AS11">
        <v>0</v>
      </c>
      <c r="AT11" t="s">
        <v>3733</v>
      </c>
      <c r="AU11" t="s">
        <v>3725</v>
      </c>
      <c r="AV11" t="s">
        <v>3726</v>
      </c>
      <c r="AW11" t="s">
        <v>3725</v>
      </c>
      <c r="AX11" t="s">
        <v>3726</v>
      </c>
      <c r="AY11" t="s">
        <v>3726</v>
      </c>
      <c r="AZ11" t="s">
        <v>3726</v>
      </c>
    </row>
    <row r="12" spans="1:52">
      <c r="A12" t="s">
        <v>3783</v>
      </c>
      <c r="B12" t="s">
        <v>3365</v>
      </c>
      <c r="C12" t="s">
        <v>3784</v>
      </c>
      <c r="D12" t="s">
        <v>3717</v>
      </c>
      <c r="E12" t="s">
        <v>3763</v>
      </c>
      <c r="F12" t="s">
        <v>3785</v>
      </c>
      <c r="G12" t="s">
        <v>3786</v>
      </c>
      <c r="H12" t="s">
        <v>3721</v>
      </c>
      <c r="I12">
        <v>5500.65</v>
      </c>
      <c r="J12">
        <v>15401.81</v>
      </c>
      <c r="K12" t="s">
        <v>3787</v>
      </c>
      <c r="L12" t="s">
        <v>3722</v>
      </c>
      <c r="M12" t="s">
        <v>3723</v>
      </c>
      <c r="N12" t="s">
        <v>3724</v>
      </c>
      <c r="O12" t="s">
        <v>3725</v>
      </c>
      <c r="P12" t="s">
        <v>3726</v>
      </c>
      <c r="Q12">
        <v>60</v>
      </c>
      <c r="R12" t="s">
        <v>3726</v>
      </c>
      <c r="S12" t="s">
        <v>3726</v>
      </c>
      <c r="T12" t="s">
        <v>3726</v>
      </c>
      <c r="U12" t="s">
        <v>3726</v>
      </c>
      <c r="V12" t="s">
        <v>3726</v>
      </c>
      <c r="W12" t="s">
        <v>3726</v>
      </c>
      <c r="X12">
        <v>0</v>
      </c>
      <c r="Y12">
        <v>0</v>
      </c>
      <c r="Z12">
        <v>44995.000497685185</v>
      </c>
      <c r="AA12">
        <v>45015.000497685185</v>
      </c>
      <c r="AB12">
        <v>45030.000497685185</v>
      </c>
      <c r="AC12" s="3460">
        <v>45030.000497685185</v>
      </c>
      <c r="AD12" t="s">
        <v>3788</v>
      </c>
      <c r="AE12" t="s">
        <v>3728</v>
      </c>
      <c r="AF12" t="s">
        <v>3789</v>
      </c>
      <c r="AG12" t="s">
        <v>3790</v>
      </c>
      <c r="AH12" t="s">
        <v>3726</v>
      </c>
      <c r="AI12">
        <v>17000</v>
      </c>
      <c r="AJ12">
        <v>4000</v>
      </c>
      <c r="AK12" t="s">
        <v>633</v>
      </c>
      <c r="AL12">
        <v>17000</v>
      </c>
      <c r="AM12">
        <v>2060.36</v>
      </c>
      <c r="AN12">
        <v>2060.36</v>
      </c>
      <c r="AO12">
        <v>11038</v>
      </c>
      <c r="AP12">
        <v>11038</v>
      </c>
      <c r="AQ12" t="s">
        <v>3726</v>
      </c>
      <c r="AR12" t="s">
        <v>3726</v>
      </c>
      <c r="AS12">
        <v>0</v>
      </c>
      <c r="AT12" t="s">
        <v>3791</v>
      </c>
      <c r="AU12" t="s">
        <v>3725</v>
      </c>
      <c r="AV12" t="s">
        <v>3726</v>
      </c>
      <c r="AW12" t="s">
        <v>3725</v>
      </c>
      <c r="AX12" t="s">
        <v>3726</v>
      </c>
      <c r="AY12" t="s">
        <v>3726</v>
      </c>
      <c r="AZ12" t="s">
        <v>3726</v>
      </c>
    </row>
    <row r="13" spans="1:52">
      <c r="A13" t="s">
        <v>3792</v>
      </c>
      <c r="B13" t="s">
        <v>3365</v>
      </c>
      <c r="C13" t="s">
        <v>3793</v>
      </c>
      <c r="D13" t="s">
        <v>3717</v>
      </c>
      <c r="E13" t="s">
        <v>3794</v>
      </c>
      <c r="F13" t="s">
        <v>3795</v>
      </c>
      <c r="G13" t="s">
        <v>3796</v>
      </c>
      <c r="H13" t="s">
        <v>3721</v>
      </c>
      <c r="I13">
        <v>82500</v>
      </c>
      <c r="J13">
        <v>165000</v>
      </c>
      <c r="K13">
        <v>2</v>
      </c>
      <c r="L13" t="s">
        <v>3722</v>
      </c>
      <c r="M13" t="s">
        <v>3797</v>
      </c>
      <c r="N13" t="s">
        <v>3724</v>
      </c>
      <c r="O13" t="s">
        <v>3725</v>
      </c>
      <c r="P13" t="s">
        <v>3726</v>
      </c>
      <c r="Q13" t="s">
        <v>3726</v>
      </c>
      <c r="R13" t="s">
        <v>3726</v>
      </c>
      <c r="S13" t="s">
        <v>3726</v>
      </c>
      <c r="T13" t="s">
        <v>3726</v>
      </c>
      <c r="U13" t="s">
        <v>3726</v>
      </c>
      <c r="V13" t="s">
        <v>3726</v>
      </c>
      <c r="W13" t="s">
        <v>3726</v>
      </c>
      <c r="X13">
        <v>0</v>
      </c>
      <c r="Y13">
        <v>0</v>
      </c>
      <c r="Z13">
        <v>44978.000497685185</v>
      </c>
      <c r="AA13">
        <v>44997.000497685185</v>
      </c>
      <c r="AB13">
        <v>45012.000497685185</v>
      </c>
      <c r="AC13" s="3460">
        <v>45012.000497685185</v>
      </c>
      <c r="AD13" t="s">
        <v>3798</v>
      </c>
      <c r="AE13" t="s">
        <v>3728</v>
      </c>
      <c r="AF13" t="s">
        <v>3799</v>
      </c>
      <c r="AG13" t="s">
        <v>3800</v>
      </c>
      <c r="AH13" t="s">
        <v>3801</v>
      </c>
      <c r="AI13">
        <v>260700</v>
      </c>
      <c r="AJ13">
        <v>78000</v>
      </c>
      <c r="AK13" t="s">
        <v>633</v>
      </c>
      <c r="AL13">
        <v>260700</v>
      </c>
      <c r="AM13">
        <v>2106.67</v>
      </c>
      <c r="AN13">
        <v>2106.67</v>
      </c>
      <c r="AO13">
        <v>15800</v>
      </c>
      <c r="AP13">
        <v>15800</v>
      </c>
      <c r="AQ13" t="s">
        <v>3726</v>
      </c>
      <c r="AR13" t="s">
        <v>3726</v>
      </c>
      <c r="AS13">
        <v>0</v>
      </c>
      <c r="AT13">
        <v>40</v>
      </c>
      <c r="AU13" t="s">
        <v>3725</v>
      </c>
      <c r="AV13" t="s">
        <v>3726</v>
      </c>
      <c r="AW13" t="s">
        <v>3725</v>
      </c>
      <c r="AX13" t="s">
        <v>3726</v>
      </c>
      <c r="AY13" t="s">
        <v>3726</v>
      </c>
      <c r="AZ13" t="s">
        <v>3726</v>
      </c>
    </row>
    <row r="14" spans="1:52">
      <c r="A14" t="s">
        <v>3438</v>
      </c>
      <c r="B14" t="s">
        <v>3365</v>
      </c>
      <c r="C14" t="s">
        <v>3744</v>
      </c>
      <c r="D14" t="s">
        <v>3717</v>
      </c>
      <c r="E14" t="s">
        <v>3718</v>
      </c>
      <c r="F14" t="s">
        <v>3745</v>
      </c>
      <c r="G14" t="s">
        <v>3746</v>
      </c>
      <c r="H14" t="s">
        <v>3721</v>
      </c>
      <c r="I14">
        <v>62796.800000000003</v>
      </c>
      <c r="J14">
        <v>275500</v>
      </c>
      <c r="K14">
        <v>4.3899999999999997</v>
      </c>
      <c r="L14" t="s">
        <v>3722</v>
      </c>
      <c r="M14" t="s">
        <v>3723</v>
      </c>
      <c r="N14" t="s">
        <v>3724</v>
      </c>
      <c r="O14" t="s">
        <v>3725</v>
      </c>
      <c r="P14" t="s">
        <v>3726</v>
      </c>
      <c r="Q14" t="s">
        <v>3726</v>
      </c>
      <c r="R14" t="s">
        <v>3726</v>
      </c>
      <c r="S14" t="s">
        <v>3726</v>
      </c>
      <c r="T14" t="s">
        <v>3726</v>
      </c>
      <c r="U14" t="s">
        <v>3726</v>
      </c>
      <c r="V14" t="s">
        <v>3726</v>
      </c>
      <c r="W14" t="s">
        <v>3726</v>
      </c>
      <c r="X14">
        <v>0</v>
      </c>
      <c r="Y14">
        <v>0</v>
      </c>
      <c r="Z14">
        <v>44946.000497685185</v>
      </c>
      <c r="AA14">
        <v>44966.000497685185</v>
      </c>
      <c r="AB14">
        <v>44980.000497685185</v>
      </c>
      <c r="AC14" s="3460">
        <v>44980.000497685185</v>
      </c>
      <c r="AD14" t="s">
        <v>3747</v>
      </c>
      <c r="AE14" t="s">
        <v>3728</v>
      </c>
      <c r="AF14" t="s">
        <v>3748</v>
      </c>
      <c r="AG14" t="s">
        <v>3749</v>
      </c>
      <c r="AH14" t="s">
        <v>3750</v>
      </c>
      <c r="AI14">
        <v>635800</v>
      </c>
      <c r="AJ14">
        <v>127500</v>
      </c>
      <c r="AK14" t="s">
        <v>3751</v>
      </c>
      <c r="AL14">
        <v>635800</v>
      </c>
      <c r="AM14">
        <v>6749.81</v>
      </c>
      <c r="AN14">
        <v>6749.81</v>
      </c>
      <c r="AO14">
        <v>23078</v>
      </c>
      <c r="AP14">
        <v>23078</v>
      </c>
      <c r="AQ14" t="s">
        <v>3726</v>
      </c>
      <c r="AR14" t="s">
        <v>3726</v>
      </c>
      <c r="AS14">
        <v>0</v>
      </c>
      <c r="AT14" t="s">
        <v>3733</v>
      </c>
      <c r="AU14" t="s">
        <v>3725</v>
      </c>
      <c r="AV14" t="s">
        <v>3726</v>
      </c>
      <c r="AW14" t="s">
        <v>3725</v>
      </c>
      <c r="AX14" t="s">
        <v>3726</v>
      </c>
      <c r="AY14" t="s">
        <v>3726</v>
      </c>
      <c r="AZ14" t="s">
        <v>3726</v>
      </c>
    </row>
    <row r="15" spans="1:52">
      <c r="A15" t="s">
        <v>3802</v>
      </c>
      <c r="B15" t="s">
        <v>3365</v>
      </c>
      <c r="C15" t="s">
        <v>3803</v>
      </c>
      <c r="D15" t="s">
        <v>3717</v>
      </c>
      <c r="E15" t="s">
        <v>3794</v>
      </c>
      <c r="F15" t="s">
        <v>3804</v>
      </c>
      <c r="G15" t="s">
        <v>3805</v>
      </c>
      <c r="H15" t="s">
        <v>3721</v>
      </c>
      <c r="I15">
        <v>4800</v>
      </c>
      <c r="J15">
        <v>1920</v>
      </c>
      <c r="K15" t="s">
        <v>3806</v>
      </c>
      <c r="L15" t="s">
        <v>3722</v>
      </c>
      <c r="M15" t="s">
        <v>3807</v>
      </c>
      <c r="N15" t="s">
        <v>3724</v>
      </c>
      <c r="O15" t="s">
        <v>3725</v>
      </c>
      <c r="P15" t="s">
        <v>3726</v>
      </c>
      <c r="Q15" t="s">
        <v>3726</v>
      </c>
      <c r="R15" t="s">
        <v>3726</v>
      </c>
      <c r="S15" t="s">
        <v>3726</v>
      </c>
      <c r="T15" t="s">
        <v>3726</v>
      </c>
      <c r="U15" t="s">
        <v>3726</v>
      </c>
      <c r="V15" t="s">
        <v>3726</v>
      </c>
      <c r="W15" t="s">
        <v>3726</v>
      </c>
      <c r="X15">
        <v>0</v>
      </c>
      <c r="Y15">
        <v>0</v>
      </c>
      <c r="Z15">
        <v>44911.000497685185</v>
      </c>
      <c r="AA15">
        <v>44931.000497685185</v>
      </c>
      <c r="AB15">
        <v>44945.000497685185</v>
      </c>
      <c r="AC15" s="3460">
        <v>44945.000497685185</v>
      </c>
      <c r="AD15" t="s">
        <v>3808</v>
      </c>
      <c r="AE15" t="s">
        <v>3728</v>
      </c>
      <c r="AF15" t="s">
        <v>3809</v>
      </c>
      <c r="AG15" t="s">
        <v>3726</v>
      </c>
      <c r="AH15" t="s">
        <v>3726</v>
      </c>
      <c r="AI15">
        <v>5800</v>
      </c>
      <c r="AJ15">
        <v>1200</v>
      </c>
      <c r="AK15" t="s">
        <v>3810</v>
      </c>
      <c r="AL15">
        <v>5800</v>
      </c>
      <c r="AM15">
        <v>805.56</v>
      </c>
      <c r="AN15">
        <v>805.56</v>
      </c>
      <c r="AO15">
        <v>30208</v>
      </c>
      <c r="AP15">
        <v>30208</v>
      </c>
      <c r="AQ15" t="s">
        <v>3726</v>
      </c>
      <c r="AR15" t="s">
        <v>3726</v>
      </c>
      <c r="AS15">
        <v>0</v>
      </c>
      <c r="AT15" t="s">
        <v>3811</v>
      </c>
      <c r="AU15" t="s">
        <v>3725</v>
      </c>
      <c r="AV15" t="s">
        <v>3726</v>
      </c>
      <c r="AW15" t="s">
        <v>3725</v>
      </c>
      <c r="AX15" t="s">
        <v>3726</v>
      </c>
      <c r="AY15" t="s">
        <v>3726</v>
      </c>
      <c r="AZ15" t="s">
        <v>3726</v>
      </c>
    </row>
    <row r="16" spans="1:52">
      <c r="A16" t="s">
        <v>3812</v>
      </c>
      <c r="B16" t="s">
        <v>3365</v>
      </c>
      <c r="C16" t="s">
        <v>3813</v>
      </c>
      <c r="D16" t="s">
        <v>3717</v>
      </c>
      <c r="E16" t="s">
        <v>3814</v>
      </c>
      <c r="F16" t="s">
        <v>3815</v>
      </c>
      <c r="G16" t="s">
        <v>3816</v>
      </c>
      <c r="H16" t="s">
        <v>3721</v>
      </c>
      <c r="I16">
        <v>46654.62</v>
      </c>
      <c r="J16">
        <v>88643.78</v>
      </c>
      <c r="K16">
        <v>1.9</v>
      </c>
      <c r="L16" t="s">
        <v>3722</v>
      </c>
      <c r="M16" t="s">
        <v>3817</v>
      </c>
      <c r="N16" t="s">
        <v>3724</v>
      </c>
      <c r="O16" t="s">
        <v>3725</v>
      </c>
      <c r="P16" t="s">
        <v>3726</v>
      </c>
      <c r="Q16" t="s">
        <v>3726</v>
      </c>
      <c r="R16" t="s">
        <v>3726</v>
      </c>
      <c r="S16" t="s">
        <v>3726</v>
      </c>
      <c r="T16" t="s">
        <v>3726</v>
      </c>
      <c r="U16" t="s">
        <v>3726</v>
      </c>
      <c r="V16" t="s">
        <v>3726</v>
      </c>
      <c r="W16" t="s">
        <v>3726</v>
      </c>
      <c r="X16">
        <v>0</v>
      </c>
      <c r="Y16">
        <v>0</v>
      </c>
      <c r="Z16">
        <v>44901.000497685185</v>
      </c>
      <c r="AA16">
        <v>44921.000497685185</v>
      </c>
      <c r="AB16">
        <v>44936.000497685185</v>
      </c>
      <c r="AC16" s="3460">
        <v>44936.000497685185</v>
      </c>
      <c r="AD16" t="s">
        <v>3818</v>
      </c>
      <c r="AE16" t="s">
        <v>3728</v>
      </c>
      <c r="AF16" t="s">
        <v>3819</v>
      </c>
      <c r="AG16" t="s">
        <v>3726</v>
      </c>
      <c r="AH16" t="s">
        <v>3726</v>
      </c>
      <c r="AI16">
        <v>28000</v>
      </c>
      <c r="AJ16">
        <v>6000</v>
      </c>
      <c r="AK16" t="s">
        <v>3820</v>
      </c>
      <c r="AL16">
        <v>28000</v>
      </c>
      <c r="AM16">
        <v>400.1</v>
      </c>
      <c r="AN16">
        <v>400.1</v>
      </c>
      <c r="AO16">
        <v>3159</v>
      </c>
      <c r="AP16">
        <v>3159</v>
      </c>
      <c r="AQ16" t="s">
        <v>3726</v>
      </c>
      <c r="AR16" t="s">
        <v>3726</v>
      </c>
      <c r="AS16">
        <v>0</v>
      </c>
      <c r="AT16" t="s">
        <v>3733</v>
      </c>
      <c r="AU16" t="s">
        <v>3725</v>
      </c>
      <c r="AV16" t="s">
        <v>3726</v>
      </c>
      <c r="AW16" t="s">
        <v>3725</v>
      </c>
      <c r="AX16" t="s">
        <v>3726</v>
      </c>
      <c r="AY16" t="s">
        <v>3726</v>
      </c>
      <c r="AZ16" t="s">
        <v>3726</v>
      </c>
    </row>
    <row r="17" spans="1:52">
      <c r="A17" t="s">
        <v>3821</v>
      </c>
      <c r="B17" t="s">
        <v>3365</v>
      </c>
      <c r="C17" t="s">
        <v>3822</v>
      </c>
      <c r="D17" t="s">
        <v>3717</v>
      </c>
      <c r="E17" t="s">
        <v>3823</v>
      </c>
      <c r="F17" t="s">
        <v>3824</v>
      </c>
      <c r="G17" t="s">
        <v>3825</v>
      </c>
      <c r="H17" t="s">
        <v>3721</v>
      </c>
      <c r="I17">
        <v>64012.4</v>
      </c>
      <c r="J17">
        <v>192037.19</v>
      </c>
      <c r="K17">
        <v>3</v>
      </c>
      <c r="L17" t="s">
        <v>3722</v>
      </c>
      <c r="M17" t="s">
        <v>3826</v>
      </c>
      <c r="N17" t="s">
        <v>3724</v>
      </c>
      <c r="O17" t="s">
        <v>3725</v>
      </c>
      <c r="P17" t="s">
        <v>3726</v>
      </c>
      <c r="Q17" t="s">
        <v>3726</v>
      </c>
      <c r="R17" t="s">
        <v>3726</v>
      </c>
      <c r="S17" t="s">
        <v>3726</v>
      </c>
      <c r="T17" t="s">
        <v>3726</v>
      </c>
      <c r="U17" t="s">
        <v>3726</v>
      </c>
      <c r="V17" t="s">
        <v>3726</v>
      </c>
      <c r="W17" t="s">
        <v>3726</v>
      </c>
      <c r="X17">
        <v>0</v>
      </c>
      <c r="Y17">
        <v>0</v>
      </c>
      <c r="Z17">
        <v>44896.000497685185</v>
      </c>
      <c r="AA17">
        <v>44916.000497685185</v>
      </c>
      <c r="AB17">
        <v>44931.000497685185</v>
      </c>
      <c r="AC17" s="3460">
        <v>44931.000497685185</v>
      </c>
      <c r="AD17" t="s">
        <v>3827</v>
      </c>
      <c r="AE17" t="s">
        <v>3728</v>
      </c>
      <c r="AF17" t="s">
        <v>3828</v>
      </c>
      <c r="AG17" t="s">
        <v>3829</v>
      </c>
      <c r="AH17" t="s">
        <v>3830</v>
      </c>
      <c r="AI17">
        <v>177000</v>
      </c>
      <c r="AJ17">
        <v>36000</v>
      </c>
      <c r="AK17" t="s">
        <v>3831</v>
      </c>
      <c r="AL17">
        <v>177000</v>
      </c>
      <c r="AM17">
        <v>1843.39</v>
      </c>
      <c r="AN17">
        <v>1843.39</v>
      </c>
      <c r="AO17">
        <v>9217</v>
      </c>
      <c r="AP17">
        <v>9217</v>
      </c>
      <c r="AQ17" t="s">
        <v>3726</v>
      </c>
      <c r="AR17" t="s">
        <v>3726</v>
      </c>
      <c r="AS17">
        <v>0</v>
      </c>
      <c r="AT17" t="s">
        <v>3832</v>
      </c>
      <c r="AU17" t="s">
        <v>3725</v>
      </c>
      <c r="AV17" t="s">
        <v>3726</v>
      </c>
      <c r="AW17" t="s">
        <v>3725</v>
      </c>
      <c r="AX17" t="s">
        <v>3726</v>
      </c>
      <c r="AY17" t="s">
        <v>3726</v>
      </c>
      <c r="AZ17" t="s">
        <v>3726</v>
      </c>
    </row>
    <row r="18" spans="1:52">
      <c r="A18" t="s">
        <v>3833</v>
      </c>
      <c r="B18" t="s">
        <v>3365</v>
      </c>
      <c r="C18" t="s">
        <v>3834</v>
      </c>
      <c r="D18" t="s">
        <v>3717</v>
      </c>
      <c r="E18" t="s">
        <v>3753</v>
      </c>
      <c r="F18" t="s">
        <v>3754</v>
      </c>
      <c r="G18" t="s">
        <v>3835</v>
      </c>
      <c r="H18" t="s">
        <v>3721</v>
      </c>
      <c r="I18">
        <v>32733.22</v>
      </c>
      <c r="J18">
        <v>72013.08</v>
      </c>
      <c r="K18">
        <v>2.2000000000000002</v>
      </c>
      <c r="L18" t="s">
        <v>3722</v>
      </c>
      <c r="M18" t="s">
        <v>3756</v>
      </c>
      <c r="N18" t="s">
        <v>3724</v>
      </c>
      <c r="O18" t="s">
        <v>3725</v>
      </c>
      <c r="P18" t="s">
        <v>3726</v>
      </c>
      <c r="Q18" t="s">
        <v>3726</v>
      </c>
      <c r="R18" t="s">
        <v>3726</v>
      </c>
      <c r="S18" t="s">
        <v>3726</v>
      </c>
      <c r="T18" t="s">
        <v>3726</v>
      </c>
      <c r="U18" t="s">
        <v>3726</v>
      </c>
      <c r="V18" t="s">
        <v>3726</v>
      </c>
      <c r="W18" t="s">
        <v>3726</v>
      </c>
      <c r="X18">
        <v>0</v>
      </c>
      <c r="Y18">
        <v>0</v>
      </c>
      <c r="Z18">
        <v>44830.000497685185</v>
      </c>
      <c r="AA18">
        <v>44851.000497685185</v>
      </c>
      <c r="AB18">
        <v>44865.000497685185</v>
      </c>
      <c r="AC18" s="3460">
        <v>44865.000497685185</v>
      </c>
      <c r="AD18" t="s">
        <v>3836</v>
      </c>
      <c r="AE18" t="s">
        <v>3728</v>
      </c>
      <c r="AF18" t="s">
        <v>3837</v>
      </c>
      <c r="AG18" t="s">
        <v>3838</v>
      </c>
      <c r="AH18" t="s">
        <v>3742</v>
      </c>
      <c r="AI18">
        <v>149000</v>
      </c>
      <c r="AJ18">
        <v>30000</v>
      </c>
      <c r="AK18" t="s">
        <v>3839</v>
      </c>
      <c r="AL18">
        <v>149000</v>
      </c>
      <c r="AM18">
        <v>3034.63</v>
      </c>
      <c r="AN18">
        <v>3034.63</v>
      </c>
      <c r="AO18">
        <v>20691</v>
      </c>
      <c r="AP18">
        <v>20691</v>
      </c>
      <c r="AQ18" t="s">
        <v>3726</v>
      </c>
      <c r="AR18" t="s">
        <v>3726</v>
      </c>
      <c r="AS18">
        <v>0</v>
      </c>
      <c r="AT18" t="s">
        <v>3733</v>
      </c>
      <c r="AU18" t="s">
        <v>3725</v>
      </c>
      <c r="AV18" t="s">
        <v>3726</v>
      </c>
      <c r="AW18" t="s">
        <v>3725</v>
      </c>
      <c r="AX18" t="s">
        <v>3726</v>
      </c>
      <c r="AY18" t="s">
        <v>3726</v>
      </c>
      <c r="AZ18" t="s">
        <v>3726</v>
      </c>
    </row>
    <row r="19" spans="1:52">
      <c r="A19" t="s">
        <v>3840</v>
      </c>
      <c r="B19" t="s">
        <v>3365</v>
      </c>
      <c r="C19" t="s">
        <v>3841</v>
      </c>
      <c r="D19" t="s">
        <v>3717</v>
      </c>
      <c r="E19" t="s">
        <v>3753</v>
      </c>
      <c r="F19" t="s">
        <v>3754</v>
      </c>
      <c r="G19" t="s">
        <v>3835</v>
      </c>
      <c r="H19" t="s">
        <v>3721</v>
      </c>
      <c r="I19">
        <v>29506.55</v>
      </c>
      <c r="J19">
        <v>64914.41</v>
      </c>
      <c r="K19">
        <v>2.2000000000000002</v>
      </c>
      <c r="L19" t="s">
        <v>3722</v>
      </c>
      <c r="M19" t="s">
        <v>3756</v>
      </c>
      <c r="N19" t="s">
        <v>3724</v>
      </c>
      <c r="O19" t="s">
        <v>3725</v>
      </c>
      <c r="P19" t="s">
        <v>3726</v>
      </c>
      <c r="Q19" t="s">
        <v>3726</v>
      </c>
      <c r="R19" t="s">
        <v>3726</v>
      </c>
      <c r="S19" t="s">
        <v>3726</v>
      </c>
      <c r="T19" t="s">
        <v>3726</v>
      </c>
      <c r="U19" t="s">
        <v>3726</v>
      </c>
      <c r="V19" t="s">
        <v>3726</v>
      </c>
      <c r="W19" t="s">
        <v>3726</v>
      </c>
      <c r="X19">
        <v>0</v>
      </c>
      <c r="Y19">
        <v>0</v>
      </c>
      <c r="Z19">
        <v>44830.000497685185</v>
      </c>
      <c r="AA19">
        <v>44851.000497685185</v>
      </c>
      <c r="AB19">
        <v>44865.000497685185</v>
      </c>
      <c r="AC19" s="3460">
        <v>44865.000497685185</v>
      </c>
      <c r="AD19" t="s">
        <v>3842</v>
      </c>
      <c r="AE19" t="s">
        <v>3728</v>
      </c>
      <c r="AF19" t="s">
        <v>3843</v>
      </c>
      <c r="AG19" t="s">
        <v>3838</v>
      </c>
      <c r="AH19" t="s">
        <v>3742</v>
      </c>
      <c r="AI19">
        <v>135000</v>
      </c>
      <c r="AJ19">
        <v>27000</v>
      </c>
      <c r="AK19" t="s">
        <v>3839</v>
      </c>
      <c r="AL19">
        <v>135000</v>
      </c>
      <c r="AM19">
        <v>3050.17</v>
      </c>
      <c r="AN19">
        <v>3050.17</v>
      </c>
      <c r="AO19">
        <v>20797</v>
      </c>
      <c r="AP19">
        <v>20797</v>
      </c>
      <c r="AQ19" t="s">
        <v>3726</v>
      </c>
      <c r="AR19" t="s">
        <v>3726</v>
      </c>
      <c r="AS19">
        <v>0</v>
      </c>
      <c r="AT19" t="s">
        <v>3733</v>
      </c>
      <c r="AU19" t="s">
        <v>3725</v>
      </c>
      <c r="AV19" t="s">
        <v>3726</v>
      </c>
      <c r="AW19" t="s">
        <v>3725</v>
      </c>
      <c r="AX19" t="s">
        <v>3726</v>
      </c>
      <c r="AY19" t="s">
        <v>3726</v>
      </c>
      <c r="AZ19" t="s">
        <v>3726</v>
      </c>
    </row>
    <row r="20" spans="1:52">
      <c r="A20" t="s">
        <v>3844</v>
      </c>
      <c r="B20" t="s">
        <v>3365</v>
      </c>
      <c r="C20" t="s">
        <v>3845</v>
      </c>
      <c r="D20" t="s">
        <v>3717</v>
      </c>
      <c r="E20" t="s">
        <v>3735</v>
      </c>
      <c r="F20" t="s">
        <v>3736</v>
      </c>
      <c r="G20" t="s">
        <v>3737</v>
      </c>
      <c r="H20" t="s">
        <v>3721</v>
      </c>
      <c r="I20">
        <v>12629.88</v>
      </c>
      <c r="J20">
        <v>80000</v>
      </c>
      <c r="K20" t="s">
        <v>3846</v>
      </c>
      <c r="L20" t="s">
        <v>3722</v>
      </c>
      <c r="M20" t="s">
        <v>3723</v>
      </c>
      <c r="N20" t="s">
        <v>3724</v>
      </c>
      <c r="O20" t="s">
        <v>3725</v>
      </c>
      <c r="P20">
        <v>0.4</v>
      </c>
      <c r="Q20" t="s">
        <v>3726</v>
      </c>
      <c r="R20" t="s">
        <v>3726</v>
      </c>
      <c r="S20" t="s">
        <v>3726</v>
      </c>
      <c r="T20" t="s">
        <v>3726</v>
      </c>
      <c r="U20" t="s">
        <v>3726</v>
      </c>
      <c r="V20">
        <v>0</v>
      </c>
      <c r="W20">
        <v>0</v>
      </c>
      <c r="X20">
        <v>0</v>
      </c>
      <c r="Y20">
        <v>0</v>
      </c>
      <c r="Z20">
        <v>44764.000497685185</v>
      </c>
      <c r="AA20">
        <v>44784.000497685185</v>
      </c>
      <c r="AB20">
        <v>44798.000497685185</v>
      </c>
      <c r="AC20" s="3460">
        <v>44798.000497685185</v>
      </c>
      <c r="AD20" t="s">
        <v>3847</v>
      </c>
      <c r="AE20" t="s">
        <v>3728</v>
      </c>
      <c r="AF20" t="s">
        <v>3848</v>
      </c>
      <c r="AG20" t="s">
        <v>3849</v>
      </c>
      <c r="AH20" t="s">
        <v>3850</v>
      </c>
      <c r="AI20">
        <v>166000</v>
      </c>
      <c r="AJ20">
        <v>34000</v>
      </c>
      <c r="AK20" t="s">
        <v>3851</v>
      </c>
      <c r="AL20">
        <v>166000</v>
      </c>
      <c r="AM20">
        <v>8762.2900000000009</v>
      </c>
      <c r="AN20">
        <v>8762.2900000000009</v>
      </c>
      <c r="AO20">
        <v>20750</v>
      </c>
      <c r="AP20">
        <v>20750</v>
      </c>
      <c r="AQ20" t="s">
        <v>3726</v>
      </c>
      <c r="AR20" t="s">
        <v>3726</v>
      </c>
      <c r="AS20">
        <v>0</v>
      </c>
      <c r="AT20" t="s">
        <v>3733</v>
      </c>
      <c r="AU20" t="s">
        <v>3725</v>
      </c>
      <c r="AV20" t="s">
        <v>3726</v>
      </c>
      <c r="AW20" t="s">
        <v>3725</v>
      </c>
      <c r="AX20" t="s">
        <v>3726</v>
      </c>
      <c r="AY20" t="s">
        <v>3726</v>
      </c>
      <c r="AZ20">
        <v>-20750</v>
      </c>
    </row>
    <row r="21" spans="1:52">
      <c r="A21" t="s">
        <v>3852</v>
      </c>
      <c r="B21" t="s">
        <v>3365</v>
      </c>
      <c r="C21" t="s">
        <v>3853</v>
      </c>
      <c r="D21" t="s">
        <v>3717</v>
      </c>
      <c r="E21" t="s">
        <v>3763</v>
      </c>
      <c r="F21" t="s">
        <v>3854</v>
      </c>
      <c r="G21" t="s">
        <v>3855</v>
      </c>
      <c r="H21" t="s">
        <v>3721</v>
      </c>
      <c r="I21">
        <v>10000</v>
      </c>
      <c r="J21">
        <v>22000</v>
      </c>
      <c r="K21" t="s">
        <v>3856</v>
      </c>
      <c r="L21" t="s">
        <v>3722</v>
      </c>
      <c r="M21" t="s">
        <v>3756</v>
      </c>
      <c r="N21" t="s">
        <v>3724</v>
      </c>
      <c r="O21" t="s">
        <v>3725</v>
      </c>
      <c r="P21" t="s">
        <v>3726</v>
      </c>
      <c r="Q21" t="s">
        <v>3726</v>
      </c>
      <c r="R21" t="s">
        <v>3726</v>
      </c>
      <c r="S21" t="s">
        <v>3726</v>
      </c>
      <c r="T21" t="s">
        <v>3726</v>
      </c>
      <c r="U21" t="s">
        <v>3726</v>
      </c>
      <c r="V21" t="s">
        <v>3726</v>
      </c>
      <c r="W21" t="s">
        <v>3726</v>
      </c>
      <c r="X21">
        <v>0</v>
      </c>
      <c r="Y21">
        <v>0</v>
      </c>
      <c r="Z21">
        <v>44760.000497685185</v>
      </c>
      <c r="AA21">
        <v>44782.000497685185</v>
      </c>
      <c r="AB21">
        <v>44795.000497685185</v>
      </c>
      <c r="AC21" s="3460">
        <v>44795.000497685185</v>
      </c>
      <c r="AD21" t="s">
        <v>3857</v>
      </c>
      <c r="AE21" t="s">
        <v>3728</v>
      </c>
      <c r="AF21" t="s">
        <v>3858</v>
      </c>
      <c r="AG21" t="s">
        <v>3859</v>
      </c>
      <c r="AH21" t="s">
        <v>3726</v>
      </c>
      <c r="AI21">
        <v>36400</v>
      </c>
      <c r="AJ21">
        <v>7300</v>
      </c>
      <c r="AK21" t="s">
        <v>3860</v>
      </c>
      <c r="AL21">
        <v>36400</v>
      </c>
      <c r="AM21">
        <v>2426.67</v>
      </c>
      <c r="AN21">
        <v>2426.67</v>
      </c>
      <c r="AO21">
        <v>16545</v>
      </c>
      <c r="AP21">
        <v>16545</v>
      </c>
      <c r="AQ21" t="s">
        <v>3726</v>
      </c>
      <c r="AR21" t="s">
        <v>3726</v>
      </c>
      <c r="AS21">
        <v>0</v>
      </c>
      <c r="AT21" t="s">
        <v>3861</v>
      </c>
      <c r="AU21" t="s">
        <v>3725</v>
      </c>
      <c r="AV21" t="s">
        <v>3726</v>
      </c>
      <c r="AW21" t="s">
        <v>3725</v>
      </c>
      <c r="AX21" t="s">
        <v>3726</v>
      </c>
      <c r="AY21" t="s">
        <v>3726</v>
      </c>
      <c r="AZ21" t="s">
        <v>3726</v>
      </c>
    </row>
    <row r="22" spans="1:52">
      <c r="A22" t="s">
        <v>3862</v>
      </c>
      <c r="B22" t="s">
        <v>3365</v>
      </c>
      <c r="C22" t="s">
        <v>3863</v>
      </c>
      <c r="D22" t="s">
        <v>3717</v>
      </c>
      <c r="E22" t="s">
        <v>3763</v>
      </c>
      <c r="F22" t="s">
        <v>3854</v>
      </c>
      <c r="G22" t="s">
        <v>3855</v>
      </c>
      <c r="H22" t="s">
        <v>3721</v>
      </c>
      <c r="I22">
        <v>5500</v>
      </c>
      <c r="J22">
        <v>12100</v>
      </c>
      <c r="K22" t="s">
        <v>3856</v>
      </c>
      <c r="L22" t="s">
        <v>3722</v>
      </c>
      <c r="M22" t="s">
        <v>3756</v>
      </c>
      <c r="N22" t="s">
        <v>3724</v>
      </c>
      <c r="O22" t="s">
        <v>3725</v>
      </c>
      <c r="P22" t="s">
        <v>3726</v>
      </c>
      <c r="Q22" t="s">
        <v>3726</v>
      </c>
      <c r="R22" t="s">
        <v>3726</v>
      </c>
      <c r="S22" t="s">
        <v>3726</v>
      </c>
      <c r="T22" t="s">
        <v>3726</v>
      </c>
      <c r="U22" t="s">
        <v>3726</v>
      </c>
      <c r="V22" t="s">
        <v>3726</v>
      </c>
      <c r="W22" t="s">
        <v>3726</v>
      </c>
      <c r="X22">
        <v>0</v>
      </c>
      <c r="Y22">
        <v>0</v>
      </c>
      <c r="Z22">
        <v>44760.000497685185</v>
      </c>
      <c r="AA22">
        <v>44782.000497685185</v>
      </c>
      <c r="AB22">
        <v>44796.000497685185</v>
      </c>
      <c r="AC22" s="3460">
        <v>44796.000497685185</v>
      </c>
      <c r="AD22" t="s">
        <v>3864</v>
      </c>
      <c r="AE22" t="s">
        <v>3728</v>
      </c>
      <c r="AF22" t="s">
        <v>3865</v>
      </c>
      <c r="AG22" t="s">
        <v>3726</v>
      </c>
      <c r="AH22" t="s">
        <v>3726</v>
      </c>
      <c r="AI22">
        <v>20000</v>
      </c>
      <c r="AJ22">
        <v>4000</v>
      </c>
      <c r="AK22" t="s">
        <v>3860</v>
      </c>
      <c r="AL22">
        <v>20000</v>
      </c>
      <c r="AM22">
        <v>2424.2399999999998</v>
      </c>
      <c r="AN22">
        <v>2424.2399999999998</v>
      </c>
      <c r="AO22">
        <v>16529</v>
      </c>
      <c r="AP22">
        <v>16529</v>
      </c>
      <c r="AQ22" t="s">
        <v>3726</v>
      </c>
      <c r="AR22" t="s">
        <v>3726</v>
      </c>
      <c r="AS22">
        <v>0</v>
      </c>
      <c r="AT22" t="s">
        <v>3861</v>
      </c>
      <c r="AU22" t="s">
        <v>3725</v>
      </c>
      <c r="AV22" t="s">
        <v>3726</v>
      </c>
      <c r="AW22" t="s">
        <v>3725</v>
      </c>
      <c r="AX22" t="s">
        <v>3726</v>
      </c>
      <c r="AY22" t="s">
        <v>3726</v>
      </c>
      <c r="AZ22" t="s">
        <v>3726</v>
      </c>
    </row>
    <row r="23" spans="1:52">
      <c r="A23" t="s">
        <v>3866</v>
      </c>
      <c r="B23" t="s">
        <v>3365</v>
      </c>
      <c r="C23" t="s">
        <v>3867</v>
      </c>
      <c r="D23" t="s">
        <v>3717</v>
      </c>
      <c r="E23" t="s">
        <v>3763</v>
      </c>
      <c r="F23" t="s">
        <v>3868</v>
      </c>
      <c r="G23" t="s">
        <v>3869</v>
      </c>
      <c r="H23" t="s">
        <v>3721</v>
      </c>
      <c r="I23">
        <v>16122.82</v>
      </c>
      <c r="J23">
        <v>45143.91</v>
      </c>
      <c r="K23" t="s">
        <v>3787</v>
      </c>
      <c r="L23" t="s">
        <v>3722</v>
      </c>
      <c r="M23" t="s">
        <v>3756</v>
      </c>
      <c r="N23" t="s">
        <v>3724</v>
      </c>
      <c r="O23" t="s">
        <v>3725</v>
      </c>
      <c r="P23" t="s">
        <v>3726</v>
      </c>
      <c r="Q23" t="s">
        <v>3726</v>
      </c>
      <c r="R23" t="s">
        <v>3726</v>
      </c>
      <c r="S23" t="s">
        <v>3726</v>
      </c>
      <c r="T23" t="s">
        <v>3726</v>
      </c>
      <c r="U23" t="s">
        <v>3726</v>
      </c>
      <c r="V23" t="s">
        <v>3726</v>
      </c>
      <c r="W23" t="s">
        <v>3726</v>
      </c>
      <c r="X23">
        <v>0</v>
      </c>
      <c r="Y23">
        <v>0</v>
      </c>
      <c r="Z23">
        <v>44725.000497685185</v>
      </c>
      <c r="AA23">
        <v>44747.000497685185</v>
      </c>
      <c r="AB23">
        <v>44761.000497685185</v>
      </c>
      <c r="AC23" s="3460">
        <v>44761.000497685185</v>
      </c>
      <c r="AD23" t="s">
        <v>3870</v>
      </c>
      <c r="AE23" t="s">
        <v>3728</v>
      </c>
      <c r="AF23" t="s">
        <v>3871</v>
      </c>
      <c r="AG23" t="s">
        <v>3872</v>
      </c>
      <c r="AH23" t="s">
        <v>3726</v>
      </c>
      <c r="AI23">
        <v>76000</v>
      </c>
      <c r="AJ23">
        <v>16000</v>
      </c>
      <c r="AK23" t="s">
        <v>3873</v>
      </c>
      <c r="AL23">
        <v>76000</v>
      </c>
      <c r="AM23">
        <v>3142.54</v>
      </c>
      <c r="AN23">
        <v>3142.54</v>
      </c>
      <c r="AO23">
        <v>16835</v>
      </c>
      <c r="AP23">
        <v>16835</v>
      </c>
      <c r="AQ23" t="s">
        <v>3726</v>
      </c>
      <c r="AR23" t="s">
        <v>3726</v>
      </c>
      <c r="AS23">
        <v>0</v>
      </c>
      <c r="AT23" t="s">
        <v>3874</v>
      </c>
      <c r="AU23" t="s">
        <v>3725</v>
      </c>
      <c r="AV23" t="s">
        <v>3726</v>
      </c>
      <c r="AW23" t="s">
        <v>3725</v>
      </c>
      <c r="AX23" t="s">
        <v>3726</v>
      </c>
      <c r="AY23" t="s">
        <v>3726</v>
      </c>
      <c r="AZ23" t="s">
        <v>3726</v>
      </c>
    </row>
    <row r="24" spans="1:52">
      <c r="A24" t="s">
        <v>3875</v>
      </c>
      <c r="B24" t="s">
        <v>3365</v>
      </c>
      <c r="C24" t="s">
        <v>3876</v>
      </c>
      <c r="D24" t="s">
        <v>3717</v>
      </c>
      <c r="E24" t="s">
        <v>3794</v>
      </c>
      <c r="F24" t="s">
        <v>3877</v>
      </c>
      <c r="G24" t="s">
        <v>3878</v>
      </c>
      <c r="H24" t="s">
        <v>3721</v>
      </c>
      <c r="I24">
        <v>17308.8</v>
      </c>
      <c r="J24">
        <v>86544</v>
      </c>
      <c r="K24" t="s">
        <v>3879</v>
      </c>
      <c r="L24" t="s">
        <v>3722</v>
      </c>
      <c r="M24" t="s">
        <v>3756</v>
      </c>
      <c r="N24" t="s">
        <v>3724</v>
      </c>
      <c r="O24" t="s">
        <v>3725</v>
      </c>
      <c r="P24" t="s">
        <v>3880</v>
      </c>
      <c r="Q24">
        <v>100</v>
      </c>
      <c r="R24" t="s">
        <v>3726</v>
      </c>
      <c r="S24" t="s">
        <v>3726</v>
      </c>
      <c r="T24" t="s">
        <v>3726</v>
      </c>
      <c r="U24" t="s">
        <v>3726</v>
      </c>
      <c r="V24" t="s">
        <v>3726</v>
      </c>
      <c r="W24" t="s">
        <v>3726</v>
      </c>
      <c r="X24">
        <v>0</v>
      </c>
      <c r="Y24">
        <v>0</v>
      </c>
      <c r="Z24">
        <v>44701.000497685185</v>
      </c>
      <c r="AA24">
        <v>44721.000497685185</v>
      </c>
      <c r="AB24">
        <v>44735.000497685185</v>
      </c>
      <c r="AC24" s="3460">
        <v>44735.000497685185</v>
      </c>
      <c r="AD24" t="s">
        <v>3881</v>
      </c>
      <c r="AE24" t="s">
        <v>3728</v>
      </c>
      <c r="AF24" t="s">
        <v>3882</v>
      </c>
      <c r="AG24" t="s">
        <v>3883</v>
      </c>
      <c r="AH24" t="s">
        <v>3726</v>
      </c>
      <c r="AI24">
        <v>91400</v>
      </c>
      <c r="AJ24">
        <v>18300</v>
      </c>
      <c r="AK24" t="s">
        <v>3884</v>
      </c>
      <c r="AL24">
        <v>91400</v>
      </c>
      <c r="AM24">
        <v>3520.37</v>
      </c>
      <c r="AN24">
        <v>3520.37</v>
      </c>
      <c r="AO24">
        <v>10561</v>
      </c>
      <c r="AP24">
        <v>10561</v>
      </c>
      <c r="AQ24" t="s">
        <v>3726</v>
      </c>
      <c r="AR24" t="s">
        <v>3726</v>
      </c>
      <c r="AS24">
        <v>0</v>
      </c>
      <c r="AT24" t="s">
        <v>3885</v>
      </c>
      <c r="AU24" t="s">
        <v>3725</v>
      </c>
      <c r="AV24" t="s">
        <v>3726</v>
      </c>
      <c r="AW24" t="s">
        <v>3725</v>
      </c>
      <c r="AX24" t="s">
        <v>3726</v>
      </c>
      <c r="AY24" t="s">
        <v>3726</v>
      </c>
      <c r="AZ24" t="s">
        <v>3726</v>
      </c>
    </row>
    <row r="25" spans="1:52">
      <c r="A25" t="s">
        <v>3886</v>
      </c>
      <c r="B25" t="s">
        <v>3365</v>
      </c>
      <c r="C25" t="s">
        <v>3887</v>
      </c>
      <c r="D25" t="s">
        <v>3717</v>
      </c>
      <c r="E25" t="s">
        <v>3794</v>
      </c>
      <c r="F25" t="s">
        <v>3888</v>
      </c>
      <c r="G25" t="s">
        <v>3805</v>
      </c>
      <c r="H25" t="s">
        <v>3721</v>
      </c>
      <c r="I25">
        <v>59169.74</v>
      </c>
      <c r="J25">
        <v>130173.43</v>
      </c>
      <c r="K25" t="s">
        <v>3856</v>
      </c>
      <c r="L25" t="s">
        <v>3722</v>
      </c>
      <c r="M25" t="s">
        <v>3756</v>
      </c>
      <c r="N25" t="s">
        <v>3724</v>
      </c>
      <c r="O25" t="s">
        <v>3725</v>
      </c>
      <c r="P25" t="s">
        <v>3726</v>
      </c>
      <c r="Q25" t="s">
        <v>3726</v>
      </c>
      <c r="R25" t="s">
        <v>3726</v>
      </c>
      <c r="S25" t="s">
        <v>3726</v>
      </c>
      <c r="T25" t="s">
        <v>3726</v>
      </c>
      <c r="U25" t="s">
        <v>3726</v>
      </c>
      <c r="V25" t="s">
        <v>3726</v>
      </c>
      <c r="W25" t="s">
        <v>3726</v>
      </c>
      <c r="X25">
        <v>0</v>
      </c>
      <c r="Y25">
        <v>0</v>
      </c>
      <c r="Z25">
        <v>44648.000497685185</v>
      </c>
      <c r="AA25">
        <v>44669.000497685185</v>
      </c>
      <c r="AB25">
        <v>44680.000497685185</v>
      </c>
      <c r="AC25" s="3460">
        <v>44680.000497685185</v>
      </c>
      <c r="AD25" t="s">
        <v>3889</v>
      </c>
      <c r="AE25" t="s">
        <v>3728</v>
      </c>
      <c r="AF25" t="s">
        <v>3890</v>
      </c>
      <c r="AG25" t="s">
        <v>3891</v>
      </c>
      <c r="AH25" t="s">
        <v>3742</v>
      </c>
      <c r="AI25">
        <v>131600</v>
      </c>
      <c r="AJ25">
        <v>27000</v>
      </c>
      <c r="AK25" t="s">
        <v>3892</v>
      </c>
      <c r="AL25">
        <v>131600</v>
      </c>
      <c r="AM25">
        <v>1482.74</v>
      </c>
      <c r="AN25">
        <v>1482.74</v>
      </c>
      <c r="AO25">
        <v>10110</v>
      </c>
      <c r="AP25">
        <v>10110</v>
      </c>
      <c r="AQ25" t="s">
        <v>3726</v>
      </c>
      <c r="AR25" t="s">
        <v>3726</v>
      </c>
      <c r="AS25">
        <v>0</v>
      </c>
      <c r="AT25" t="s">
        <v>3733</v>
      </c>
      <c r="AU25" t="s">
        <v>3725</v>
      </c>
      <c r="AV25" t="s">
        <v>3726</v>
      </c>
      <c r="AW25" t="s">
        <v>3725</v>
      </c>
      <c r="AX25" t="s">
        <v>3726</v>
      </c>
      <c r="AY25" t="s">
        <v>3726</v>
      </c>
      <c r="AZ25" t="s">
        <v>3726</v>
      </c>
    </row>
    <row r="26" spans="1:52">
      <c r="A26" t="s">
        <v>3893</v>
      </c>
      <c r="B26" t="s">
        <v>3365</v>
      </c>
      <c r="C26" t="s">
        <v>3894</v>
      </c>
      <c r="D26" t="s">
        <v>3717</v>
      </c>
      <c r="E26" t="s">
        <v>3794</v>
      </c>
      <c r="F26" t="s">
        <v>3804</v>
      </c>
      <c r="G26" t="s">
        <v>3895</v>
      </c>
      <c r="H26" t="s">
        <v>3721</v>
      </c>
      <c r="I26">
        <v>12066.9</v>
      </c>
      <c r="J26">
        <v>18100.349999999999</v>
      </c>
      <c r="K26">
        <v>1.5</v>
      </c>
      <c r="L26" t="s">
        <v>3722</v>
      </c>
      <c r="M26" t="s">
        <v>3723</v>
      </c>
      <c r="N26" t="s">
        <v>3724</v>
      </c>
      <c r="O26" t="s">
        <v>3725</v>
      </c>
      <c r="P26" t="s">
        <v>3896</v>
      </c>
      <c r="Q26" t="s">
        <v>3897</v>
      </c>
      <c r="R26" t="s">
        <v>3726</v>
      </c>
      <c r="S26" t="s">
        <v>3726</v>
      </c>
      <c r="T26" t="s">
        <v>3726</v>
      </c>
      <c r="U26" t="s">
        <v>3726</v>
      </c>
      <c r="V26">
        <v>0</v>
      </c>
      <c r="W26">
        <v>0</v>
      </c>
      <c r="X26">
        <v>0</v>
      </c>
      <c r="Y26">
        <v>0</v>
      </c>
      <c r="Z26">
        <v>44587.000497685185</v>
      </c>
      <c r="AA26">
        <v>44607.000497685185</v>
      </c>
      <c r="AB26">
        <v>44621.000497685185</v>
      </c>
      <c r="AC26" s="3460">
        <v>44621.000497685185</v>
      </c>
      <c r="AD26" t="s">
        <v>3898</v>
      </c>
      <c r="AE26" t="s">
        <v>3728</v>
      </c>
      <c r="AF26" t="s">
        <v>3890</v>
      </c>
      <c r="AG26" t="s">
        <v>3726</v>
      </c>
      <c r="AH26" t="s">
        <v>3726</v>
      </c>
      <c r="AI26">
        <v>9400</v>
      </c>
      <c r="AJ26">
        <v>1900</v>
      </c>
      <c r="AK26" t="s">
        <v>633</v>
      </c>
      <c r="AL26">
        <v>9400</v>
      </c>
      <c r="AM26">
        <v>519.33000000000004</v>
      </c>
      <c r="AN26">
        <v>519.33000000000004</v>
      </c>
      <c r="AO26">
        <v>5193</v>
      </c>
      <c r="AP26">
        <v>5193</v>
      </c>
      <c r="AQ26" t="s">
        <v>3726</v>
      </c>
      <c r="AR26" t="s">
        <v>3726</v>
      </c>
      <c r="AS26">
        <v>0</v>
      </c>
      <c r="AT26" t="s">
        <v>3899</v>
      </c>
      <c r="AU26" t="s">
        <v>3725</v>
      </c>
      <c r="AV26" t="s">
        <v>3726</v>
      </c>
      <c r="AW26" t="s">
        <v>3725</v>
      </c>
      <c r="AX26" t="s">
        <v>3726</v>
      </c>
      <c r="AY26" t="s">
        <v>3726</v>
      </c>
      <c r="AZ26" t="s">
        <v>3726</v>
      </c>
    </row>
    <row r="27" spans="1:52">
      <c r="A27" t="s">
        <v>3900</v>
      </c>
      <c r="B27" t="s">
        <v>3365</v>
      </c>
      <c r="C27" t="s">
        <v>3901</v>
      </c>
      <c r="D27" t="s">
        <v>3717</v>
      </c>
      <c r="E27" t="s">
        <v>3794</v>
      </c>
      <c r="F27" t="s">
        <v>3902</v>
      </c>
      <c r="G27" t="s">
        <v>3903</v>
      </c>
      <c r="H27" t="s">
        <v>3721</v>
      </c>
      <c r="I27">
        <v>15178.6</v>
      </c>
      <c r="J27">
        <v>45535.8</v>
      </c>
      <c r="K27">
        <v>3</v>
      </c>
      <c r="L27" t="s">
        <v>3722</v>
      </c>
      <c r="M27" t="s">
        <v>3756</v>
      </c>
      <c r="N27" t="s">
        <v>3724</v>
      </c>
      <c r="O27" t="s">
        <v>3725</v>
      </c>
      <c r="P27" t="s">
        <v>3726</v>
      </c>
      <c r="Q27" t="s">
        <v>3726</v>
      </c>
      <c r="R27" t="s">
        <v>3726</v>
      </c>
      <c r="S27" t="s">
        <v>3726</v>
      </c>
      <c r="T27" t="s">
        <v>3726</v>
      </c>
      <c r="U27" t="s">
        <v>3726</v>
      </c>
      <c r="V27" t="s">
        <v>3726</v>
      </c>
      <c r="W27" t="s">
        <v>3726</v>
      </c>
      <c r="X27">
        <v>0</v>
      </c>
      <c r="Y27">
        <v>0</v>
      </c>
      <c r="Z27">
        <v>44561.000497685185</v>
      </c>
      <c r="AA27">
        <v>44581.000497685185</v>
      </c>
      <c r="AB27">
        <v>44600.000497685185</v>
      </c>
      <c r="AC27" s="3460">
        <v>44600.000497685185</v>
      </c>
      <c r="AD27" t="s">
        <v>3904</v>
      </c>
      <c r="AE27" t="s">
        <v>3728</v>
      </c>
      <c r="AF27" t="s">
        <v>3905</v>
      </c>
      <c r="AG27" t="s">
        <v>3906</v>
      </c>
      <c r="AH27" t="s">
        <v>3742</v>
      </c>
      <c r="AI27">
        <v>58400</v>
      </c>
      <c r="AJ27">
        <v>11700</v>
      </c>
      <c r="AK27" t="s">
        <v>633</v>
      </c>
      <c r="AL27">
        <v>58400</v>
      </c>
      <c r="AM27">
        <v>2565.0100000000002</v>
      </c>
      <c r="AN27">
        <v>2565.0100000000002</v>
      </c>
      <c r="AO27">
        <v>12825</v>
      </c>
      <c r="AP27">
        <v>12825</v>
      </c>
      <c r="AQ27" t="s">
        <v>3726</v>
      </c>
      <c r="AR27" t="s">
        <v>3726</v>
      </c>
      <c r="AS27">
        <v>0</v>
      </c>
      <c r="AT27" t="s">
        <v>3861</v>
      </c>
      <c r="AU27" t="s">
        <v>3725</v>
      </c>
      <c r="AV27" t="s">
        <v>3726</v>
      </c>
      <c r="AW27" t="s">
        <v>3725</v>
      </c>
      <c r="AX27" t="s">
        <v>3726</v>
      </c>
      <c r="AY27" t="s">
        <v>3726</v>
      </c>
      <c r="AZ27" t="s">
        <v>3726</v>
      </c>
    </row>
    <row r="28" spans="1:52">
      <c r="A28" t="s">
        <v>3907</v>
      </c>
      <c r="B28" t="s">
        <v>3365</v>
      </c>
      <c r="C28" t="s">
        <v>3908</v>
      </c>
      <c r="D28" t="s">
        <v>3717</v>
      </c>
      <c r="E28" t="s">
        <v>3909</v>
      </c>
      <c r="F28" t="s">
        <v>3910</v>
      </c>
      <c r="G28" t="s">
        <v>3911</v>
      </c>
      <c r="H28" t="s">
        <v>3721</v>
      </c>
      <c r="I28">
        <v>19258.580000000002</v>
      </c>
      <c r="J28">
        <v>38517.17</v>
      </c>
      <c r="K28">
        <v>2</v>
      </c>
      <c r="L28" t="s">
        <v>3722</v>
      </c>
      <c r="M28" t="s">
        <v>3756</v>
      </c>
      <c r="N28" t="s">
        <v>3724</v>
      </c>
      <c r="O28" t="s">
        <v>3725</v>
      </c>
      <c r="P28" t="s">
        <v>3726</v>
      </c>
      <c r="Q28" t="s">
        <v>3912</v>
      </c>
      <c r="R28" t="s">
        <v>3726</v>
      </c>
      <c r="S28" t="s">
        <v>3726</v>
      </c>
      <c r="T28" t="s">
        <v>3726</v>
      </c>
      <c r="U28" t="s">
        <v>3726</v>
      </c>
      <c r="V28" t="s">
        <v>3726</v>
      </c>
      <c r="W28" t="s">
        <v>3726</v>
      </c>
      <c r="X28">
        <v>0</v>
      </c>
      <c r="Y28">
        <v>0</v>
      </c>
      <c r="Z28">
        <v>44546.000497685185</v>
      </c>
      <c r="AA28">
        <v>44566.000497685185</v>
      </c>
      <c r="AB28">
        <v>44580.000497685185</v>
      </c>
      <c r="AC28" s="3460">
        <v>44580.000497685185</v>
      </c>
      <c r="AD28" t="s">
        <v>3913</v>
      </c>
      <c r="AE28" t="s">
        <v>3728</v>
      </c>
      <c r="AF28" t="s">
        <v>3914</v>
      </c>
      <c r="AG28" t="s">
        <v>3726</v>
      </c>
      <c r="AH28" t="s">
        <v>3726</v>
      </c>
      <c r="AI28">
        <v>28400</v>
      </c>
      <c r="AJ28">
        <v>5700</v>
      </c>
      <c r="AK28" t="s">
        <v>3915</v>
      </c>
      <c r="AL28">
        <v>28400</v>
      </c>
      <c r="AM28">
        <v>983.11</v>
      </c>
      <c r="AN28">
        <v>983.11</v>
      </c>
      <c r="AO28">
        <v>7373</v>
      </c>
      <c r="AP28">
        <v>7373</v>
      </c>
      <c r="AQ28" t="s">
        <v>3726</v>
      </c>
      <c r="AR28" t="s">
        <v>3726</v>
      </c>
      <c r="AS28">
        <v>0</v>
      </c>
      <c r="AT28" t="s">
        <v>3861</v>
      </c>
      <c r="AU28" t="s">
        <v>3725</v>
      </c>
      <c r="AV28" t="s">
        <v>3726</v>
      </c>
      <c r="AW28" t="s">
        <v>3725</v>
      </c>
      <c r="AX28" t="s">
        <v>3726</v>
      </c>
      <c r="AY28" t="s">
        <v>3726</v>
      </c>
      <c r="AZ28" t="s">
        <v>3726</v>
      </c>
    </row>
    <row r="29" spans="1:52">
      <c r="A29" t="s">
        <v>3916</v>
      </c>
      <c r="B29" t="s">
        <v>3365</v>
      </c>
      <c r="C29" t="s">
        <v>3917</v>
      </c>
      <c r="D29" t="s">
        <v>3717</v>
      </c>
      <c r="E29" t="s">
        <v>3909</v>
      </c>
      <c r="F29" t="s">
        <v>3910</v>
      </c>
      <c r="G29" t="s">
        <v>3911</v>
      </c>
      <c r="H29" t="s">
        <v>3721</v>
      </c>
      <c r="I29">
        <v>28547.88</v>
      </c>
      <c r="J29">
        <v>51828.53</v>
      </c>
      <c r="K29">
        <v>1.82</v>
      </c>
      <c r="L29" t="s">
        <v>3722</v>
      </c>
      <c r="M29" t="s">
        <v>3756</v>
      </c>
      <c r="N29" t="s">
        <v>3724</v>
      </c>
      <c r="O29" t="s">
        <v>3725</v>
      </c>
      <c r="P29" t="s">
        <v>3726</v>
      </c>
      <c r="Q29" t="s">
        <v>3918</v>
      </c>
      <c r="R29" t="s">
        <v>3726</v>
      </c>
      <c r="S29" t="s">
        <v>3726</v>
      </c>
      <c r="T29" t="s">
        <v>3726</v>
      </c>
      <c r="U29" t="s">
        <v>3726</v>
      </c>
      <c r="V29" t="s">
        <v>3726</v>
      </c>
      <c r="W29" t="s">
        <v>3726</v>
      </c>
      <c r="X29">
        <v>0</v>
      </c>
      <c r="Y29">
        <v>0</v>
      </c>
      <c r="Z29">
        <v>44546.000497685185</v>
      </c>
      <c r="AA29">
        <v>44566.000497685185</v>
      </c>
      <c r="AB29">
        <v>44580.000497685185</v>
      </c>
      <c r="AC29" s="3460">
        <v>44580.000497685185</v>
      </c>
      <c r="AD29" t="s">
        <v>3919</v>
      </c>
      <c r="AE29" t="s">
        <v>3728</v>
      </c>
      <c r="AF29" t="s">
        <v>3920</v>
      </c>
      <c r="AG29" t="s">
        <v>3921</v>
      </c>
      <c r="AH29" t="s">
        <v>3742</v>
      </c>
      <c r="AI29">
        <v>37700</v>
      </c>
      <c r="AJ29">
        <v>7600</v>
      </c>
      <c r="AK29" t="s">
        <v>3915</v>
      </c>
      <c r="AL29">
        <v>37700</v>
      </c>
      <c r="AM29">
        <v>880.39</v>
      </c>
      <c r="AN29">
        <v>880.39</v>
      </c>
      <c r="AO29">
        <v>7274</v>
      </c>
      <c r="AP29">
        <v>7274</v>
      </c>
      <c r="AQ29" t="s">
        <v>3726</v>
      </c>
      <c r="AR29" t="s">
        <v>3726</v>
      </c>
      <c r="AS29">
        <v>0</v>
      </c>
      <c r="AT29" t="s">
        <v>3861</v>
      </c>
      <c r="AU29" t="s">
        <v>3725</v>
      </c>
      <c r="AV29" t="s">
        <v>3726</v>
      </c>
      <c r="AW29" t="s">
        <v>3725</v>
      </c>
      <c r="AX29" t="s">
        <v>3726</v>
      </c>
      <c r="AY29" t="s">
        <v>3726</v>
      </c>
      <c r="AZ29" t="s">
        <v>3726</v>
      </c>
    </row>
    <row r="30" spans="1:52">
      <c r="A30" t="s">
        <v>3922</v>
      </c>
      <c r="B30" t="s">
        <v>3365</v>
      </c>
      <c r="C30" t="s">
        <v>3923</v>
      </c>
      <c r="D30" t="s">
        <v>3717</v>
      </c>
      <c r="E30" t="s">
        <v>3763</v>
      </c>
      <c r="F30" t="s">
        <v>3924</v>
      </c>
      <c r="G30" t="s">
        <v>3925</v>
      </c>
      <c r="H30" t="s">
        <v>3721</v>
      </c>
      <c r="I30">
        <v>29991.73</v>
      </c>
      <c r="J30">
        <v>119966.93</v>
      </c>
      <c r="K30">
        <v>4</v>
      </c>
      <c r="L30" t="s">
        <v>3722</v>
      </c>
      <c r="M30" t="s">
        <v>3756</v>
      </c>
      <c r="N30" t="s">
        <v>3724</v>
      </c>
      <c r="O30" t="s">
        <v>3725</v>
      </c>
      <c r="P30" t="s">
        <v>3726</v>
      </c>
      <c r="Q30">
        <v>100</v>
      </c>
      <c r="R30" t="s">
        <v>3726</v>
      </c>
      <c r="S30" t="s">
        <v>3726</v>
      </c>
      <c r="T30" t="s">
        <v>3726</v>
      </c>
      <c r="U30" t="s">
        <v>3726</v>
      </c>
      <c r="V30" t="s">
        <v>3726</v>
      </c>
      <c r="W30" t="s">
        <v>3726</v>
      </c>
      <c r="X30">
        <v>0</v>
      </c>
      <c r="Y30">
        <v>0</v>
      </c>
      <c r="Z30">
        <v>44531.000497685185</v>
      </c>
      <c r="AA30">
        <v>44551.000497685185</v>
      </c>
      <c r="AB30">
        <v>44566.000497685185</v>
      </c>
      <c r="AC30" s="3460">
        <v>44566.000497685185</v>
      </c>
      <c r="AD30" t="s">
        <v>3926</v>
      </c>
      <c r="AE30" t="s">
        <v>3728</v>
      </c>
      <c r="AF30" t="s">
        <v>3927</v>
      </c>
      <c r="AG30" t="s">
        <v>3726</v>
      </c>
      <c r="AH30" t="s">
        <v>3726</v>
      </c>
      <c r="AI30">
        <v>165300</v>
      </c>
      <c r="AJ30">
        <v>33100</v>
      </c>
      <c r="AK30" t="s">
        <v>633</v>
      </c>
      <c r="AL30">
        <v>165300</v>
      </c>
      <c r="AM30">
        <v>3674.35</v>
      </c>
      <c r="AN30">
        <v>3674.35</v>
      </c>
      <c r="AO30">
        <v>13779</v>
      </c>
      <c r="AP30">
        <v>13779</v>
      </c>
      <c r="AQ30" t="s">
        <v>3726</v>
      </c>
      <c r="AR30" t="s">
        <v>3726</v>
      </c>
      <c r="AS30">
        <v>0</v>
      </c>
      <c r="AT30" t="s">
        <v>3928</v>
      </c>
      <c r="AU30" t="s">
        <v>3725</v>
      </c>
      <c r="AV30" t="s">
        <v>3726</v>
      </c>
      <c r="AW30" t="s">
        <v>3725</v>
      </c>
      <c r="AX30" t="s">
        <v>3726</v>
      </c>
      <c r="AY30" t="s">
        <v>3726</v>
      </c>
      <c r="AZ30" t="s">
        <v>3726</v>
      </c>
    </row>
    <row r="31" spans="1:52">
      <c r="A31" t="s">
        <v>3929</v>
      </c>
      <c r="B31" t="s">
        <v>3365</v>
      </c>
      <c r="C31" t="s">
        <v>3930</v>
      </c>
      <c r="D31" t="s">
        <v>3717</v>
      </c>
      <c r="E31" t="s">
        <v>3794</v>
      </c>
      <c r="F31" t="s">
        <v>3931</v>
      </c>
      <c r="G31" t="s">
        <v>3932</v>
      </c>
      <c r="H31" t="s">
        <v>3721</v>
      </c>
      <c r="I31">
        <v>15197.52</v>
      </c>
      <c r="J31">
        <v>30395.05</v>
      </c>
      <c r="K31">
        <v>2</v>
      </c>
      <c r="L31" t="s">
        <v>3722</v>
      </c>
      <c r="M31" t="s">
        <v>3933</v>
      </c>
      <c r="N31" t="s">
        <v>3934</v>
      </c>
      <c r="O31" t="s">
        <v>3725</v>
      </c>
      <c r="P31" t="s">
        <v>3726</v>
      </c>
      <c r="Q31">
        <v>36</v>
      </c>
      <c r="R31" t="s">
        <v>3726</v>
      </c>
      <c r="S31" t="s">
        <v>3726</v>
      </c>
      <c r="T31" t="s">
        <v>3726</v>
      </c>
      <c r="U31" t="s">
        <v>3726</v>
      </c>
      <c r="V31" t="s">
        <v>3726</v>
      </c>
      <c r="W31" t="s">
        <v>3726</v>
      </c>
      <c r="X31">
        <v>0</v>
      </c>
      <c r="Y31">
        <v>0</v>
      </c>
      <c r="Z31">
        <v>44519.000497685185</v>
      </c>
      <c r="AA31">
        <v>44540.000497685185</v>
      </c>
      <c r="AB31">
        <v>44554.000497685185</v>
      </c>
      <c r="AC31" s="3460">
        <v>44554.000497685185</v>
      </c>
      <c r="AD31" t="s">
        <v>3935</v>
      </c>
      <c r="AE31" t="s">
        <v>3728</v>
      </c>
      <c r="AF31" t="s">
        <v>3936</v>
      </c>
      <c r="AG31" t="s">
        <v>3937</v>
      </c>
      <c r="AH31" t="s">
        <v>3742</v>
      </c>
      <c r="AI31">
        <v>42600</v>
      </c>
      <c r="AJ31">
        <v>8600</v>
      </c>
      <c r="AK31" t="s">
        <v>3938</v>
      </c>
      <c r="AL31">
        <v>42600</v>
      </c>
      <c r="AM31">
        <v>1868.73</v>
      </c>
      <c r="AN31">
        <v>1868.73</v>
      </c>
      <c r="AO31">
        <v>14015</v>
      </c>
      <c r="AP31">
        <v>14015</v>
      </c>
      <c r="AQ31" t="s">
        <v>3726</v>
      </c>
      <c r="AR31" t="s">
        <v>3726</v>
      </c>
      <c r="AS31">
        <v>0</v>
      </c>
      <c r="AT31" t="s">
        <v>3861</v>
      </c>
      <c r="AU31" t="s">
        <v>3725</v>
      </c>
      <c r="AV31" t="s">
        <v>3726</v>
      </c>
      <c r="AW31" t="s">
        <v>3725</v>
      </c>
      <c r="AX31" t="s">
        <v>3726</v>
      </c>
      <c r="AY31" t="s">
        <v>3726</v>
      </c>
      <c r="AZ31" t="s">
        <v>3726</v>
      </c>
    </row>
    <row r="32" spans="1:52">
      <c r="A32" t="s">
        <v>3939</v>
      </c>
      <c r="B32" t="s">
        <v>3365</v>
      </c>
      <c r="C32" t="s">
        <v>3940</v>
      </c>
      <c r="D32" t="s">
        <v>3717</v>
      </c>
      <c r="E32" t="s">
        <v>3753</v>
      </c>
      <c r="F32" t="s">
        <v>3754</v>
      </c>
      <c r="G32" t="s">
        <v>3941</v>
      </c>
      <c r="H32" t="s">
        <v>3721</v>
      </c>
      <c r="I32">
        <v>38252.550000000003</v>
      </c>
      <c r="J32">
        <v>84155.61</v>
      </c>
      <c r="K32">
        <v>2.2000000000000002</v>
      </c>
      <c r="L32" t="s">
        <v>3722</v>
      </c>
      <c r="M32" t="s">
        <v>3756</v>
      </c>
      <c r="N32" t="s">
        <v>3724</v>
      </c>
      <c r="O32" t="s">
        <v>3725</v>
      </c>
      <c r="P32" t="s">
        <v>3726</v>
      </c>
      <c r="Q32">
        <v>45</v>
      </c>
      <c r="R32" t="s">
        <v>3726</v>
      </c>
      <c r="S32" t="s">
        <v>3726</v>
      </c>
      <c r="T32" t="s">
        <v>3726</v>
      </c>
      <c r="U32" t="s">
        <v>3726</v>
      </c>
      <c r="V32" t="s">
        <v>3726</v>
      </c>
      <c r="W32" t="s">
        <v>3726</v>
      </c>
      <c r="X32">
        <v>0</v>
      </c>
      <c r="Y32">
        <v>0</v>
      </c>
      <c r="Z32">
        <v>44457.000497685185</v>
      </c>
      <c r="AA32">
        <v>44481.000497685185</v>
      </c>
      <c r="AB32">
        <v>44495.000497685185</v>
      </c>
      <c r="AC32" s="3460">
        <v>44495.000497685185</v>
      </c>
      <c r="AD32" t="s">
        <v>3942</v>
      </c>
      <c r="AE32" t="s">
        <v>3728</v>
      </c>
      <c r="AF32" t="s">
        <v>3943</v>
      </c>
      <c r="AG32" t="s">
        <v>3726</v>
      </c>
      <c r="AH32" t="s">
        <v>3726</v>
      </c>
      <c r="AI32">
        <v>175000</v>
      </c>
      <c r="AJ32">
        <v>35000</v>
      </c>
      <c r="AK32" t="s">
        <v>3944</v>
      </c>
      <c r="AL32">
        <v>175000</v>
      </c>
      <c r="AM32">
        <v>3049.91</v>
      </c>
      <c r="AN32">
        <v>3049.91</v>
      </c>
      <c r="AO32">
        <v>20795</v>
      </c>
      <c r="AP32">
        <v>20795</v>
      </c>
      <c r="AQ32" t="s">
        <v>3726</v>
      </c>
      <c r="AR32" t="s">
        <v>3726</v>
      </c>
      <c r="AS32">
        <v>0</v>
      </c>
      <c r="AT32" t="s">
        <v>3928</v>
      </c>
      <c r="AU32" t="s">
        <v>3725</v>
      </c>
      <c r="AV32" t="s">
        <v>3726</v>
      </c>
      <c r="AW32" t="s">
        <v>3725</v>
      </c>
      <c r="AX32" t="s">
        <v>3726</v>
      </c>
      <c r="AY32" t="s">
        <v>3726</v>
      </c>
      <c r="AZ32" t="s">
        <v>3726</v>
      </c>
    </row>
    <row r="33" spans="1:52">
      <c r="A33" t="s">
        <v>3945</v>
      </c>
      <c r="B33" t="s">
        <v>3365</v>
      </c>
      <c r="C33" t="s">
        <v>3946</v>
      </c>
      <c r="D33" t="s">
        <v>3717</v>
      </c>
      <c r="E33" t="s">
        <v>3753</v>
      </c>
      <c r="F33" t="s">
        <v>3754</v>
      </c>
      <c r="G33" t="s">
        <v>3941</v>
      </c>
      <c r="H33" t="s">
        <v>3721</v>
      </c>
      <c r="I33">
        <v>30025.18</v>
      </c>
      <c r="J33">
        <v>66055.39</v>
      </c>
      <c r="K33">
        <v>2.2000000000000002</v>
      </c>
      <c r="L33" t="s">
        <v>3722</v>
      </c>
      <c r="M33" t="s">
        <v>3756</v>
      </c>
      <c r="N33" t="s">
        <v>3724</v>
      </c>
      <c r="O33" t="s">
        <v>3725</v>
      </c>
      <c r="P33" t="s">
        <v>3726</v>
      </c>
      <c r="Q33">
        <v>45</v>
      </c>
      <c r="R33" t="s">
        <v>3726</v>
      </c>
      <c r="S33" t="s">
        <v>3726</v>
      </c>
      <c r="T33" t="s">
        <v>3726</v>
      </c>
      <c r="U33" t="s">
        <v>3726</v>
      </c>
      <c r="V33" t="s">
        <v>3726</v>
      </c>
      <c r="W33" t="s">
        <v>3726</v>
      </c>
      <c r="X33">
        <v>0</v>
      </c>
      <c r="Y33">
        <v>0</v>
      </c>
      <c r="Z33">
        <v>44457.000497685185</v>
      </c>
      <c r="AA33">
        <v>44481.000497685185</v>
      </c>
      <c r="AB33">
        <v>44495.000497685185</v>
      </c>
      <c r="AC33" s="3460">
        <v>44495.000497685185</v>
      </c>
      <c r="AD33" t="s">
        <v>3947</v>
      </c>
      <c r="AE33" t="s">
        <v>3728</v>
      </c>
      <c r="AF33" t="s">
        <v>3948</v>
      </c>
      <c r="AG33" t="s">
        <v>3726</v>
      </c>
      <c r="AH33" t="s">
        <v>3726</v>
      </c>
      <c r="AI33">
        <v>137000</v>
      </c>
      <c r="AJ33">
        <v>137000</v>
      </c>
      <c r="AK33" t="s">
        <v>3944</v>
      </c>
      <c r="AL33">
        <v>137000</v>
      </c>
      <c r="AM33">
        <v>3041.89</v>
      </c>
      <c r="AN33">
        <v>3041.89</v>
      </c>
      <c r="AO33">
        <v>20740</v>
      </c>
      <c r="AP33">
        <v>20740</v>
      </c>
      <c r="AQ33" t="s">
        <v>3726</v>
      </c>
      <c r="AR33" t="s">
        <v>3726</v>
      </c>
      <c r="AS33">
        <v>0</v>
      </c>
      <c r="AT33" t="s">
        <v>3928</v>
      </c>
      <c r="AU33" t="s">
        <v>3725</v>
      </c>
      <c r="AV33" t="s">
        <v>3726</v>
      </c>
      <c r="AW33" t="s">
        <v>3725</v>
      </c>
      <c r="AX33" t="s">
        <v>3726</v>
      </c>
      <c r="AY33" t="s">
        <v>3726</v>
      </c>
      <c r="AZ33" t="s">
        <v>3726</v>
      </c>
    </row>
    <row r="34" spans="1:52">
      <c r="A34" t="s">
        <v>3949</v>
      </c>
      <c r="B34" t="s">
        <v>3365</v>
      </c>
      <c r="C34" t="s">
        <v>3950</v>
      </c>
      <c r="D34" t="s">
        <v>3717</v>
      </c>
      <c r="E34" t="s">
        <v>3763</v>
      </c>
      <c r="F34" t="s">
        <v>3868</v>
      </c>
      <c r="G34" t="s">
        <v>3869</v>
      </c>
      <c r="H34" t="s">
        <v>3721</v>
      </c>
      <c r="I34">
        <v>204418.11</v>
      </c>
      <c r="J34">
        <v>302000</v>
      </c>
      <c r="K34">
        <v>1.5</v>
      </c>
      <c r="L34" t="s">
        <v>3722</v>
      </c>
      <c r="M34" t="s">
        <v>3756</v>
      </c>
      <c r="N34" t="s">
        <v>3724</v>
      </c>
      <c r="O34" t="s">
        <v>3725</v>
      </c>
      <c r="P34" t="s">
        <v>3726</v>
      </c>
      <c r="Q34">
        <v>36</v>
      </c>
      <c r="R34" t="s">
        <v>3726</v>
      </c>
      <c r="S34" t="s">
        <v>3726</v>
      </c>
      <c r="T34" t="s">
        <v>3726</v>
      </c>
      <c r="U34" t="s">
        <v>3726</v>
      </c>
      <c r="V34" t="s">
        <v>3726</v>
      </c>
      <c r="W34" t="s">
        <v>3726</v>
      </c>
      <c r="X34">
        <v>0</v>
      </c>
      <c r="Y34">
        <v>0</v>
      </c>
      <c r="Z34">
        <v>44457.000497685185</v>
      </c>
      <c r="AA34">
        <v>44481.000497685185</v>
      </c>
      <c r="AB34">
        <v>44495.000497685185</v>
      </c>
      <c r="AC34" s="3460">
        <v>44495.000497685185</v>
      </c>
      <c r="AD34" t="s">
        <v>3951</v>
      </c>
      <c r="AE34" t="s">
        <v>3728</v>
      </c>
      <c r="AF34" t="s">
        <v>3952</v>
      </c>
      <c r="AG34" t="s">
        <v>3953</v>
      </c>
      <c r="AH34" t="s">
        <v>3742</v>
      </c>
      <c r="AI34">
        <v>506700</v>
      </c>
      <c r="AJ34">
        <v>101400</v>
      </c>
      <c r="AK34" t="s">
        <v>3944</v>
      </c>
      <c r="AL34">
        <v>506700</v>
      </c>
      <c r="AM34">
        <v>1652.5</v>
      </c>
      <c r="AN34">
        <v>1652.5</v>
      </c>
      <c r="AO34">
        <v>16778</v>
      </c>
      <c r="AP34">
        <v>16778</v>
      </c>
      <c r="AQ34" t="s">
        <v>3726</v>
      </c>
      <c r="AR34" t="s">
        <v>3726</v>
      </c>
      <c r="AS34">
        <v>0</v>
      </c>
      <c r="AT34" t="s">
        <v>3928</v>
      </c>
      <c r="AU34" t="s">
        <v>3725</v>
      </c>
      <c r="AV34" t="s">
        <v>3726</v>
      </c>
      <c r="AW34" t="s">
        <v>3725</v>
      </c>
      <c r="AX34" t="s">
        <v>3726</v>
      </c>
      <c r="AY34" t="s">
        <v>3726</v>
      </c>
      <c r="AZ34" t="s">
        <v>3726</v>
      </c>
    </row>
    <row r="35" spans="1:52">
      <c r="A35" t="s">
        <v>3954</v>
      </c>
      <c r="B35" t="s">
        <v>3365</v>
      </c>
      <c r="C35" t="s">
        <v>3955</v>
      </c>
      <c r="D35" t="s">
        <v>3717</v>
      </c>
      <c r="E35" t="s">
        <v>3823</v>
      </c>
      <c r="F35" t="s">
        <v>3824</v>
      </c>
      <c r="G35" t="s">
        <v>3956</v>
      </c>
      <c r="H35" t="s">
        <v>3721</v>
      </c>
      <c r="I35">
        <v>12136.3</v>
      </c>
      <c r="J35">
        <v>42477</v>
      </c>
      <c r="K35">
        <v>3.5</v>
      </c>
      <c r="L35" t="s">
        <v>3722</v>
      </c>
      <c r="M35" t="s">
        <v>3723</v>
      </c>
      <c r="N35" t="s">
        <v>3724</v>
      </c>
      <c r="O35" t="s">
        <v>3725</v>
      </c>
      <c r="P35" t="s">
        <v>3726</v>
      </c>
      <c r="Q35">
        <v>45</v>
      </c>
      <c r="R35" t="s">
        <v>3726</v>
      </c>
      <c r="S35" t="s">
        <v>3726</v>
      </c>
      <c r="T35" t="s">
        <v>3726</v>
      </c>
      <c r="U35" t="s">
        <v>3726</v>
      </c>
      <c r="V35" t="s">
        <v>3726</v>
      </c>
      <c r="W35" t="s">
        <v>3726</v>
      </c>
      <c r="X35">
        <v>0</v>
      </c>
      <c r="Y35">
        <v>0</v>
      </c>
      <c r="Z35">
        <v>44457.000497685185</v>
      </c>
      <c r="AA35">
        <v>44481.000497685185</v>
      </c>
      <c r="AB35">
        <v>44495.000497685185</v>
      </c>
      <c r="AC35" s="3460">
        <v>44495.000497685185</v>
      </c>
      <c r="AD35" t="s">
        <v>3957</v>
      </c>
      <c r="AE35" t="s">
        <v>3728</v>
      </c>
      <c r="AF35" t="s">
        <v>3958</v>
      </c>
      <c r="AG35" t="s">
        <v>3959</v>
      </c>
      <c r="AH35" t="s">
        <v>3731</v>
      </c>
      <c r="AI35">
        <v>71000</v>
      </c>
      <c r="AJ35">
        <v>14200</v>
      </c>
      <c r="AK35" t="s">
        <v>3944</v>
      </c>
      <c r="AL35">
        <v>71000</v>
      </c>
      <c r="AM35">
        <v>3900.15</v>
      </c>
      <c r="AN35">
        <v>3900.15</v>
      </c>
      <c r="AO35">
        <v>16715</v>
      </c>
      <c r="AP35">
        <v>16715</v>
      </c>
      <c r="AQ35" t="s">
        <v>3726</v>
      </c>
      <c r="AR35" t="s">
        <v>3726</v>
      </c>
      <c r="AS35">
        <v>0</v>
      </c>
      <c r="AT35" t="s">
        <v>3928</v>
      </c>
      <c r="AU35" t="s">
        <v>3725</v>
      </c>
      <c r="AV35" t="s">
        <v>3726</v>
      </c>
      <c r="AW35" t="s">
        <v>3725</v>
      </c>
      <c r="AX35" t="s">
        <v>3726</v>
      </c>
      <c r="AY35" t="s">
        <v>3726</v>
      </c>
      <c r="AZ35" t="s">
        <v>3726</v>
      </c>
    </row>
    <row r="36" spans="1:52">
      <c r="A36" t="s">
        <v>3960</v>
      </c>
      <c r="B36" t="s">
        <v>3365</v>
      </c>
      <c r="C36" t="s">
        <v>3961</v>
      </c>
      <c r="D36" t="s">
        <v>3717</v>
      </c>
      <c r="E36" t="s">
        <v>3962</v>
      </c>
      <c r="F36" t="s">
        <v>3963</v>
      </c>
      <c r="G36" t="s">
        <v>3964</v>
      </c>
      <c r="H36" t="s">
        <v>3721</v>
      </c>
      <c r="I36">
        <v>5907.54</v>
      </c>
      <c r="J36">
        <v>21900</v>
      </c>
      <c r="K36">
        <v>3.71</v>
      </c>
      <c r="L36" t="s">
        <v>3722</v>
      </c>
      <c r="M36" t="s">
        <v>3965</v>
      </c>
      <c r="N36" t="s">
        <v>3724</v>
      </c>
      <c r="O36" t="s">
        <v>3725</v>
      </c>
      <c r="P36" t="s">
        <v>3726</v>
      </c>
      <c r="Q36">
        <v>45</v>
      </c>
      <c r="R36" t="s">
        <v>3726</v>
      </c>
      <c r="S36" t="s">
        <v>3726</v>
      </c>
      <c r="T36" t="s">
        <v>3726</v>
      </c>
      <c r="U36" t="s">
        <v>3726</v>
      </c>
      <c r="V36" t="s">
        <v>3726</v>
      </c>
      <c r="W36" t="s">
        <v>3726</v>
      </c>
      <c r="X36">
        <v>0</v>
      </c>
      <c r="Y36">
        <v>0</v>
      </c>
      <c r="Z36">
        <v>44457.000497685185</v>
      </c>
      <c r="AA36">
        <v>44481.000497685185</v>
      </c>
      <c r="AB36">
        <v>44495.000497685185</v>
      </c>
      <c r="AC36" s="3460">
        <v>44495.000497685185</v>
      </c>
      <c r="AD36" t="s">
        <v>3966</v>
      </c>
      <c r="AE36" t="s">
        <v>3728</v>
      </c>
      <c r="AF36" t="s">
        <v>3967</v>
      </c>
      <c r="AG36" t="s">
        <v>3726</v>
      </c>
      <c r="AH36" t="s">
        <v>3726</v>
      </c>
      <c r="AI36">
        <v>46000</v>
      </c>
      <c r="AJ36">
        <v>9500</v>
      </c>
      <c r="AK36" t="s">
        <v>3944</v>
      </c>
      <c r="AL36">
        <v>46000</v>
      </c>
      <c r="AM36">
        <v>5191.1099999999997</v>
      </c>
      <c r="AN36">
        <v>5191.1099999999997</v>
      </c>
      <c r="AO36">
        <v>21005</v>
      </c>
      <c r="AP36">
        <v>21005</v>
      </c>
      <c r="AQ36" t="s">
        <v>3726</v>
      </c>
      <c r="AR36" t="s">
        <v>3726</v>
      </c>
      <c r="AS36">
        <v>0</v>
      </c>
      <c r="AT36" t="s">
        <v>3928</v>
      </c>
      <c r="AU36" t="s">
        <v>3725</v>
      </c>
      <c r="AV36" t="s">
        <v>3726</v>
      </c>
      <c r="AW36" t="s">
        <v>3725</v>
      </c>
      <c r="AX36" t="s">
        <v>3726</v>
      </c>
      <c r="AY36" t="s">
        <v>3726</v>
      </c>
      <c r="AZ36" t="s">
        <v>3726</v>
      </c>
    </row>
    <row r="37" spans="1:52">
      <c r="A37" t="s">
        <v>3968</v>
      </c>
      <c r="B37" t="s">
        <v>3365</v>
      </c>
      <c r="C37" t="s">
        <v>3969</v>
      </c>
      <c r="D37" t="s">
        <v>3717</v>
      </c>
      <c r="E37" t="s">
        <v>3753</v>
      </c>
      <c r="F37" t="s">
        <v>3754</v>
      </c>
      <c r="G37" t="s">
        <v>3941</v>
      </c>
      <c r="H37" t="s">
        <v>3721</v>
      </c>
      <c r="I37">
        <v>25121.77</v>
      </c>
      <c r="J37">
        <v>55267.89</v>
      </c>
      <c r="K37">
        <v>2.2000000000000002</v>
      </c>
      <c r="L37" t="s">
        <v>3722</v>
      </c>
      <c r="M37" t="s">
        <v>3756</v>
      </c>
      <c r="N37" t="s">
        <v>3724</v>
      </c>
      <c r="O37" t="s">
        <v>3725</v>
      </c>
      <c r="P37" t="s">
        <v>3726</v>
      </c>
      <c r="Q37">
        <v>45</v>
      </c>
      <c r="R37" t="s">
        <v>3726</v>
      </c>
      <c r="S37" t="s">
        <v>3726</v>
      </c>
      <c r="T37" t="s">
        <v>3726</v>
      </c>
      <c r="U37" t="s">
        <v>3726</v>
      </c>
      <c r="V37" t="s">
        <v>3726</v>
      </c>
      <c r="W37" t="s">
        <v>3726</v>
      </c>
      <c r="X37">
        <v>0</v>
      </c>
      <c r="Y37">
        <v>0</v>
      </c>
      <c r="Z37">
        <v>44457.000497685185</v>
      </c>
      <c r="AA37">
        <v>44481.000497685185</v>
      </c>
      <c r="AB37">
        <v>44495.000497685185</v>
      </c>
      <c r="AC37" s="3460">
        <v>44495.000497685185</v>
      </c>
      <c r="AD37" t="s">
        <v>3970</v>
      </c>
      <c r="AE37" t="s">
        <v>3728</v>
      </c>
      <c r="AF37" t="s">
        <v>3971</v>
      </c>
      <c r="AG37" t="s">
        <v>3726</v>
      </c>
      <c r="AH37" t="s">
        <v>3726</v>
      </c>
      <c r="AI37">
        <v>115000</v>
      </c>
      <c r="AJ37">
        <v>23000</v>
      </c>
      <c r="AK37" t="s">
        <v>3944</v>
      </c>
      <c r="AL37">
        <v>115000</v>
      </c>
      <c r="AM37">
        <v>3051.8</v>
      </c>
      <c r="AN37">
        <v>3051.8</v>
      </c>
      <c r="AO37">
        <v>20808</v>
      </c>
      <c r="AP37">
        <v>20808</v>
      </c>
      <c r="AQ37" t="s">
        <v>3726</v>
      </c>
      <c r="AR37" t="s">
        <v>3726</v>
      </c>
      <c r="AS37">
        <v>0</v>
      </c>
      <c r="AT37" t="s">
        <v>3928</v>
      </c>
      <c r="AU37" t="s">
        <v>3725</v>
      </c>
      <c r="AV37" t="s">
        <v>3726</v>
      </c>
      <c r="AW37" t="s">
        <v>3725</v>
      </c>
      <c r="AX37" t="s">
        <v>3726</v>
      </c>
      <c r="AY37" t="s">
        <v>3726</v>
      </c>
      <c r="AZ37" t="s">
        <v>3726</v>
      </c>
    </row>
    <row r="38" spans="1:52">
      <c r="A38" t="s">
        <v>3972</v>
      </c>
      <c r="B38" t="s">
        <v>3365</v>
      </c>
      <c r="C38" t="s">
        <v>3973</v>
      </c>
      <c r="D38" t="s">
        <v>3717</v>
      </c>
      <c r="E38" t="s">
        <v>3763</v>
      </c>
      <c r="F38" t="s">
        <v>3924</v>
      </c>
      <c r="G38" t="s">
        <v>3974</v>
      </c>
      <c r="H38" t="s">
        <v>3721</v>
      </c>
      <c r="I38">
        <v>17147.95</v>
      </c>
      <c r="J38">
        <v>53158.65</v>
      </c>
      <c r="K38" t="s">
        <v>3975</v>
      </c>
      <c r="L38" t="s">
        <v>3722</v>
      </c>
      <c r="M38" t="s">
        <v>3976</v>
      </c>
      <c r="N38" t="s">
        <v>3724</v>
      </c>
      <c r="O38" t="s">
        <v>3725</v>
      </c>
      <c r="P38" t="s">
        <v>3726</v>
      </c>
      <c r="Q38" t="s">
        <v>3977</v>
      </c>
      <c r="R38" t="s">
        <v>3726</v>
      </c>
      <c r="S38" t="s">
        <v>3726</v>
      </c>
      <c r="T38" t="s">
        <v>3726</v>
      </c>
      <c r="U38" t="s">
        <v>3726</v>
      </c>
      <c r="V38">
        <v>0</v>
      </c>
      <c r="W38">
        <v>0</v>
      </c>
      <c r="X38">
        <v>0</v>
      </c>
      <c r="Y38">
        <v>0</v>
      </c>
      <c r="Z38">
        <v>44300.000497685185</v>
      </c>
      <c r="AA38">
        <v>44322.000497685185</v>
      </c>
      <c r="AB38">
        <v>44335.000497685185</v>
      </c>
      <c r="AC38" s="3460">
        <v>44335.000497685185</v>
      </c>
      <c r="AD38" t="s">
        <v>3978</v>
      </c>
      <c r="AE38" t="s">
        <v>3728</v>
      </c>
      <c r="AF38" t="s">
        <v>3979</v>
      </c>
      <c r="AG38" t="s">
        <v>3771</v>
      </c>
      <c r="AH38" t="s">
        <v>3742</v>
      </c>
      <c r="AI38">
        <v>69200</v>
      </c>
      <c r="AJ38">
        <v>14000</v>
      </c>
      <c r="AK38" t="s">
        <v>633</v>
      </c>
      <c r="AL38">
        <v>69200</v>
      </c>
      <c r="AM38">
        <v>2690.31</v>
      </c>
      <c r="AN38">
        <v>2690.31</v>
      </c>
      <c r="AO38">
        <v>13018</v>
      </c>
      <c r="AP38">
        <v>13018</v>
      </c>
      <c r="AQ38" t="s">
        <v>3726</v>
      </c>
      <c r="AR38" t="s">
        <v>3726</v>
      </c>
      <c r="AS38">
        <v>0</v>
      </c>
      <c r="AT38" t="s">
        <v>3980</v>
      </c>
      <c r="AU38" t="s">
        <v>3725</v>
      </c>
      <c r="AV38" t="s">
        <v>3726</v>
      </c>
      <c r="AW38" t="s">
        <v>3725</v>
      </c>
      <c r="AX38" t="s">
        <v>3726</v>
      </c>
      <c r="AY38" t="s">
        <v>3726</v>
      </c>
      <c r="AZ38" t="s">
        <v>3726</v>
      </c>
    </row>
    <row r="39" spans="1:52">
      <c r="A39" t="s">
        <v>3981</v>
      </c>
      <c r="B39" t="s">
        <v>3365</v>
      </c>
      <c r="C39" t="s">
        <v>3982</v>
      </c>
      <c r="D39" t="s">
        <v>3717</v>
      </c>
      <c r="E39" t="s">
        <v>3763</v>
      </c>
      <c r="F39" t="s">
        <v>3868</v>
      </c>
      <c r="G39" t="s">
        <v>3983</v>
      </c>
      <c r="H39" t="s">
        <v>3721</v>
      </c>
      <c r="I39">
        <v>22058.78</v>
      </c>
      <c r="J39">
        <v>47390</v>
      </c>
      <c r="K39" t="s">
        <v>3984</v>
      </c>
      <c r="L39" t="s">
        <v>3722</v>
      </c>
      <c r="M39" t="s">
        <v>3756</v>
      </c>
      <c r="N39" t="s">
        <v>3724</v>
      </c>
      <c r="O39" t="s">
        <v>3725</v>
      </c>
      <c r="P39" t="s">
        <v>3726</v>
      </c>
      <c r="Q39" t="s">
        <v>3897</v>
      </c>
      <c r="R39" t="s">
        <v>3726</v>
      </c>
      <c r="S39" t="s">
        <v>3726</v>
      </c>
      <c r="T39" t="s">
        <v>3726</v>
      </c>
      <c r="U39" t="s">
        <v>3726</v>
      </c>
      <c r="V39">
        <v>0</v>
      </c>
      <c r="W39">
        <v>0</v>
      </c>
      <c r="X39">
        <v>0</v>
      </c>
      <c r="Y39">
        <v>0</v>
      </c>
      <c r="Z39">
        <v>44201.000497685185</v>
      </c>
      <c r="AA39">
        <v>44221.000497685185</v>
      </c>
      <c r="AB39">
        <v>44234.000497685185</v>
      </c>
      <c r="AC39" s="3460">
        <v>44234.000497685185</v>
      </c>
      <c r="AD39" t="s">
        <v>3985</v>
      </c>
      <c r="AE39" t="s">
        <v>3728</v>
      </c>
      <c r="AF39" t="s">
        <v>3986</v>
      </c>
      <c r="AG39" t="s">
        <v>3987</v>
      </c>
      <c r="AH39" t="s">
        <v>3742</v>
      </c>
      <c r="AI39">
        <v>32700</v>
      </c>
      <c r="AJ39">
        <v>6600</v>
      </c>
      <c r="AK39" t="s">
        <v>633</v>
      </c>
      <c r="AL39">
        <v>32700</v>
      </c>
      <c r="AM39">
        <v>988.27</v>
      </c>
      <c r="AN39">
        <v>988.27</v>
      </c>
      <c r="AO39">
        <v>6900</v>
      </c>
      <c r="AP39">
        <v>6900</v>
      </c>
      <c r="AQ39" t="s">
        <v>3726</v>
      </c>
      <c r="AR39" t="s">
        <v>3726</v>
      </c>
      <c r="AS39">
        <v>0</v>
      </c>
      <c r="AT39" t="s">
        <v>3980</v>
      </c>
      <c r="AU39" t="s">
        <v>3725</v>
      </c>
      <c r="AV39" t="s">
        <v>3726</v>
      </c>
      <c r="AW39" t="s">
        <v>3725</v>
      </c>
      <c r="AX39" t="s">
        <v>3726</v>
      </c>
      <c r="AY39" t="s">
        <v>3726</v>
      </c>
      <c r="AZ39" t="s">
        <v>3726</v>
      </c>
    </row>
    <row r="40" spans="1:52">
      <c r="A40" t="s">
        <v>3988</v>
      </c>
      <c r="B40" t="s">
        <v>3365</v>
      </c>
      <c r="C40" t="s">
        <v>3989</v>
      </c>
      <c r="D40" t="s">
        <v>3717</v>
      </c>
      <c r="E40" t="s">
        <v>3909</v>
      </c>
      <c r="F40" t="s">
        <v>3910</v>
      </c>
      <c r="G40" t="s">
        <v>3990</v>
      </c>
      <c r="H40" t="s">
        <v>3721</v>
      </c>
      <c r="I40">
        <v>1676.22</v>
      </c>
      <c r="J40">
        <v>753.4</v>
      </c>
      <c r="K40" t="s">
        <v>3991</v>
      </c>
      <c r="L40" t="s">
        <v>3722</v>
      </c>
      <c r="M40" t="s">
        <v>3817</v>
      </c>
      <c r="N40" t="s">
        <v>3724</v>
      </c>
      <c r="O40" t="s">
        <v>3725</v>
      </c>
      <c r="P40" t="s">
        <v>3726</v>
      </c>
      <c r="Q40" t="s">
        <v>3992</v>
      </c>
      <c r="R40" t="s">
        <v>3726</v>
      </c>
      <c r="S40" t="s">
        <v>3726</v>
      </c>
      <c r="T40" t="s">
        <v>3726</v>
      </c>
      <c r="U40" t="s">
        <v>3726</v>
      </c>
      <c r="V40">
        <v>0</v>
      </c>
      <c r="W40">
        <v>0</v>
      </c>
      <c r="X40">
        <v>0</v>
      </c>
      <c r="Y40">
        <v>0</v>
      </c>
      <c r="Z40">
        <v>44190.000497685185</v>
      </c>
      <c r="AA40">
        <v>44210.000497685185</v>
      </c>
      <c r="AB40">
        <v>44224.000497685185</v>
      </c>
      <c r="AC40" s="3460">
        <v>44224.000497685185</v>
      </c>
      <c r="AD40" t="s">
        <v>3993</v>
      </c>
      <c r="AE40" t="s">
        <v>3728</v>
      </c>
      <c r="AF40" t="s">
        <v>3994</v>
      </c>
      <c r="AG40" t="s">
        <v>3726</v>
      </c>
      <c r="AH40" t="s">
        <v>3726</v>
      </c>
      <c r="AI40">
        <v>550</v>
      </c>
      <c r="AJ40">
        <v>150</v>
      </c>
      <c r="AK40" t="s">
        <v>3995</v>
      </c>
      <c r="AL40">
        <v>550</v>
      </c>
      <c r="AM40">
        <v>218.75</v>
      </c>
      <c r="AN40">
        <v>218.75</v>
      </c>
      <c r="AO40">
        <v>7300</v>
      </c>
      <c r="AP40">
        <v>7300</v>
      </c>
      <c r="AQ40" t="s">
        <v>3726</v>
      </c>
      <c r="AR40" t="s">
        <v>3726</v>
      </c>
      <c r="AS40">
        <v>0</v>
      </c>
      <c r="AT40" t="s">
        <v>3861</v>
      </c>
      <c r="AU40" t="s">
        <v>3725</v>
      </c>
      <c r="AV40" t="s">
        <v>3726</v>
      </c>
      <c r="AW40" t="s">
        <v>3725</v>
      </c>
      <c r="AX40" t="s">
        <v>3726</v>
      </c>
      <c r="AY40" t="s">
        <v>3726</v>
      </c>
      <c r="AZ40" t="s">
        <v>3726</v>
      </c>
    </row>
    <row r="41" spans="1:52">
      <c r="A41" t="s">
        <v>3996</v>
      </c>
      <c r="B41" t="s">
        <v>3365</v>
      </c>
      <c r="C41" t="s">
        <v>3997</v>
      </c>
      <c r="D41" t="s">
        <v>3717</v>
      </c>
      <c r="E41" t="s">
        <v>3775</v>
      </c>
      <c r="F41" t="s">
        <v>3998</v>
      </c>
      <c r="G41" t="s">
        <v>3999</v>
      </c>
      <c r="H41" t="s">
        <v>3721</v>
      </c>
      <c r="I41">
        <v>25224.15</v>
      </c>
      <c r="J41">
        <v>75672.45</v>
      </c>
      <c r="K41" t="s">
        <v>4000</v>
      </c>
      <c r="L41" t="s">
        <v>3722</v>
      </c>
      <c r="M41" t="s">
        <v>3756</v>
      </c>
      <c r="N41" t="s">
        <v>3724</v>
      </c>
      <c r="O41" t="s">
        <v>3725</v>
      </c>
      <c r="P41" t="s">
        <v>4001</v>
      </c>
      <c r="Q41" t="s">
        <v>4002</v>
      </c>
      <c r="R41" t="s">
        <v>3726</v>
      </c>
      <c r="S41" t="s">
        <v>3726</v>
      </c>
      <c r="T41" t="s">
        <v>3726</v>
      </c>
      <c r="U41" t="s">
        <v>3726</v>
      </c>
      <c r="V41">
        <v>0</v>
      </c>
      <c r="W41">
        <v>0</v>
      </c>
      <c r="X41">
        <v>0</v>
      </c>
      <c r="Y41">
        <v>0</v>
      </c>
      <c r="Z41">
        <v>44147.000497685185</v>
      </c>
      <c r="AA41">
        <v>44179.000497685185</v>
      </c>
      <c r="AB41">
        <v>44193.000497685185</v>
      </c>
      <c r="AC41" s="3460">
        <v>44193.000497685185</v>
      </c>
      <c r="AD41" t="s">
        <v>4003</v>
      </c>
      <c r="AE41" t="s">
        <v>3728</v>
      </c>
      <c r="AF41" t="s">
        <v>4004</v>
      </c>
      <c r="AG41" t="s">
        <v>3771</v>
      </c>
      <c r="AH41" t="s">
        <v>3742</v>
      </c>
      <c r="AI41">
        <v>60800</v>
      </c>
      <c r="AJ41">
        <v>12200</v>
      </c>
      <c r="AK41" t="s">
        <v>4005</v>
      </c>
      <c r="AL41">
        <v>60800</v>
      </c>
      <c r="AM41">
        <v>1606.93</v>
      </c>
      <c r="AN41">
        <v>1606.93</v>
      </c>
      <c r="AO41">
        <v>8035</v>
      </c>
      <c r="AP41">
        <v>8035</v>
      </c>
      <c r="AQ41" t="s">
        <v>3726</v>
      </c>
      <c r="AR41" t="s">
        <v>3726</v>
      </c>
      <c r="AS41">
        <v>0</v>
      </c>
      <c r="AT41" t="s">
        <v>3861</v>
      </c>
      <c r="AU41" t="s">
        <v>3725</v>
      </c>
      <c r="AV41" t="s">
        <v>3726</v>
      </c>
      <c r="AW41" t="s">
        <v>3725</v>
      </c>
      <c r="AX41" t="s">
        <v>3726</v>
      </c>
      <c r="AY41" t="s">
        <v>3726</v>
      </c>
      <c r="AZ41" t="s">
        <v>3726</v>
      </c>
    </row>
    <row r="42" spans="1:52">
      <c r="A42" t="s">
        <v>4006</v>
      </c>
      <c r="B42" t="s">
        <v>3365</v>
      </c>
      <c r="C42" t="s">
        <v>4007</v>
      </c>
      <c r="D42" t="s">
        <v>3717</v>
      </c>
      <c r="E42" t="s">
        <v>4008</v>
      </c>
      <c r="F42" t="s">
        <v>4009</v>
      </c>
      <c r="G42" t="s">
        <v>4010</v>
      </c>
      <c r="H42" t="s">
        <v>3721</v>
      </c>
      <c r="I42">
        <v>26197.17</v>
      </c>
      <c r="J42">
        <v>26500</v>
      </c>
      <c r="K42" t="s">
        <v>4011</v>
      </c>
      <c r="L42" t="s">
        <v>4012</v>
      </c>
      <c r="M42" t="s">
        <v>3756</v>
      </c>
      <c r="N42" t="s">
        <v>3724</v>
      </c>
      <c r="O42" t="s">
        <v>3725</v>
      </c>
      <c r="P42" t="s">
        <v>4013</v>
      </c>
      <c r="Q42" t="s">
        <v>4014</v>
      </c>
      <c r="R42" t="s">
        <v>3726</v>
      </c>
      <c r="S42" t="s">
        <v>3726</v>
      </c>
      <c r="T42" t="s">
        <v>3726</v>
      </c>
      <c r="U42" t="s">
        <v>3726</v>
      </c>
      <c r="V42">
        <v>0</v>
      </c>
      <c r="W42">
        <v>0</v>
      </c>
      <c r="X42">
        <v>0</v>
      </c>
      <c r="Y42">
        <v>0</v>
      </c>
      <c r="Z42">
        <v>44147.000497685185</v>
      </c>
      <c r="AA42">
        <v>44169.000497685185</v>
      </c>
      <c r="AB42">
        <v>44169.000497685185</v>
      </c>
      <c r="AC42" s="3460">
        <v>44172.000497685185</v>
      </c>
      <c r="AD42" t="s">
        <v>4015</v>
      </c>
      <c r="AE42" t="s">
        <v>3728</v>
      </c>
      <c r="AF42" t="s">
        <v>4016</v>
      </c>
      <c r="AG42" t="s">
        <v>4017</v>
      </c>
      <c r="AH42" t="s">
        <v>3742</v>
      </c>
      <c r="AI42" t="s">
        <v>3726</v>
      </c>
      <c r="AJ42">
        <v>4200</v>
      </c>
      <c r="AK42" t="s">
        <v>4018</v>
      </c>
      <c r="AL42">
        <v>20986.799999999999</v>
      </c>
      <c r="AM42" t="s">
        <v>3726</v>
      </c>
      <c r="AN42">
        <v>534.07000000000005</v>
      </c>
      <c r="AO42" t="s">
        <v>3726</v>
      </c>
      <c r="AP42">
        <v>7920</v>
      </c>
      <c r="AQ42" t="s">
        <v>3726</v>
      </c>
      <c r="AR42" t="s">
        <v>3726</v>
      </c>
      <c r="AS42">
        <v>0</v>
      </c>
      <c r="AT42" t="s">
        <v>3861</v>
      </c>
      <c r="AU42" t="s">
        <v>3725</v>
      </c>
      <c r="AV42" t="s">
        <v>3726</v>
      </c>
      <c r="AW42" t="s">
        <v>3725</v>
      </c>
      <c r="AX42" t="s">
        <v>3726</v>
      </c>
      <c r="AY42" t="s">
        <v>3726</v>
      </c>
      <c r="AZ42" t="s">
        <v>3726</v>
      </c>
    </row>
    <row r="43" spans="1:52">
      <c r="A43" t="s">
        <v>4019</v>
      </c>
      <c r="B43" t="s">
        <v>3365</v>
      </c>
      <c r="C43" t="s">
        <v>4020</v>
      </c>
      <c r="D43" t="s">
        <v>3717</v>
      </c>
      <c r="E43" t="s">
        <v>3823</v>
      </c>
      <c r="F43" t="s">
        <v>3824</v>
      </c>
      <c r="G43" t="s">
        <v>3825</v>
      </c>
      <c r="H43" t="s">
        <v>3721</v>
      </c>
      <c r="I43">
        <v>28676.63</v>
      </c>
      <c r="J43">
        <v>114706.51</v>
      </c>
      <c r="K43" t="s">
        <v>4021</v>
      </c>
      <c r="L43" t="s">
        <v>3722</v>
      </c>
      <c r="M43" t="s">
        <v>3817</v>
      </c>
      <c r="N43" t="s">
        <v>3724</v>
      </c>
      <c r="O43" t="s">
        <v>3725</v>
      </c>
      <c r="P43" t="s">
        <v>3726</v>
      </c>
      <c r="Q43" t="s">
        <v>4022</v>
      </c>
      <c r="R43" t="s">
        <v>3726</v>
      </c>
      <c r="S43" t="s">
        <v>3726</v>
      </c>
      <c r="T43" t="s">
        <v>3726</v>
      </c>
      <c r="U43" t="s">
        <v>3726</v>
      </c>
      <c r="V43">
        <v>0</v>
      </c>
      <c r="W43">
        <v>0</v>
      </c>
      <c r="X43">
        <v>0</v>
      </c>
      <c r="Y43">
        <v>0</v>
      </c>
      <c r="Z43">
        <v>44145.000497685185</v>
      </c>
      <c r="AA43">
        <v>44165.000497685185</v>
      </c>
      <c r="AB43">
        <v>44179.000497685185</v>
      </c>
      <c r="AC43" s="3460">
        <v>44179.000497685185</v>
      </c>
      <c r="AD43" t="s">
        <v>4023</v>
      </c>
      <c r="AE43" t="s">
        <v>3728</v>
      </c>
      <c r="AF43" t="s">
        <v>4024</v>
      </c>
      <c r="AG43" t="s">
        <v>4025</v>
      </c>
      <c r="AH43" t="s">
        <v>3742</v>
      </c>
      <c r="AI43">
        <v>175500</v>
      </c>
      <c r="AJ43">
        <v>35500</v>
      </c>
      <c r="AK43" t="s">
        <v>4026</v>
      </c>
      <c r="AL43">
        <v>175500</v>
      </c>
      <c r="AM43">
        <v>4079.98</v>
      </c>
      <c r="AN43">
        <v>4079.98</v>
      </c>
      <c r="AO43">
        <v>15300</v>
      </c>
      <c r="AP43">
        <v>15300</v>
      </c>
      <c r="AQ43" t="s">
        <v>3726</v>
      </c>
      <c r="AR43" t="s">
        <v>3726</v>
      </c>
      <c r="AS43">
        <v>0</v>
      </c>
      <c r="AT43" t="s">
        <v>3861</v>
      </c>
      <c r="AU43" t="s">
        <v>3725</v>
      </c>
      <c r="AV43" t="s">
        <v>3726</v>
      </c>
      <c r="AW43" t="s">
        <v>3725</v>
      </c>
      <c r="AX43" t="s">
        <v>3726</v>
      </c>
      <c r="AY43" t="s">
        <v>3726</v>
      </c>
      <c r="AZ43" t="s">
        <v>3726</v>
      </c>
    </row>
    <row r="44" spans="1:52">
      <c r="A44" t="s">
        <v>4027</v>
      </c>
      <c r="B44" t="s">
        <v>3365</v>
      </c>
      <c r="C44" t="s">
        <v>4028</v>
      </c>
      <c r="D44" t="s">
        <v>3717</v>
      </c>
      <c r="E44" t="s">
        <v>3753</v>
      </c>
      <c r="F44" t="s">
        <v>4029</v>
      </c>
      <c r="G44" t="s">
        <v>4030</v>
      </c>
      <c r="H44" t="s">
        <v>3721</v>
      </c>
      <c r="I44">
        <v>51788.13</v>
      </c>
      <c r="J44">
        <v>184800</v>
      </c>
      <c r="K44" t="s">
        <v>4031</v>
      </c>
      <c r="L44" t="s">
        <v>3722</v>
      </c>
      <c r="M44" t="s">
        <v>3723</v>
      </c>
      <c r="N44" t="s">
        <v>3724</v>
      </c>
      <c r="O44" t="s">
        <v>3725</v>
      </c>
      <c r="P44" t="s">
        <v>3726</v>
      </c>
      <c r="Q44" t="s">
        <v>4032</v>
      </c>
      <c r="R44" t="s">
        <v>3726</v>
      </c>
      <c r="S44" t="s">
        <v>3726</v>
      </c>
      <c r="T44" t="s">
        <v>3726</v>
      </c>
      <c r="U44" t="s">
        <v>3726</v>
      </c>
      <c r="V44">
        <v>0</v>
      </c>
      <c r="W44">
        <v>0</v>
      </c>
      <c r="X44">
        <v>0</v>
      </c>
      <c r="Y44">
        <v>0</v>
      </c>
      <c r="Z44">
        <v>44133.000497685185</v>
      </c>
      <c r="AA44">
        <v>44153.000497685185</v>
      </c>
      <c r="AB44">
        <v>44167.000497685185</v>
      </c>
      <c r="AC44" s="3460">
        <v>44167.000497685185</v>
      </c>
      <c r="AD44" t="s">
        <v>4033</v>
      </c>
      <c r="AE44" t="s">
        <v>3728</v>
      </c>
      <c r="AF44" t="s">
        <v>4034</v>
      </c>
      <c r="AG44" t="s">
        <v>4035</v>
      </c>
      <c r="AH44" t="s">
        <v>3750</v>
      </c>
      <c r="AI44">
        <v>570500</v>
      </c>
      <c r="AJ44">
        <v>115000</v>
      </c>
      <c r="AK44" t="s">
        <v>4036</v>
      </c>
      <c r="AL44">
        <v>579500</v>
      </c>
      <c r="AM44">
        <v>7344.03</v>
      </c>
      <c r="AN44">
        <v>7459.88</v>
      </c>
      <c r="AO44">
        <v>30871</v>
      </c>
      <c r="AP44">
        <v>31358</v>
      </c>
      <c r="AQ44" t="s">
        <v>3726</v>
      </c>
      <c r="AR44" t="s">
        <v>3726</v>
      </c>
      <c r="AS44">
        <v>1.58</v>
      </c>
      <c r="AT44" t="s">
        <v>3861</v>
      </c>
      <c r="AU44" t="s">
        <v>3725</v>
      </c>
      <c r="AV44" t="s">
        <v>3726</v>
      </c>
      <c r="AW44" t="s">
        <v>3725</v>
      </c>
      <c r="AX44" t="s">
        <v>3726</v>
      </c>
      <c r="AY44" t="s">
        <v>3726</v>
      </c>
      <c r="AZ44" t="s">
        <v>3726</v>
      </c>
    </row>
    <row r="45" spans="1:52">
      <c r="A45" t="s">
        <v>4037</v>
      </c>
      <c r="B45" t="s">
        <v>3365</v>
      </c>
      <c r="C45" t="s">
        <v>4038</v>
      </c>
      <c r="D45" t="s">
        <v>3717</v>
      </c>
      <c r="E45" t="s">
        <v>3909</v>
      </c>
      <c r="F45" t="s">
        <v>3910</v>
      </c>
      <c r="G45" t="s">
        <v>4039</v>
      </c>
      <c r="H45" t="s">
        <v>3721</v>
      </c>
      <c r="I45">
        <v>63225.37</v>
      </c>
      <c r="J45">
        <v>120200</v>
      </c>
      <c r="K45" t="s">
        <v>4040</v>
      </c>
      <c r="L45" t="s">
        <v>3722</v>
      </c>
      <c r="M45" t="s">
        <v>3756</v>
      </c>
      <c r="N45" t="s">
        <v>3724</v>
      </c>
      <c r="O45" t="s">
        <v>3725</v>
      </c>
      <c r="P45" t="s">
        <v>3726</v>
      </c>
      <c r="Q45" t="s">
        <v>3726</v>
      </c>
      <c r="R45" t="s">
        <v>3726</v>
      </c>
      <c r="S45" t="s">
        <v>3726</v>
      </c>
      <c r="T45" t="s">
        <v>3726</v>
      </c>
      <c r="U45" t="s">
        <v>3726</v>
      </c>
      <c r="V45">
        <v>0</v>
      </c>
      <c r="W45">
        <v>0</v>
      </c>
      <c r="X45">
        <v>0</v>
      </c>
      <c r="Y45">
        <v>0</v>
      </c>
      <c r="Z45">
        <v>44104.000497685185</v>
      </c>
      <c r="AA45">
        <v>44124.000497685185</v>
      </c>
      <c r="AB45">
        <v>44138.000497685185</v>
      </c>
      <c r="AC45" s="3460">
        <v>44138.000497685185</v>
      </c>
      <c r="AD45" t="s">
        <v>4041</v>
      </c>
      <c r="AE45" t="s">
        <v>3728</v>
      </c>
      <c r="AF45" t="s">
        <v>4042</v>
      </c>
      <c r="AG45" t="s">
        <v>3921</v>
      </c>
      <c r="AH45" t="s">
        <v>3742</v>
      </c>
      <c r="AI45">
        <v>88100</v>
      </c>
      <c r="AJ45">
        <v>17700</v>
      </c>
      <c r="AK45" t="s">
        <v>4043</v>
      </c>
      <c r="AL45">
        <v>88100</v>
      </c>
      <c r="AM45">
        <v>928.95</v>
      </c>
      <c r="AN45">
        <v>928.95</v>
      </c>
      <c r="AO45">
        <v>7329</v>
      </c>
      <c r="AP45">
        <v>7329</v>
      </c>
      <c r="AQ45" t="s">
        <v>3726</v>
      </c>
      <c r="AR45" t="s">
        <v>3726</v>
      </c>
      <c r="AS45">
        <v>0</v>
      </c>
      <c r="AT45" t="s">
        <v>3861</v>
      </c>
      <c r="AU45" t="s">
        <v>3725</v>
      </c>
      <c r="AV45" t="s">
        <v>3726</v>
      </c>
      <c r="AW45" t="s">
        <v>3725</v>
      </c>
      <c r="AX45" t="s">
        <v>3726</v>
      </c>
      <c r="AY45" t="s">
        <v>3726</v>
      </c>
      <c r="AZ45" t="s">
        <v>3726</v>
      </c>
    </row>
    <row r="46" spans="1:52">
      <c r="A46" t="s">
        <v>4044</v>
      </c>
      <c r="B46" t="s">
        <v>3365</v>
      </c>
      <c r="C46" t="s">
        <v>4045</v>
      </c>
      <c r="D46" t="s">
        <v>3717</v>
      </c>
      <c r="E46" t="s">
        <v>3909</v>
      </c>
      <c r="F46" t="s">
        <v>4046</v>
      </c>
      <c r="G46" t="s">
        <v>3990</v>
      </c>
      <c r="H46" t="s">
        <v>3721</v>
      </c>
      <c r="I46">
        <v>5352.65</v>
      </c>
      <c r="J46">
        <v>843</v>
      </c>
      <c r="K46" t="s">
        <v>4047</v>
      </c>
      <c r="L46" t="s">
        <v>3722</v>
      </c>
      <c r="M46" t="s">
        <v>3817</v>
      </c>
      <c r="N46" t="s">
        <v>3724</v>
      </c>
      <c r="O46" t="s">
        <v>3725</v>
      </c>
      <c r="P46" t="s">
        <v>3726</v>
      </c>
      <c r="Q46" t="s">
        <v>4048</v>
      </c>
      <c r="R46" t="s">
        <v>3726</v>
      </c>
      <c r="S46" t="s">
        <v>3726</v>
      </c>
      <c r="T46" t="s">
        <v>3726</v>
      </c>
      <c r="U46" t="s">
        <v>3726</v>
      </c>
      <c r="V46">
        <v>0</v>
      </c>
      <c r="W46">
        <v>0</v>
      </c>
      <c r="X46">
        <v>0</v>
      </c>
      <c r="Y46">
        <v>0</v>
      </c>
      <c r="Z46">
        <v>44076.000497685185</v>
      </c>
      <c r="AA46">
        <v>44096.000497685185</v>
      </c>
      <c r="AB46">
        <v>44116.000497685185</v>
      </c>
      <c r="AC46" s="3460">
        <v>44116.000497685185</v>
      </c>
      <c r="AD46" t="s">
        <v>4049</v>
      </c>
      <c r="AE46" t="s">
        <v>3728</v>
      </c>
      <c r="AF46" t="s">
        <v>3994</v>
      </c>
      <c r="AG46" t="s">
        <v>3726</v>
      </c>
      <c r="AH46" t="s">
        <v>3726</v>
      </c>
      <c r="AI46">
        <v>1310</v>
      </c>
      <c r="AJ46">
        <v>300</v>
      </c>
      <c r="AK46" t="s">
        <v>4050</v>
      </c>
      <c r="AL46">
        <v>1310</v>
      </c>
      <c r="AM46">
        <v>163.16</v>
      </c>
      <c r="AN46">
        <v>163.16</v>
      </c>
      <c r="AO46">
        <v>15540</v>
      </c>
      <c r="AP46">
        <v>15540</v>
      </c>
      <c r="AQ46" t="s">
        <v>3726</v>
      </c>
      <c r="AR46" t="s">
        <v>3726</v>
      </c>
      <c r="AS46">
        <v>0</v>
      </c>
      <c r="AT46" t="s">
        <v>3861</v>
      </c>
      <c r="AU46" t="s">
        <v>3725</v>
      </c>
      <c r="AV46" t="s">
        <v>3726</v>
      </c>
      <c r="AW46" t="s">
        <v>3725</v>
      </c>
      <c r="AX46" t="s">
        <v>3726</v>
      </c>
      <c r="AY46" t="s">
        <v>3726</v>
      </c>
      <c r="AZ46" t="s">
        <v>3726</v>
      </c>
    </row>
    <row r="47" spans="1:52">
      <c r="A47" t="s">
        <v>4051</v>
      </c>
      <c r="B47" t="s">
        <v>3365</v>
      </c>
      <c r="C47" t="s">
        <v>4052</v>
      </c>
      <c r="D47" t="s">
        <v>3717</v>
      </c>
      <c r="E47" t="s">
        <v>3909</v>
      </c>
      <c r="F47" t="s">
        <v>4046</v>
      </c>
      <c r="G47" t="s">
        <v>3990</v>
      </c>
      <c r="H47" t="s">
        <v>3721</v>
      </c>
      <c r="I47">
        <v>36823.82</v>
      </c>
      <c r="J47">
        <v>25187</v>
      </c>
      <c r="K47" t="s">
        <v>4053</v>
      </c>
      <c r="L47" t="s">
        <v>3722</v>
      </c>
      <c r="M47" t="s">
        <v>3756</v>
      </c>
      <c r="N47" t="s">
        <v>3724</v>
      </c>
      <c r="O47" t="s">
        <v>3725</v>
      </c>
      <c r="P47" t="s">
        <v>3726</v>
      </c>
      <c r="Q47" t="s">
        <v>4054</v>
      </c>
      <c r="R47" t="s">
        <v>3726</v>
      </c>
      <c r="S47" t="s">
        <v>3726</v>
      </c>
      <c r="T47" t="s">
        <v>3726</v>
      </c>
      <c r="U47" t="s">
        <v>3726</v>
      </c>
      <c r="V47">
        <v>0</v>
      </c>
      <c r="W47">
        <v>0</v>
      </c>
      <c r="X47">
        <v>0</v>
      </c>
      <c r="Y47">
        <v>0</v>
      </c>
      <c r="Z47">
        <v>44076.000497685185</v>
      </c>
      <c r="AA47">
        <v>44096.000497685185</v>
      </c>
      <c r="AB47">
        <v>44116.000497685185</v>
      </c>
      <c r="AC47" s="3460">
        <v>44116.000497685185</v>
      </c>
      <c r="AD47" t="s">
        <v>4055</v>
      </c>
      <c r="AE47" t="s">
        <v>3728</v>
      </c>
      <c r="AF47" t="s">
        <v>4056</v>
      </c>
      <c r="AG47" t="s">
        <v>4017</v>
      </c>
      <c r="AH47" t="s">
        <v>3742</v>
      </c>
      <c r="AI47">
        <v>29500</v>
      </c>
      <c r="AJ47">
        <v>6000</v>
      </c>
      <c r="AK47" t="s">
        <v>4050</v>
      </c>
      <c r="AL47">
        <v>29500</v>
      </c>
      <c r="AM47">
        <v>534.07000000000005</v>
      </c>
      <c r="AN47">
        <v>534.07000000000005</v>
      </c>
      <c r="AO47">
        <v>11712</v>
      </c>
      <c r="AP47">
        <v>11712</v>
      </c>
      <c r="AQ47" t="s">
        <v>3726</v>
      </c>
      <c r="AR47" t="s">
        <v>3726</v>
      </c>
      <c r="AS47">
        <v>0</v>
      </c>
      <c r="AT47" t="s">
        <v>3861</v>
      </c>
      <c r="AU47" t="s">
        <v>3725</v>
      </c>
      <c r="AV47" t="s">
        <v>3726</v>
      </c>
      <c r="AW47" t="s">
        <v>3725</v>
      </c>
      <c r="AX47" t="s">
        <v>3726</v>
      </c>
      <c r="AY47" t="s">
        <v>3726</v>
      </c>
      <c r="AZ47" t="s">
        <v>3726</v>
      </c>
    </row>
    <row r="48" spans="1:52">
      <c r="A48" t="s">
        <v>4057</v>
      </c>
      <c r="B48" t="s">
        <v>3365</v>
      </c>
      <c r="C48" t="s">
        <v>4058</v>
      </c>
      <c r="D48" t="s">
        <v>3717</v>
      </c>
      <c r="E48" t="s">
        <v>3794</v>
      </c>
      <c r="F48" t="s">
        <v>3877</v>
      </c>
      <c r="G48" t="s">
        <v>4059</v>
      </c>
      <c r="H48" t="s">
        <v>3721</v>
      </c>
      <c r="I48">
        <v>265269.8</v>
      </c>
      <c r="J48">
        <v>665975.69999999995</v>
      </c>
      <c r="K48" t="s">
        <v>4060</v>
      </c>
      <c r="L48" t="s">
        <v>3722</v>
      </c>
      <c r="M48" t="s">
        <v>3756</v>
      </c>
      <c r="N48" t="s">
        <v>3724</v>
      </c>
      <c r="O48" t="s">
        <v>3725</v>
      </c>
      <c r="P48" t="s">
        <v>4061</v>
      </c>
      <c r="Q48" t="s">
        <v>4062</v>
      </c>
      <c r="R48" t="s">
        <v>3726</v>
      </c>
      <c r="S48" t="s">
        <v>3726</v>
      </c>
      <c r="T48" t="s">
        <v>3726</v>
      </c>
      <c r="U48" t="s">
        <v>3726</v>
      </c>
      <c r="V48">
        <v>0</v>
      </c>
      <c r="W48">
        <v>0</v>
      </c>
      <c r="X48">
        <v>0</v>
      </c>
      <c r="Y48">
        <v>0</v>
      </c>
      <c r="Z48">
        <v>44012.000497685185</v>
      </c>
      <c r="AA48">
        <v>44032.000497685185</v>
      </c>
      <c r="AB48">
        <v>44046.000497685185</v>
      </c>
      <c r="AC48" s="3460">
        <v>44046.000497685185</v>
      </c>
      <c r="AD48" t="s">
        <v>4063</v>
      </c>
      <c r="AE48" t="s">
        <v>3728</v>
      </c>
      <c r="AF48" t="s">
        <v>4064</v>
      </c>
      <c r="AG48" t="s">
        <v>4065</v>
      </c>
      <c r="AH48" t="s">
        <v>3742</v>
      </c>
      <c r="AI48">
        <v>699300</v>
      </c>
      <c r="AJ48">
        <v>139900</v>
      </c>
      <c r="AK48" t="s">
        <v>4066</v>
      </c>
      <c r="AL48">
        <v>699300</v>
      </c>
      <c r="AM48">
        <v>1757.46</v>
      </c>
      <c r="AN48">
        <v>1757.46</v>
      </c>
      <c r="AO48">
        <v>10500</v>
      </c>
      <c r="AP48">
        <v>10500</v>
      </c>
      <c r="AQ48" t="s">
        <v>3726</v>
      </c>
      <c r="AR48" t="s">
        <v>3726</v>
      </c>
      <c r="AS48">
        <v>0</v>
      </c>
      <c r="AT48" t="s">
        <v>3861</v>
      </c>
      <c r="AU48" t="s">
        <v>3725</v>
      </c>
      <c r="AV48" t="s">
        <v>3726</v>
      </c>
      <c r="AW48" t="s">
        <v>3725</v>
      </c>
      <c r="AX48" t="s">
        <v>3726</v>
      </c>
      <c r="AY48" t="s">
        <v>3726</v>
      </c>
      <c r="AZ48" t="s">
        <v>3726</v>
      </c>
    </row>
    <row r="49" spans="1:52">
      <c r="A49" t="s">
        <v>4067</v>
      </c>
      <c r="B49" t="s">
        <v>3365</v>
      </c>
      <c r="C49" t="s">
        <v>4068</v>
      </c>
      <c r="D49" t="s">
        <v>3717</v>
      </c>
      <c r="E49" t="s">
        <v>3718</v>
      </c>
      <c r="F49" t="s">
        <v>4069</v>
      </c>
      <c r="G49" t="s">
        <v>4070</v>
      </c>
      <c r="H49" t="s">
        <v>3721</v>
      </c>
      <c r="I49">
        <v>7289.19</v>
      </c>
      <c r="J49">
        <v>21867.57</v>
      </c>
      <c r="K49" t="s">
        <v>4000</v>
      </c>
      <c r="L49" t="s">
        <v>3722</v>
      </c>
      <c r="M49" t="s">
        <v>4071</v>
      </c>
      <c r="N49" t="s">
        <v>3724</v>
      </c>
      <c r="O49" t="s">
        <v>3725</v>
      </c>
      <c r="P49" t="s">
        <v>4072</v>
      </c>
      <c r="Q49" t="s">
        <v>4022</v>
      </c>
      <c r="R49" t="s">
        <v>3726</v>
      </c>
      <c r="S49" t="s">
        <v>3726</v>
      </c>
      <c r="T49" t="s">
        <v>3726</v>
      </c>
      <c r="U49" t="s">
        <v>3726</v>
      </c>
      <c r="V49">
        <v>0</v>
      </c>
      <c r="W49">
        <v>0</v>
      </c>
      <c r="X49">
        <v>0</v>
      </c>
      <c r="Y49">
        <v>0</v>
      </c>
      <c r="Z49">
        <v>43889.000497685185</v>
      </c>
      <c r="AA49">
        <v>43909.000497685185</v>
      </c>
      <c r="AB49">
        <v>43923.000497685185</v>
      </c>
      <c r="AC49" s="3460">
        <v>43923.000497685185</v>
      </c>
      <c r="AD49" t="s">
        <v>4073</v>
      </c>
      <c r="AE49" t="s">
        <v>3728</v>
      </c>
      <c r="AF49" t="s">
        <v>4074</v>
      </c>
      <c r="AG49" t="s">
        <v>4075</v>
      </c>
      <c r="AH49" t="s">
        <v>3742</v>
      </c>
      <c r="AI49">
        <v>35200</v>
      </c>
      <c r="AJ49">
        <v>7100</v>
      </c>
      <c r="AK49" t="s">
        <v>4076</v>
      </c>
      <c r="AL49">
        <v>35200</v>
      </c>
      <c r="AM49">
        <v>3219.38</v>
      </c>
      <c r="AN49">
        <v>3219.38</v>
      </c>
      <c r="AO49">
        <v>16097</v>
      </c>
      <c r="AP49">
        <v>16097</v>
      </c>
      <c r="AQ49" t="s">
        <v>3726</v>
      </c>
      <c r="AR49" t="s">
        <v>3726</v>
      </c>
      <c r="AS49">
        <v>0</v>
      </c>
      <c r="AT49" t="s">
        <v>3861</v>
      </c>
      <c r="AU49" t="s">
        <v>3725</v>
      </c>
      <c r="AV49" t="s">
        <v>3726</v>
      </c>
      <c r="AW49" t="s">
        <v>3725</v>
      </c>
      <c r="AX49" t="s">
        <v>3726</v>
      </c>
      <c r="AY49" t="s">
        <v>3726</v>
      </c>
      <c r="AZ49" t="s">
        <v>3726</v>
      </c>
    </row>
    <row r="50" spans="1:52">
      <c r="A50" t="s">
        <v>4077</v>
      </c>
      <c r="B50" t="s">
        <v>3365</v>
      </c>
      <c r="C50" t="s">
        <v>4078</v>
      </c>
      <c r="D50" t="s">
        <v>3717</v>
      </c>
      <c r="E50" t="s">
        <v>4079</v>
      </c>
      <c r="F50" t="s">
        <v>4080</v>
      </c>
      <c r="G50" t="s">
        <v>4081</v>
      </c>
      <c r="H50" t="s">
        <v>3721</v>
      </c>
      <c r="I50">
        <v>12501.51</v>
      </c>
      <c r="J50">
        <v>37505</v>
      </c>
      <c r="K50" t="s">
        <v>4000</v>
      </c>
      <c r="L50" t="s">
        <v>3722</v>
      </c>
      <c r="M50" t="s">
        <v>3756</v>
      </c>
      <c r="N50" t="s">
        <v>3724</v>
      </c>
      <c r="O50" t="s">
        <v>3725</v>
      </c>
      <c r="P50" t="s">
        <v>3726</v>
      </c>
      <c r="Q50" t="s">
        <v>4002</v>
      </c>
      <c r="R50" t="s">
        <v>3726</v>
      </c>
      <c r="S50" t="s">
        <v>3726</v>
      </c>
      <c r="T50" t="s">
        <v>3726</v>
      </c>
      <c r="U50" t="s">
        <v>3726</v>
      </c>
      <c r="V50">
        <v>0</v>
      </c>
      <c r="W50">
        <v>0</v>
      </c>
      <c r="X50">
        <v>0</v>
      </c>
      <c r="Y50">
        <v>0</v>
      </c>
      <c r="Z50">
        <v>43889.000497685185</v>
      </c>
      <c r="AA50">
        <v>43909.000497685185</v>
      </c>
      <c r="AB50">
        <v>43923.000497685185</v>
      </c>
      <c r="AC50" s="3460">
        <v>43923.000497685185</v>
      </c>
      <c r="AD50" t="s">
        <v>4082</v>
      </c>
      <c r="AE50" t="s">
        <v>3728</v>
      </c>
      <c r="AF50" t="s">
        <v>4083</v>
      </c>
      <c r="AG50" t="s">
        <v>4084</v>
      </c>
      <c r="AH50" t="s">
        <v>3731</v>
      </c>
      <c r="AI50">
        <v>56000</v>
      </c>
      <c r="AJ50">
        <v>11200</v>
      </c>
      <c r="AK50" t="s">
        <v>4076</v>
      </c>
      <c r="AL50">
        <v>56000</v>
      </c>
      <c r="AM50">
        <v>2986.31</v>
      </c>
      <c r="AN50">
        <v>2986.31</v>
      </c>
      <c r="AO50">
        <v>14931</v>
      </c>
      <c r="AP50">
        <v>14931</v>
      </c>
      <c r="AQ50" t="s">
        <v>3726</v>
      </c>
      <c r="AR50" t="s">
        <v>3726</v>
      </c>
      <c r="AS50">
        <v>0</v>
      </c>
      <c r="AT50" t="s">
        <v>3861</v>
      </c>
      <c r="AU50" t="s">
        <v>3725</v>
      </c>
      <c r="AV50" t="s">
        <v>3726</v>
      </c>
      <c r="AW50" t="s">
        <v>3725</v>
      </c>
      <c r="AX50" t="s">
        <v>3726</v>
      </c>
      <c r="AY50" t="s">
        <v>3726</v>
      </c>
      <c r="AZ50" t="s">
        <v>3726</v>
      </c>
    </row>
    <row r="51" spans="1:52">
      <c r="A51" t="s">
        <v>4085</v>
      </c>
      <c r="B51" t="s">
        <v>3365</v>
      </c>
      <c r="C51" t="s">
        <v>4086</v>
      </c>
      <c r="D51" t="s">
        <v>3717</v>
      </c>
      <c r="E51" t="s">
        <v>3823</v>
      </c>
      <c r="F51" t="s">
        <v>3824</v>
      </c>
      <c r="G51" t="s">
        <v>4087</v>
      </c>
      <c r="H51" t="s">
        <v>3721</v>
      </c>
      <c r="I51">
        <v>30159.25</v>
      </c>
      <c r="J51">
        <v>138421</v>
      </c>
      <c r="K51" t="s">
        <v>4088</v>
      </c>
      <c r="L51" t="s">
        <v>3722</v>
      </c>
      <c r="M51" t="s">
        <v>3723</v>
      </c>
      <c r="N51" t="s">
        <v>3724</v>
      </c>
      <c r="O51" t="s">
        <v>3725</v>
      </c>
      <c r="P51" t="s">
        <v>4001</v>
      </c>
      <c r="Q51" t="s">
        <v>4089</v>
      </c>
      <c r="R51" t="s">
        <v>3726</v>
      </c>
      <c r="S51" t="s">
        <v>3726</v>
      </c>
      <c r="T51" t="s">
        <v>3726</v>
      </c>
      <c r="U51" t="s">
        <v>3726</v>
      </c>
      <c r="V51">
        <v>0</v>
      </c>
      <c r="W51">
        <v>0</v>
      </c>
      <c r="X51">
        <v>0</v>
      </c>
      <c r="Y51">
        <v>0</v>
      </c>
      <c r="Z51">
        <v>43777.000497685185</v>
      </c>
      <c r="AA51">
        <v>43797.000497685185</v>
      </c>
      <c r="AB51">
        <v>43811.000497685185</v>
      </c>
      <c r="AC51" s="3460">
        <v>43811.000497685185</v>
      </c>
      <c r="AD51" t="s">
        <v>4090</v>
      </c>
      <c r="AE51" t="s">
        <v>3728</v>
      </c>
      <c r="AF51" t="s">
        <v>4091</v>
      </c>
      <c r="AG51" t="s">
        <v>4092</v>
      </c>
      <c r="AH51" t="s">
        <v>3742</v>
      </c>
      <c r="AI51">
        <v>230100</v>
      </c>
      <c r="AJ51">
        <v>46100</v>
      </c>
      <c r="AK51" t="s">
        <v>4093</v>
      </c>
      <c r="AL51">
        <v>230100</v>
      </c>
      <c r="AM51">
        <v>5086.33</v>
      </c>
      <c r="AN51">
        <v>5086.33</v>
      </c>
      <c r="AO51">
        <v>16623</v>
      </c>
      <c r="AP51">
        <v>16623</v>
      </c>
      <c r="AQ51" t="s">
        <v>3726</v>
      </c>
      <c r="AR51" t="s">
        <v>3726</v>
      </c>
      <c r="AS51">
        <v>0</v>
      </c>
      <c r="AT51" t="s">
        <v>3861</v>
      </c>
      <c r="AU51" t="s">
        <v>3725</v>
      </c>
      <c r="AV51" t="s">
        <v>3726</v>
      </c>
      <c r="AW51" t="s">
        <v>3725</v>
      </c>
      <c r="AX51" t="s">
        <v>3726</v>
      </c>
      <c r="AY51" t="s">
        <v>3726</v>
      </c>
      <c r="AZ51" t="s">
        <v>3726</v>
      </c>
    </row>
    <row r="52" spans="1:52">
      <c r="A52" t="s">
        <v>4094</v>
      </c>
      <c r="B52" t="s">
        <v>3365</v>
      </c>
      <c r="C52" t="s">
        <v>4095</v>
      </c>
      <c r="D52" t="s">
        <v>3717</v>
      </c>
      <c r="E52" t="s">
        <v>3823</v>
      </c>
      <c r="F52" t="s">
        <v>3824</v>
      </c>
      <c r="G52" t="s">
        <v>4087</v>
      </c>
      <c r="H52" t="s">
        <v>3721</v>
      </c>
      <c r="I52">
        <v>35629.120000000003</v>
      </c>
      <c r="J52">
        <v>100429</v>
      </c>
      <c r="K52" t="s">
        <v>4096</v>
      </c>
      <c r="L52" t="s">
        <v>3722</v>
      </c>
      <c r="M52" t="s">
        <v>4097</v>
      </c>
      <c r="N52" t="s">
        <v>3724</v>
      </c>
      <c r="O52" t="s">
        <v>3725</v>
      </c>
      <c r="P52" t="s">
        <v>4001</v>
      </c>
      <c r="Q52" t="s">
        <v>4098</v>
      </c>
      <c r="R52" t="s">
        <v>3726</v>
      </c>
      <c r="S52" t="s">
        <v>3726</v>
      </c>
      <c r="T52" t="s">
        <v>3726</v>
      </c>
      <c r="U52" t="s">
        <v>3726</v>
      </c>
      <c r="V52">
        <v>0</v>
      </c>
      <c r="W52">
        <v>0</v>
      </c>
      <c r="X52">
        <v>0</v>
      </c>
      <c r="Y52">
        <v>0</v>
      </c>
      <c r="Z52">
        <v>43777.000497685185</v>
      </c>
      <c r="AA52">
        <v>43797.000497685185</v>
      </c>
      <c r="AB52">
        <v>43811.000497685185</v>
      </c>
      <c r="AC52" s="3460">
        <v>43811.000497685185</v>
      </c>
      <c r="AD52" t="s">
        <v>4099</v>
      </c>
      <c r="AE52" t="s">
        <v>3728</v>
      </c>
      <c r="AF52" t="s">
        <v>4091</v>
      </c>
      <c r="AG52" t="s">
        <v>4092</v>
      </c>
      <c r="AH52" t="s">
        <v>3742</v>
      </c>
      <c r="AI52">
        <v>166700</v>
      </c>
      <c r="AJ52">
        <v>33400</v>
      </c>
      <c r="AK52" t="s">
        <v>4093</v>
      </c>
      <c r="AL52">
        <v>166700</v>
      </c>
      <c r="AM52">
        <v>3119.17</v>
      </c>
      <c r="AN52">
        <v>3119.17</v>
      </c>
      <c r="AO52">
        <v>16599</v>
      </c>
      <c r="AP52">
        <v>16599</v>
      </c>
      <c r="AQ52" t="s">
        <v>3726</v>
      </c>
      <c r="AR52" t="s">
        <v>3726</v>
      </c>
      <c r="AS52">
        <v>0</v>
      </c>
      <c r="AT52" t="s">
        <v>3861</v>
      </c>
      <c r="AU52" t="s">
        <v>3725</v>
      </c>
      <c r="AV52" t="s">
        <v>3726</v>
      </c>
      <c r="AW52" t="s">
        <v>3725</v>
      </c>
      <c r="AX52" t="s">
        <v>3726</v>
      </c>
      <c r="AY52" t="s">
        <v>3726</v>
      </c>
      <c r="AZ52" t="s">
        <v>3726</v>
      </c>
    </row>
    <row r="53" spans="1:52">
      <c r="A53" t="s">
        <v>4100</v>
      </c>
      <c r="B53" t="s">
        <v>3365</v>
      </c>
      <c r="C53" t="s">
        <v>4101</v>
      </c>
      <c r="D53" t="s">
        <v>3717</v>
      </c>
      <c r="E53" t="s">
        <v>3753</v>
      </c>
      <c r="F53" t="s">
        <v>4102</v>
      </c>
      <c r="G53" t="s">
        <v>4103</v>
      </c>
      <c r="H53" t="s">
        <v>3721</v>
      </c>
      <c r="I53">
        <v>70601.070000000007</v>
      </c>
      <c r="J53">
        <v>285523</v>
      </c>
      <c r="K53" t="s">
        <v>4104</v>
      </c>
      <c r="L53" t="s">
        <v>4012</v>
      </c>
      <c r="M53" t="s">
        <v>4105</v>
      </c>
      <c r="N53" t="s">
        <v>3724</v>
      </c>
      <c r="O53" t="s">
        <v>3725</v>
      </c>
      <c r="P53" t="s">
        <v>3726</v>
      </c>
      <c r="Q53" t="s">
        <v>3726</v>
      </c>
      <c r="R53" t="s">
        <v>3726</v>
      </c>
      <c r="S53" t="s">
        <v>3726</v>
      </c>
      <c r="T53" t="s">
        <v>3726</v>
      </c>
      <c r="U53" t="s">
        <v>3726</v>
      </c>
      <c r="V53">
        <v>0</v>
      </c>
      <c r="W53">
        <v>0</v>
      </c>
      <c r="X53">
        <v>0</v>
      </c>
      <c r="Y53">
        <v>0</v>
      </c>
      <c r="Z53">
        <v>43770.000497685185</v>
      </c>
      <c r="AA53">
        <v>43798.000497685185</v>
      </c>
      <c r="AB53">
        <v>43801.000497685185</v>
      </c>
      <c r="AC53" s="3460">
        <v>43801.000497685185</v>
      </c>
      <c r="AD53" t="s">
        <v>4106</v>
      </c>
      <c r="AE53" t="s">
        <v>3728</v>
      </c>
      <c r="AF53" t="s">
        <v>4107</v>
      </c>
      <c r="AG53" t="s">
        <v>4108</v>
      </c>
      <c r="AH53" t="s">
        <v>3750</v>
      </c>
      <c r="AI53" t="s">
        <v>3726</v>
      </c>
      <c r="AJ53">
        <v>131000</v>
      </c>
      <c r="AK53" t="s">
        <v>633</v>
      </c>
      <c r="AL53">
        <v>660900</v>
      </c>
      <c r="AM53" t="s">
        <v>3726</v>
      </c>
      <c r="AN53">
        <v>6240.7</v>
      </c>
      <c r="AO53" t="s">
        <v>3726</v>
      </c>
      <c r="AP53">
        <v>23147</v>
      </c>
      <c r="AQ53" t="s">
        <v>3726</v>
      </c>
      <c r="AR53" t="s">
        <v>3726</v>
      </c>
      <c r="AS53">
        <v>0</v>
      </c>
      <c r="AT53" t="s">
        <v>3861</v>
      </c>
      <c r="AU53" t="s">
        <v>3725</v>
      </c>
      <c r="AV53" t="s">
        <v>3726</v>
      </c>
      <c r="AW53" t="s">
        <v>3725</v>
      </c>
      <c r="AX53" t="s">
        <v>3726</v>
      </c>
      <c r="AY53" t="s">
        <v>3726</v>
      </c>
      <c r="AZ53" t="s">
        <v>3726</v>
      </c>
    </row>
    <row r="54" spans="1:52">
      <c r="A54" t="s">
        <v>4109</v>
      </c>
      <c r="B54" t="s">
        <v>3365</v>
      </c>
      <c r="C54" t="s">
        <v>4110</v>
      </c>
      <c r="D54" t="s">
        <v>3717</v>
      </c>
      <c r="E54" t="s">
        <v>3763</v>
      </c>
      <c r="F54" t="s">
        <v>3924</v>
      </c>
      <c r="G54" t="s">
        <v>4111</v>
      </c>
      <c r="H54" t="s">
        <v>3721</v>
      </c>
      <c r="I54">
        <v>28003.32</v>
      </c>
      <c r="J54">
        <v>70008</v>
      </c>
      <c r="K54" t="s">
        <v>4112</v>
      </c>
      <c r="L54" t="s">
        <v>3722</v>
      </c>
      <c r="M54" t="s">
        <v>3756</v>
      </c>
      <c r="N54" t="s">
        <v>3724</v>
      </c>
      <c r="O54" t="s">
        <v>3725</v>
      </c>
      <c r="P54" t="s">
        <v>3896</v>
      </c>
      <c r="Q54" t="s">
        <v>4113</v>
      </c>
      <c r="R54" t="s">
        <v>3726</v>
      </c>
      <c r="S54" t="s">
        <v>3726</v>
      </c>
      <c r="T54" t="s">
        <v>3726</v>
      </c>
      <c r="U54" t="s">
        <v>3726</v>
      </c>
      <c r="V54">
        <v>0</v>
      </c>
      <c r="W54">
        <v>0</v>
      </c>
      <c r="X54">
        <v>0</v>
      </c>
      <c r="Y54">
        <v>0</v>
      </c>
      <c r="Z54">
        <v>43707.000497685185</v>
      </c>
      <c r="AA54">
        <v>43737.000497685185</v>
      </c>
      <c r="AB54">
        <v>43755.000497685185</v>
      </c>
      <c r="AC54" s="3460">
        <v>43755.000497685185</v>
      </c>
      <c r="AD54" t="s">
        <v>4114</v>
      </c>
      <c r="AE54" t="s">
        <v>3728</v>
      </c>
      <c r="AF54" t="s">
        <v>4115</v>
      </c>
      <c r="AG54" t="s">
        <v>4116</v>
      </c>
      <c r="AH54" t="s">
        <v>4117</v>
      </c>
      <c r="AI54">
        <v>96800</v>
      </c>
      <c r="AJ54">
        <v>19500</v>
      </c>
      <c r="AK54" t="s">
        <v>4118</v>
      </c>
      <c r="AL54">
        <v>97800</v>
      </c>
      <c r="AM54">
        <v>2304.4899999999998</v>
      </c>
      <c r="AN54">
        <v>2328.3000000000002</v>
      </c>
      <c r="AO54">
        <v>13827</v>
      </c>
      <c r="AP54">
        <v>13970</v>
      </c>
      <c r="AQ54" t="s">
        <v>3726</v>
      </c>
      <c r="AR54" t="s">
        <v>3726</v>
      </c>
      <c r="AS54">
        <v>1.03</v>
      </c>
      <c r="AT54" t="s">
        <v>3733</v>
      </c>
      <c r="AU54" t="s">
        <v>3725</v>
      </c>
      <c r="AV54" t="s">
        <v>3726</v>
      </c>
      <c r="AW54" t="s">
        <v>3725</v>
      </c>
      <c r="AX54" t="s">
        <v>3726</v>
      </c>
      <c r="AY54" t="s">
        <v>3726</v>
      </c>
      <c r="AZ54" t="s">
        <v>3726</v>
      </c>
    </row>
    <row r="55" spans="1:52">
      <c r="A55" t="s">
        <v>4119</v>
      </c>
      <c r="B55" t="s">
        <v>3365</v>
      </c>
      <c r="C55" t="s">
        <v>4120</v>
      </c>
      <c r="D55" t="s">
        <v>3717</v>
      </c>
      <c r="E55" t="s">
        <v>3794</v>
      </c>
      <c r="F55" t="s">
        <v>4121</v>
      </c>
      <c r="G55" t="s">
        <v>4122</v>
      </c>
      <c r="H55" t="s">
        <v>3721</v>
      </c>
      <c r="I55">
        <v>42276.47</v>
      </c>
      <c r="J55">
        <v>84552.93</v>
      </c>
      <c r="K55" t="s">
        <v>4123</v>
      </c>
      <c r="L55" t="s">
        <v>3722</v>
      </c>
      <c r="M55" t="s">
        <v>3723</v>
      </c>
      <c r="N55" t="s">
        <v>3724</v>
      </c>
      <c r="O55" t="s">
        <v>3725</v>
      </c>
      <c r="P55" t="s">
        <v>4001</v>
      </c>
      <c r="Q55" t="s">
        <v>4124</v>
      </c>
      <c r="R55" t="s">
        <v>3726</v>
      </c>
      <c r="S55" t="s">
        <v>3726</v>
      </c>
      <c r="T55" t="s">
        <v>3726</v>
      </c>
      <c r="U55" t="s">
        <v>3726</v>
      </c>
      <c r="V55">
        <v>0</v>
      </c>
      <c r="W55">
        <v>0</v>
      </c>
      <c r="X55">
        <v>0</v>
      </c>
      <c r="Y55">
        <v>0</v>
      </c>
      <c r="Z55">
        <v>43672.000497685185</v>
      </c>
      <c r="AA55">
        <v>43692.000497685185</v>
      </c>
      <c r="AB55">
        <v>43706.000497685185</v>
      </c>
      <c r="AC55" s="3460">
        <v>43706.000497685185</v>
      </c>
      <c r="AD55" t="s">
        <v>4125</v>
      </c>
      <c r="AE55" t="s">
        <v>3728</v>
      </c>
      <c r="AF55" t="s">
        <v>4126</v>
      </c>
      <c r="AG55" t="s">
        <v>4127</v>
      </c>
      <c r="AH55" t="s">
        <v>3731</v>
      </c>
      <c r="AI55">
        <v>95000</v>
      </c>
      <c r="AJ55">
        <v>19000</v>
      </c>
      <c r="AK55" t="s">
        <v>4128</v>
      </c>
      <c r="AL55">
        <v>96500</v>
      </c>
      <c r="AM55">
        <v>1498.08</v>
      </c>
      <c r="AN55">
        <v>1521.73</v>
      </c>
      <c r="AO55">
        <v>11236</v>
      </c>
      <c r="AP55">
        <v>11413</v>
      </c>
      <c r="AQ55" t="s">
        <v>3726</v>
      </c>
      <c r="AR55" t="s">
        <v>3726</v>
      </c>
      <c r="AS55">
        <v>1.58</v>
      </c>
      <c r="AT55" t="s">
        <v>4129</v>
      </c>
      <c r="AU55" t="s">
        <v>3725</v>
      </c>
      <c r="AV55" t="s">
        <v>3726</v>
      </c>
      <c r="AW55" t="s">
        <v>3725</v>
      </c>
      <c r="AX55" t="s">
        <v>3726</v>
      </c>
      <c r="AY55" t="s">
        <v>3726</v>
      </c>
      <c r="AZ55" t="s">
        <v>3726</v>
      </c>
    </row>
    <row r="56" spans="1:52">
      <c r="A56" t="s">
        <v>4130</v>
      </c>
      <c r="B56" t="s">
        <v>3365</v>
      </c>
      <c r="C56" t="s">
        <v>4131</v>
      </c>
      <c r="D56" t="s">
        <v>3717</v>
      </c>
      <c r="E56" t="s">
        <v>3753</v>
      </c>
      <c r="F56" t="s">
        <v>4132</v>
      </c>
      <c r="G56" t="s">
        <v>4133</v>
      </c>
      <c r="H56" t="s">
        <v>3721</v>
      </c>
      <c r="I56">
        <v>22035.93</v>
      </c>
      <c r="J56">
        <v>61700.6</v>
      </c>
      <c r="K56" t="s">
        <v>3787</v>
      </c>
      <c r="L56" t="s">
        <v>3722</v>
      </c>
      <c r="M56" t="s">
        <v>3723</v>
      </c>
      <c r="N56" t="s">
        <v>3724</v>
      </c>
      <c r="O56" t="s">
        <v>3725</v>
      </c>
      <c r="P56" t="s">
        <v>3896</v>
      </c>
      <c r="Q56" t="s">
        <v>4022</v>
      </c>
      <c r="R56" t="s">
        <v>3726</v>
      </c>
      <c r="S56" t="s">
        <v>3726</v>
      </c>
      <c r="T56" t="s">
        <v>3726</v>
      </c>
      <c r="U56" t="s">
        <v>3726</v>
      </c>
      <c r="V56">
        <v>0</v>
      </c>
      <c r="W56">
        <v>0</v>
      </c>
      <c r="X56">
        <v>0</v>
      </c>
      <c r="Y56">
        <v>0</v>
      </c>
      <c r="Z56">
        <v>43616.000497685185</v>
      </c>
      <c r="AA56">
        <v>43636.000497685185</v>
      </c>
      <c r="AB56">
        <v>43650.000497685185</v>
      </c>
      <c r="AC56" s="3460">
        <v>43650.000497685185</v>
      </c>
      <c r="AD56" t="s">
        <v>4134</v>
      </c>
      <c r="AE56" t="s">
        <v>3728</v>
      </c>
      <c r="AF56" t="s">
        <v>4135</v>
      </c>
      <c r="AG56" t="s">
        <v>3749</v>
      </c>
      <c r="AH56" t="s">
        <v>3750</v>
      </c>
      <c r="AI56">
        <v>103700</v>
      </c>
      <c r="AJ56">
        <v>21000</v>
      </c>
      <c r="AK56" t="s">
        <v>633</v>
      </c>
      <c r="AL56">
        <v>103700</v>
      </c>
      <c r="AM56">
        <v>3137.3</v>
      </c>
      <c r="AN56">
        <v>3137.3</v>
      </c>
      <c r="AO56">
        <v>16807</v>
      </c>
      <c r="AP56">
        <v>16807</v>
      </c>
      <c r="AQ56" t="s">
        <v>3726</v>
      </c>
      <c r="AR56" t="s">
        <v>3726</v>
      </c>
      <c r="AS56">
        <v>0</v>
      </c>
      <c r="AT56" t="s">
        <v>3861</v>
      </c>
      <c r="AU56" t="s">
        <v>3725</v>
      </c>
      <c r="AV56" t="s">
        <v>3726</v>
      </c>
      <c r="AW56" t="s">
        <v>3725</v>
      </c>
      <c r="AX56" t="s">
        <v>3726</v>
      </c>
      <c r="AY56" t="s">
        <v>3726</v>
      </c>
      <c r="AZ56" t="s">
        <v>3726</v>
      </c>
    </row>
    <row r="57" spans="1:52">
      <c r="A57" t="s">
        <v>4136</v>
      </c>
      <c r="B57" t="s">
        <v>3365</v>
      </c>
      <c r="C57" t="s">
        <v>4137</v>
      </c>
      <c r="D57" t="s">
        <v>3717</v>
      </c>
      <c r="E57" t="s">
        <v>3823</v>
      </c>
      <c r="F57" t="s">
        <v>3824</v>
      </c>
      <c r="G57" t="s">
        <v>4138</v>
      </c>
      <c r="H57" t="s">
        <v>3721</v>
      </c>
      <c r="I57">
        <v>35244.94</v>
      </c>
      <c r="J57">
        <v>123357</v>
      </c>
      <c r="K57">
        <v>3.5</v>
      </c>
      <c r="L57" t="s">
        <v>3722</v>
      </c>
      <c r="M57" t="s">
        <v>3723</v>
      </c>
      <c r="N57" t="s">
        <v>3724</v>
      </c>
      <c r="O57" t="s">
        <v>3725</v>
      </c>
      <c r="P57" t="s">
        <v>3726</v>
      </c>
      <c r="Q57" t="s">
        <v>3726</v>
      </c>
      <c r="R57" t="s">
        <v>3726</v>
      </c>
      <c r="S57" t="s">
        <v>3726</v>
      </c>
      <c r="T57" t="s">
        <v>3726</v>
      </c>
      <c r="U57" t="s">
        <v>3726</v>
      </c>
      <c r="V57">
        <v>0</v>
      </c>
      <c r="W57">
        <v>0</v>
      </c>
      <c r="X57">
        <v>0</v>
      </c>
      <c r="Y57">
        <v>0</v>
      </c>
      <c r="Z57">
        <v>42296.000497685185</v>
      </c>
      <c r="AA57">
        <v>42317.000497685185</v>
      </c>
      <c r="AB57">
        <v>42331.000497685185</v>
      </c>
      <c r="AC57" s="3460">
        <v>42331.000497685185</v>
      </c>
      <c r="AD57" t="s">
        <v>4139</v>
      </c>
      <c r="AE57" t="s">
        <v>3728</v>
      </c>
      <c r="AF57" t="s">
        <v>4140</v>
      </c>
      <c r="AG57" t="s">
        <v>4141</v>
      </c>
      <c r="AH57" t="s">
        <v>3742</v>
      </c>
      <c r="AI57">
        <v>160000</v>
      </c>
      <c r="AJ57">
        <v>48000</v>
      </c>
      <c r="AK57" t="s">
        <v>633</v>
      </c>
      <c r="AL57">
        <v>354000</v>
      </c>
      <c r="AM57">
        <v>3026.44</v>
      </c>
      <c r="AN57">
        <v>6696</v>
      </c>
      <c r="AO57">
        <v>12970</v>
      </c>
      <c r="AP57">
        <v>28697</v>
      </c>
      <c r="AQ57" t="s">
        <v>3726</v>
      </c>
      <c r="AR57" t="s">
        <v>3726</v>
      </c>
      <c r="AS57">
        <v>121.25</v>
      </c>
      <c r="AT57" t="s">
        <v>3861</v>
      </c>
      <c r="AU57" t="s">
        <v>3725</v>
      </c>
      <c r="AV57" t="s">
        <v>3726</v>
      </c>
      <c r="AW57" t="s">
        <v>3725</v>
      </c>
      <c r="AX57" t="s">
        <v>3726</v>
      </c>
      <c r="AY57" t="s">
        <v>3726</v>
      </c>
      <c r="AZ57" t="s">
        <v>3726</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zoomScale="85" zoomScaleNormal="85" workbookViewId="0">
      <selection activeCell="L80" sqref="L80"/>
    </sheetView>
  </sheetViews>
  <sheetFormatPr defaultColWidth="9" defaultRowHeight="13.5"/>
  <cols>
    <col min="1" max="1" width="9" style="3539"/>
    <col min="2" max="2" width="14.625" style="3539" customWidth="1"/>
    <col min="3" max="12" width="9" style="3539"/>
    <col min="13" max="13" width="15.75" style="3539" customWidth="1"/>
    <col min="14" max="14" width="9" style="3540"/>
    <col min="15" max="15" width="9" style="3539"/>
    <col min="16" max="16" width="15.625" style="3539" customWidth="1"/>
    <col min="17" max="17" width="47.75" style="3541" customWidth="1"/>
    <col min="18" max="16384" width="9" style="3539"/>
  </cols>
  <sheetData>
    <row r="1" spans="1:24">
      <c r="A1" s="3539" t="s">
        <v>3443</v>
      </c>
      <c r="B1" s="3539" t="s">
        <v>3444</v>
      </c>
      <c r="C1" s="3539" t="s">
        <v>3445</v>
      </c>
      <c r="D1" s="3539" t="s">
        <v>3446</v>
      </c>
      <c r="E1" s="3539" t="s">
        <v>3447</v>
      </c>
      <c r="F1" s="3539" t="s">
        <v>3448</v>
      </c>
      <c r="G1" s="3539" t="s">
        <v>672</v>
      </c>
      <c r="H1" s="3539" t="s">
        <v>3449</v>
      </c>
      <c r="I1" s="3539" t="s">
        <v>3450</v>
      </c>
      <c r="J1" s="3539" t="s">
        <v>3451</v>
      </c>
      <c r="K1" s="3539" t="s">
        <v>3452</v>
      </c>
      <c r="L1" s="3539" t="s">
        <v>3453</v>
      </c>
      <c r="M1" s="3539" t="s">
        <v>3454</v>
      </c>
      <c r="N1" s="3540" t="s">
        <v>3455</v>
      </c>
      <c r="O1" s="3539" t="s">
        <v>3456</v>
      </c>
      <c r="P1" s="3539" t="s">
        <v>3457</v>
      </c>
      <c r="Q1" s="3541" t="s">
        <v>3458</v>
      </c>
      <c r="R1" s="3539" t="s">
        <v>3459</v>
      </c>
      <c r="S1" s="3539" t="s">
        <v>3460</v>
      </c>
      <c r="T1" s="3539" t="s">
        <v>3461</v>
      </c>
      <c r="U1" s="3539" t="s">
        <v>3462</v>
      </c>
      <c r="V1" s="3539" t="s">
        <v>3463</v>
      </c>
      <c r="W1" s="3539" t="s">
        <v>3464</v>
      </c>
    </row>
    <row r="2" spans="1:24" ht="40.5">
      <c r="A2" s="3539">
        <v>2</v>
      </c>
      <c r="B2" s="3542" t="s">
        <v>4320</v>
      </c>
      <c r="C2" s="3539" t="s">
        <v>3471</v>
      </c>
      <c r="D2" s="3539" t="s">
        <v>3468</v>
      </c>
      <c r="E2" s="3539" t="s">
        <v>3472</v>
      </c>
      <c r="F2" s="3539" t="s">
        <v>3473</v>
      </c>
      <c r="G2" s="3539" t="s">
        <v>21</v>
      </c>
      <c r="I2" s="3539">
        <v>18396.150000000001</v>
      </c>
      <c r="J2" s="3539">
        <v>18396.150000000001</v>
      </c>
      <c r="L2" s="3539">
        <v>112181</v>
      </c>
      <c r="M2" s="3539">
        <v>60981</v>
      </c>
      <c r="N2" s="3540">
        <v>60981</v>
      </c>
      <c r="O2" s="3539" t="s">
        <v>3474</v>
      </c>
      <c r="P2" s="3543">
        <v>44187</v>
      </c>
      <c r="Q2" s="3541" t="s">
        <v>3475</v>
      </c>
      <c r="R2" s="3539" t="s">
        <v>3476</v>
      </c>
    </row>
    <row r="3" spans="1:24" s="3540" customFormat="1" ht="27">
      <c r="A3" s="3540">
        <v>16</v>
      </c>
      <c r="B3" s="3544" t="s">
        <v>3484</v>
      </c>
      <c r="C3" s="3540" t="s">
        <v>3485</v>
      </c>
      <c r="D3" s="3540" t="s">
        <v>3478</v>
      </c>
      <c r="E3" s="3540" t="s">
        <v>3486</v>
      </c>
      <c r="F3" s="3540" t="s">
        <v>3487</v>
      </c>
      <c r="G3" s="3540" t="s">
        <v>3488</v>
      </c>
      <c r="I3" s="3540">
        <v>14263.2</v>
      </c>
      <c r="J3" s="3540">
        <v>12079.89</v>
      </c>
      <c r="K3" s="3540">
        <v>2183.31</v>
      </c>
      <c r="L3" s="3540">
        <v>99736</v>
      </c>
      <c r="M3" s="3540">
        <v>69925</v>
      </c>
      <c r="N3" s="3540">
        <v>82564</v>
      </c>
      <c r="O3" s="3540" t="s">
        <v>3489</v>
      </c>
      <c r="P3" s="3545">
        <v>44224</v>
      </c>
      <c r="Q3" s="3546" t="s">
        <v>3490</v>
      </c>
      <c r="R3" s="3540" t="s">
        <v>3483</v>
      </c>
      <c r="X3" s="3540">
        <f>K3/I3</f>
        <v>0.15307294295810195</v>
      </c>
    </row>
    <row r="4" spans="1:24">
      <c r="A4" s="3539">
        <v>19</v>
      </c>
      <c r="B4" s="3539" t="s">
        <v>3491</v>
      </c>
      <c r="C4" s="3539" t="s">
        <v>3492</v>
      </c>
      <c r="D4" s="3539" t="s">
        <v>3480</v>
      </c>
      <c r="E4" s="3539" t="s">
        <v>3481</v>
      </c>
      <c r="F4" s="3539" t="s">
        <v>3493</v>
      </c>
      <c r="G4" s="3539" t="s">
        <v>21</v>
      </c>
      <c r="I4" s="3539">
        <v>3532.33</v>
      </c>
      <c r="L4" s="3539">
        <v>18368</v>
      </c>
      <c r="M4" s="3539">
        <v>52000</v>
      </c>
      <c r="O4" s="3539" t="s">
        <v>43</v>
      </c>
      <c r="P4" s="3547">
        <v>44273</v>
      </c>
      <c r="Q4" s="3541" t="s">
        <v>3494</v>
      </c>
    </row>
    <row r="5" spans="1:24" ht="27">
      <c r="A5" s="3539">
        <v>20</v>
      </c>
      <c r="B5" s="3539" t="s">
        <v>3495</v>
      </c>
      <c r="C5" s="3539" t="s">
        <v>3492</v>
      </c>
      <c r="D5" s="3539" t="s">
        <v>3480</v>
      </c>
      <c r="E5" s="3539" t="s">
        <v>3481</v>
      </c>
      <c r="F5" s="3539" t="s">
        <v>3496</v>
      </c>
      <c r="G5" s="3539" t="s">
        <v>21</v>
      </c>
      <c r="I5" s="3539">
        <v>2913.97</v>
      </c>
      <c r="L5" s="3539">
        <v>21000</v>
      </c>
      <c r="M5" s="3539">
        <v>72067</v>
      </c>
      <c r="O5" s="3539" t="s">
        <v>43</v>
      </c>
      <c r="P5" s="3543">
        <v>44040</v>
      </c>
      <c r="Q5" s="3541" t="s">
        <v>3497</v>
      </c>
      <c r="R5" s="3539" t="s">
        <v>3477</v>
      </c>
    </row>
    <row r="6" spans="1:24">
      <c r="A6" s="3539">
        <v>22</v>
      </c>
      <c r="B6" s="3539" t="s">
        <v>3499</v>
      </c>
      <c r="C6" s="3539" t="s">
        <v>3500</v>
      </c>
      <c r="D6" s="3539" t="s">
        <v>3478</v>
      </c>
      <c r="E6" s="3539" t="s">
        <v>3479</v>
      </c>
      <c r="F6" s="3539" t="s">
        <v>3501</v>
      </c>
      <c r="G6" s="3539" t="s">
        <v>21</v>
      </c>
      <c r="I6" s="3539">
        <v>4849.38</v>
      </c>
      <c r="J6" s="3539">
        <v>4849.38</v>
      </c>
      <c r="L6" s="3539">
        <v>24068</v>
      </c>
      <c r="M6" s="3539">
        <v>49631</v>
      </c>
      <c r="N6" s="3540">
        <v>49631</v>
      </c>
      <c r="O6" s="3539" t="s">
        <v>3502</v>
      </c>
      <c r="P6" s="3548">
        <v>44277</v>
      </c>
      <c r="Q6" s="3541" t="s">
        <v>3503</v>
      </c>
    </row>
    <row r="7" spans="1:24">
      <c r="A7" s="3539">
        <v>23</v>
      </c>
      <c r="B7" s="3539" t="s">
        <v>3504</v>
      </c>
      <c r="C7" s="3539" t="s">
        <v>3505</v>
      </c>
      <c r="D7" s="3539" t="s">
        <v>3465</v>
      </c>
      <c r="E7" s="3539" t="s">
        <v>3506</v>
      </c>
      <c r="F7" s="3539" t="s">
        <v>3507</v>
      </c>
      <c r="G7" s="3539" t="s">
        <v>3508</v>
      </c>
      <c r="I7" s="3539">
        <v>10326.35</v>
      </c>
      <c r="J7" s="3539">
        <v>8873.76</v>
      </c>
      <c r="K7" s="3539">
        <v>1452.59</v>
      </c>
      <c r="L7" s="3539">
        <v>26015.737499999999</v>
      </c>
      <c r="M7" s="3539">
        <v>25194</v>
      </c>
      <c r="N7" s="3540">
        <v>29318</v>
      </c>
      <c r="O7" s="3539" t="s">
        <v>3509</v>
      </c>
      <c r="P7" s="3547">
        <v>44309</v>
      </c>
      <c r="Q7" s="3541" t="s">
        <v>3510</v>
      </c>
      <c r="R7" s="3539" t="s">
        <v>3470</v>
      </c>
      <c r="S7" s="3539">
        <v>32956.674099999997</v>
      </c>
      <c r="T7" s="3539">
        <v>31915</v>
      </c>
      <c r="V7" s="3539">
        <v>0.79</v>
      </c>
      <c r="W7" s="3539" t="s">
        <v>3467</v>
      </c>
    </row>
    <row r="8" spans="1:24">
      <c r="A8" s="3539">
        <v>25</v>
      </c>
      <c r="B8" s="3539" t="s">
        <v>4321</v>
      </c>
      <c r="C8" s="3539" t="s">
        <v>3512</v>
      </c>
      <c r="D8" s="3539" t="s">
        <v>3478</v>
      </c>
      <c r="E8" s="3539" t="s">
        <v>3513</v>
      </c>
      <c r="F8" s="3539" t="s">
        <v>3514</v>
      </c>
      <c r="G8" s="3539" t="s">
        <v>3508</v>
      </c>
      <c r="H8" s="3539">
        <v>4831.42</v>
      </c>
      <c r="I8" s="3539">
        <v>46330.33</v>
      </c>
      <c r="J8" s="3539">
        <v>35489.51</v>
      </c>
      <c r="K8" s="3539">
        <v>10840.82</v>
      </c>
      <c r="L8" s="3539">
        <v>265000</v>
      </c>
      <c r="M8" s="3539">
        <v>57198</v>
      </c>
      <c r="N8" s="3540">
        <v>74670</v>
      </c>
      <c r="O8" s="3539" t="s">
        <v>3515</v>
      </c>
      <c r="P8" s="3547" t="s">
        <v>3516</v>
      </c>
      <c r="Q8" s="3541" t="s">
        <v>3517</v>
      </c>
      <c r="R8" s="3539" t="s">
        <v>3518</v>
      </c>
    </row>
    <row r="9" spans="1:24">
      <c r="A9" s="3539">
        <v>28</v>
      </c>
      <c r="B9" s="3539" t="s">
        <v>3519</v>
      </c>
      <c r="C9" s="3539" t="s">
        <v>3520</v>
      </c>
      <c r="D9" s="3539" t="s">
        <v>3480</v>
      </c>
      <c r="E9" s="3539" t="s">
        <v>3481</v>
      </c>
      <c r="F9" s="3539" t="s">
        <v>3521</v>
      </c>
      <c r="G9" s="3539" t="s">
        <v>3522</v>
      </c>
      <c r="I9" s="3539">
        <v>32518.27</v>
      </c>
      <c r="J9" s="3539">
        <v>28822.73</v>
      </c>
      <c r="K9" s="3539">
        <v>3695.54</v>
      </c>
      <c r="L9" s="3539">
        <v>167389</v>
      </c>
      <c r="M9" s="3539">
        <v>51475</v>
      </c>
      <c r="N9" s="3540">
        <v>58075</v>
      </c>
      <c r="O9" s="3539" t="s">
        <v>3523</v>
      </c>
      <c r="P9" s="3543">
        <v>44305</v>
      </c>
      <c r="Q9" s="3541" t="s">
        <v>3524</v>
      </c>
      <c r="R9" s="3539" t="s">
        <v>3483</v>
      </c>
    </row>
    <row r="10" spans="1:24" ht="27">
      <c r="A10" s="3539">
        <v>31</v>
      </c>
      <c r="B10" s="3539" t="s">
        <v>3525</v>
      </c>
      <c r="C10" s="3539" t="s">
        <v>3526</v>
      </c>
      <c r="D10" s="3539" t="s">
        <v>3478</v>
      </c>
      <c r="E10" s="3539" t="s">
        <v>3527</v>
      </c>
      <c r="F10" s="3539" t="s">
        <v>3528</v>
      </c>
      <c r="G10" s="3539" t="s">
        <v>21</v>
      </c>
      <c r="H10" s="3539">
        <v>26823.14</v>
      </c>
      <c r="I10" s="3539">
        <v>22666.71</v>
      </c>
      <c r="J10" s="3539">
        <v>15766.21</v>
      </c>
      <c r="K10" s="3539">
        <v>6900.5</v>
      </c>
      <c r="L10" s="3539">
        <v>85000</v>
      </c>
      <c r="M10" s="3539">
        <v>37500</v>
      </c>
      <c r="N10" s="3540">
        <v>53913</v>
      </c>
      <c r="O10" s="3539" t="s">
        <v>3529</v>
      </c>
      <c r="P10" s="3549" t="s">
        <v>3516</v>
      </c>
      <c r="Q10" s="3541" t="s">
        <v>3530</v>
      </c>
      <c r="R10" s="3539" t="s">
        <v>3518</v>
      </c>
    </row>
    <row r="11" spans="1:24">
      <c r="A11" s="3539">
        <v>32</v>
      </c>
      <c r="B11" s="3539" t="s">
        <v>3531</v>
      </c>
      <c r="C11" s="3539" t="s">
        <v>3532</v>
      </c>
      <c r="D11" s="3539" t="s">
        <v>3480</v>
      </c>
      <c r="E11" s="3539" t="s">
        <v>3481</v>
      </c>
      <c r="F11" s="3539" t="s">
        <v>3533</v>
      </c>
      <c r="G11" s="3539" t="s">
        <v>21</v>
      </c>
      <c r="I11" s="3539">
        <v>3260.28</v>
      </c>
      <c r="J11" s="3539">
        <v>2445.21</v>
      </c>
      <c r="K11" s="3539">
        <v>815.07</v>
      </c>
      <c r="L11" s="3539">
        <v>10107</v>
      </c>
      <c r="M11" s="3539">
        <v>31000</v>
      </c>
      <c r="N11" s="3540">
        <v>41334</v>
      </c>
      <c r="O11" s="3539" t="s">
        <v>3534</v>
      </c>
      <c r="P11" s="3543">
        <v>44324</v>
      </c>
      <c r="Q11" s="3541" t="s">
        <v>3535</v>
      </c>
    </row>
    <row r="12" spans="1:24">
      <c r="A12" s="3539">
        <v>33</v>
      </c>
      <c r="B12" s="3539" t="s">
        <v>3536</v>
      </c>
      <c r="C12" s="3539" t="s">
        <v>3500</v>
      </c>
      <c r="D12" s="3539" t="s">
        <v>3478</v>
      </c>
      <c r="E12" s="3539" t="s">
        <v>3479</v>
      </c>
      <c r="F12" s="3539" t="s">
        <v>3501</v>
      </c>
      <c r="G12" s="3539" t="s">
        <v>21</v>
      </c>
      <c r="I12" s="3539">
        <v>11646.93</v>
      </c>
      <c r="J12" s="3539">
        <v>11646.93</v>
      </c>
      <c r="L12" s="3539">
        <v>56093</v>
      </c>
      <c r="M12" s="3539">
        <v>48000</v>
      </c>
      <c r="N12" s="3540">
        <v>48000</v>
      </c>
      <c r="O12" s="3539" t="s">
        <v>3537</v>
      </c>
      <c r="P12" s="3547">
        <v>44329</v>
      </c>
      <c r="Q12" s="3541" t="s">
        <v>3538</v>
      </c>
      <c r="R12" s="3539" t="s">
        <v>3483</v>
      </c>
    </row>
    <row r="13" spans="1:24" s="3540" customFormat="1" ht="27">
      <c r="A13" s="3540">
        <v>36</v>
      </c>
      <c r="B13" s="3544" t="s">
        <v>3541</v>
      </c>
      <c r="C13" s="3540" t="s">
        <v>3542</v>
      </c>
      <c r="D13" s="3540" t="s">
        <v>3465</v>
      </c>
      <c r="E13" s="3540" t="s">
        <v>3543</v>
      </c>
      <c r="F13" s="3540" t="s">
        <v>3544</v>
      </c>
      <c r="G13" s="3540" t="s">
        <v>21</v>
      </c>
      <c r="I13" s="3540">
        <v>107627.08</v>
      </c>
      <c r="J13" s="3540">
        <v>107627.08</v>
      </c>
      <c r="L13" s="3540">
        <v>906000</v>
      </c>
      <c r="M13" s="3540">
        <v>84180</v>
      </c>
      <c r="N13" s="3540">
        <v>84180</v>
      </c>
      <c r="O13" s="3540" t="s">
        <v>3545</v>
      </c>
      <c r="P13" s="3545">
        <v>44348</v>
      </c>
      <c r="Q13" s="3546" t="s">
        <v>3546</v>
      </c>
      <c r="R13" s="3540" t="s">
        <v>3470</v>
      </c>
    </row>
    <row r="14" spans="1:24" ht="108">
      <c r="A14" s="3539">
        <v>39</v>
      </c>
      <c r="B14" s="3539" t="s">
        <v>3548</v>
      </c>
      <c r="C14" s="3539" t="s">
        <v>3549</v>
      </c>
      <c r="D14" s="3539" t="s">
        <v>3478</v>
      </c>
      <c r="E14" s="3539" t="s">
        <v>3527</v>
      </c>
      <c r="F14" s="3539" t="s">
        <v>3550</v>
      </c>
      <c r="G14" s="3539" t="s">
        <v>3508</v>
      </c>
      <c r="H14" s="3539">
        <v>10958.77</v>
      </c>
      <c r="I14" s="3539">
        <v>16239.52</v>
      </c>
      <c r="J14" s="3539">
        <v>11951.04</v>
      </c>
      <c r="K14" s="3539">
        <v>4288.4799999999996</v>
      </c>
      <c r="L14" s="3539">
        <v>30775.432799999999</v>
      </c>
      <c r="M14" s="3539">
        <v>18951</v>
      </c>
      <c r="N14" s="3540">
        <v>25751</v>
      </c>
      <c r="O14" s="3539" t="s">
        <v>3551</v>
      </c>
      <c r="P14" s="3543">
        <v>44416</v>
      </c>
      <c r="Q14" s="3541" t="s">
        <v>4322</v>
      </c>
      <c r="R14" s="3539" t="s">
        <v>3547</v>
      </c>
      <c r="S14" s="3539">
        <v>54956.13</v>
      </c>
      <c r="T14" s="3539">
        <v>45984</v>
      </c>
      <c r="V14" s="3539">
        <v>0.56000000000000005</v>
      </c>
      <c r="W14" s="3539" t="s">
        <v>3467</v>
      </c>
    </row>
    <row r="15" spans="1:24" ht="27">
      <c r="A15" s="3539">
        <v>40</v>
      </c>
      <c r="B15" s="3539" t="s">
        <v>3552</v>
      </c>
      <c r="C15" s="3539" t="s">
        <v>3553</v>
      </c>
      <c r="D15" s="3539" t="s">
        <v>3478</v>
      </c>
      <c r="F15" s="3539" t="s">
        <v>3554</v>
      </c>
      <c r="G15" s="3539" t="s">
        <v>21</v>
      </c>
      <c r="I15" s="3539">
        <v>4649.72</v>
      </c>
      <c r="J15" s="3539">
        <v>4035.57</v>
      </c>
      <c r="K15" s="3539">
        <v>614.15</v>
      </c>
      <c r="L15" s="3539">
        <v>16499</v>
      </c>
      <c r="M15" s="3539">
        <v>35484</v>
      </c>
      <c r="N15" s="3540">
        <v>40884</v>
      </c>
      <c r="O15" s="3539" t="s">
        <v>43</v>
      </c>
      <c r="P15" s="3549">
        <v>44413</v>
      </c>
      <c r="Q15" s="3541" t="s">
        <v>3555</v>
      </c>
      <c r="R15" s="3539" t="s">
        <v>3483</v>
      </c>
      <c r="T15" s="3539">
        <v>0</v>
      </c>
      <c r="V15" s="3539" t="e">
        <v>#DIV/0!</v>
      </c>
    </row>
    <row r="16" spans="1:24" ht="27">
      <c r="A16" s="3539">
        <v>42</v>
      </c>
      <c r="B16" s="3539" t="s">
        <v>3556</v>
      </c>
      <c r="C16" s="3539" t="s">
        <v>3557</v>
      </c>
      <c r="D16" s="3539" t="s">
        <v>3478</v>
      </c>
      <c r="E16" s="3539" t="s">
        <v>3558</v>
      </c>
      <c r="F16" s="3539" t="s">
        <v>3482</v>
      </c>
      <c r="G16" s="3539" t="s">
        <v>3559</v>
      </c>
      <c r="I16" s="3539">
        <v>4269.6899999999996</v>
      </c>
      <c r="J16" s="3539">
        <v>4269.6899999999996</v>
      </c>
      <c r="L16" s="3539">
        <v>10551.183199999999</v>
      </c>
      <c r="M16" s="3539">
        <v>24712</v>
      </c>
      <c r="N16" s="3540">
        <v>24712</v>
      </c>
      <c r="O16" s="3539" t="s">
        <v>3560</v>
      </c>
      <c r="P16" s="3547">
        <v>44419</v>
      </c>
      <c r="Q16" s="3541" t="s">
        <v>3561</v>
      </c>
      <c r="R16" s="3539" t="s">
        <v>3547</v>
      </c>
      <c r="S16" s="3539">
        <v>10166.183199999999</v>
      </c>
      <c r="T16" s="3539">
        <v>23810</v>
      </c>
      <c r="V16" s="3539">
        <v>1.04</v>
      </c>
      <c r="W16" s="3539" t="s">
        <v>3467</v>
      </c>
    </row>
    <row r="17" spans="1:23" ht="27">
      <c r="A17" s="3539">
        <v>44</v>
      </c>
      <c r="B17" s="3539" t="s">
        <v>3395</v>
      </c>
      <c r="C17" s="3539" t="s">
        <v>3562</v>
      </c>
      <c r="D17" s="3539" t="s">
        <v>3563</v>
      </c>
      <c r="E17" s="3539" t="s">
        <v>3564</v>
      </c>
      <c r="F17" s="3539" t="s">
        <v>3565</v>
      </c>
      <c r="G17" s="3539" t="s">
        <v>3566</v>
      </c>
      <c r="I17" s="3539">
        <v>38000</v>
      </c>
      <c r="J17" s="3539">
        <v>26467.47</v>
      </c>
      <c r="K17" s="3539">
        <v>11532.53</v>
      </c>
      <c r="L17" s="3539">
        <v>157500</v>
      </c>
      <c r="M17" s="3539">
        <v>41447</v>
      </c>
      <c r="N17" s="3540">
        <v>59507</v>
      </c>
      <c r="O17" s="3539" t="s">
        <v>43</v>
      </c>
      <c r="P17" s="3547" t="s">
        <v>3567</v>
      </c>
      <c r="Q17" s="3541" t="s">
        <v>3568</v>
      </c>
      <c r="R17" s="3539" t="s">
        <v>3569</v>
      </c>
      <c r="T17" s="3539">
        <v>0</v>
      </c>
      <c r="V17" s="3539" t="e">
        <v>#DIV/0!</v>
      </c>
    </row>
    <row r="18" spans="1:23" s="3540" customFormat="1">
      <c r="A18" s="3540">
        <v>45</v>
      </c>
      <c r="B18" s="3544" t="s">
        <v>3570</v>
      </c>
      <c r="C18" s="3540" t="s">
        <v>3571</v>
      </c>
      <c r="D18" s="3540" t="s">
        <v>3563</v>
      </c>
      <c r="E18" s="3540" t="s">
        <v>3565</v>
      </c>
      <c r="F18" s="3540" t="s">
        <v>3572</v>
      </c>
      <c r="G18" s="3540" t="s">
        <v>21</v>
      </c>
      <c r="I18" s="3540">
        <v>15941</v>
      </c>
      <c r="J18" s="3540">
        <v>15941</v>
      </c>
      <c r="L18" s="3540">
        <v>152300</v>
      </c>
      <c r="M18" s="3540">
        <v>95540</v>
      </c>
      <c r="N18" s="3540">
        <v>95540</v>
      </c>
      <c r="O18" s="3540" t="s">
        <v>3573</v>
      </c>
      <c r="P18" s="3545" t="s">
        <v>3574</v>
      </c>
      <c r="Q18" s="3546" t="s">
        <v>3575</v>
      </c>
      <c r="T18" s="3540">
        <v>0</v>
      </c>
      <c r="V18" s="3540" t="e">
        <v>#DIV/0!</v>
      </c>
    </row>
    <row r="19" spans="1:23" ht="54">
      <c r="A19" s="3539">
        <v>46</v>
      </c>
      <c r="B19" s="3539" t="s">
        <v>3576</v>
      </c>
      <c r="C19" s="3539" t="s">
        <v>3577</v>
      </c>
      <c r="D19" s="3539" t="s">
        <v>3465</v>
      </c>
      <c r="E19" s="3539" t="s">
        <v>3466</v>
      </c>
      <c r="F19" s="3539" t="s">
        <v>3578</v>
      </c>
      <c r="G19" s="3539" t="s">
        <v>3579</v>
      </c>
      <c r="H19" s="3539">
        <v>11620.73</v>
      </c>
      <c r="I19" s="3539">
        <v>82341.570000000007</v>
      </c>
      <c r="J19" s="3539">
        <v>41197.78</v>
      </c>
      <c r="K19" s="3539">
        <v>41143.79</v>
      </c>
      <c r="L19" s="3539">
        <v>164500.37359999999</v>
      </c>
      <c r="M19" s="3539">
        <v>19978</v>
      </c>
      <c r="N19" s="3540">
        <v>39929</v>
      </c>
      <c r="O19" s="3539" t="s">
        <v>3580</v>
      </c>
      <c r="P19" s="3547">
        <v>44406</v>
      </c>
      <c r="Q19" s="3541" t="s">
        <v>3581</v>
      </c>
      <c r="R19" s="3539">
        <v>40695</v>
      </c>
      <c r="S19" s="3539">
        <v>292857.81</v>
      </c>
      <c r="T19" s="3539">
        <v>71086</v>
      </c>
      <c r="V19" s="3539">
        <v>0.56000000000000005</v>
      </c>
      <c r="W19" s="3539" t="s">
        <v>3467</v>
      </c>
    </row>
    <row r="20" spans="1:23" ht="27">
      <c r="A20" s="3539">
        <v>50</v>
      </c>
      <c r="B20" s="3539" t="s">
        <v>3582</v>
      </c>
      <c r="C20" s="3539" t="s">
        <v>3583</v>
      </c>
      <c r="D20" s="3539" t="s">
        <v>3465</v>
      </c>
      <c r="E20" s="3539" t="s">
        <v>3543</v>
      </c>
      <c r="F20" s="3539" t="s">
        <v>3584</v>
      </c>
      <c r="G20" s="3539" t="s">
        <v>3585</v>
      </c>
      <c r="J20" s="3539">
        <v>22716</v>
      </c>
      <c r="L20" s="3539">
        <v>105000</v>
      </c>
      <c r="M20" s="3539" t="e">
        <v>#DIV/0!</v>
      </c>
      <c r="N20" s="3540">
        <v>46223</v>
      </c>
      <c r="O20" s="3539" t="s">
        <v>3586</v>
      </c>
      <c r="P20" s="3543" t="s">
        <v>3587</v>
      </c>
      <c r="Q20" s="3541" t="s">
        <v>3588</v>
      </c>
      <c r="T20" s="3539">
        <v>0</v>
      </c>
      <c r="V20" s="3539" t="e">
        <v>#DIV/0!</v>
      </c>
    </row>
    <row r="21" spans="1:23">
      <c r="A21" s="3539">
        <v>51</v>
      </c>
      <c r="B21" s="3539" t="s">
        <v>3589</v>
      </c>
      <c r="C21" s="3539" t="s">
        <v>3590</v>
      </c>
      <c r="D21" s="3539" t="s">
        <v>3478</v>
      </c>
      <c r="E21" s="3539" t="s">
        <v>3591</v>
      </c>
      <c r="F21" s="3539" t="s">
        <v>3592</v>
      </c>
      <c r="G21" s="3539" t="s">
        <v>3559</v>
      </c>
      <c r="H21" s="3539">
        <v>327.82</v>
      </c>
      <c r="I21" s="3539">
        <v>1702.62</v>
      </c>
      <c r="J21" s="3539">
        <v>1702.62</v>
      </c>
      <c r="L21" s="3539">
        <v>6441.5559999999996</v>
      </c>
      <c r="M21" s="3539">
        <v>37833</v>
      </c>
      <c r="N21" s="3540">
        <v>37833</v>
      </c>
      <c r="O21" s="3539" t="s">
        <v>3593</v>
      </c>
      <c r="P21" s="3547">
        <v>44502</v>
      </c>
      <c r="Q21" s="3541" t="s">
        <v>3594</v>
      </c>
      <c r="R21" s="3539" t="s">
        <v>3595</v>
      </c>
      <c r="S21" s="3539">
        <v>10056.35</v>
      </c>
      <c r="T21" s="3539">
        <v>59064</v>
      </c>
      <c r="V21" s="3539">
        <v>0.64</v>
      </c>
      <c r="W21" s="3539" t="s">
        <v>3467</v>
      </c>
    </row>
    <row r="22" spans="1:23" ht="67.5">
      <c r="A22" s="3539">
        <v>58</v>
      </c>
      <c r="B22" s="3539" t="s">
        <v>3596</v>
      </c>
      <c r="C22" s="3539" t="s">
        <v>3597</v>
      </c>
      <c r="D22" s="3539" t="s">
        <v>3465</v>
      </c>
      <c r="E22" s="3539" t="s">
        <v>3598</v>
      </c>
      <c r="F22" s="3539" t="s">
        <v>3469</v>
      </c>
      <c r="G22" s="3539" t="s">
        <v>3559</v>
      </c>
      <c r="H22" s="3539">
        <v>1438.41</v>
      </c>
      <c r="I22" s="3539">
        <v>9489.06</v>
      </c>
      <c r="J22" s="3539">
        <v>7690.29</v>
      </c>
      <c r="K22" s="3539">
        <v>1798.77</v>
      </c>
      <c r="L22" s="3539">
        <v>33855</v>
      </c>
      <c r="M22" s="3539">
        <v>35677</v>
      </c>
      <c r="N22" s="3540">
        <v>44023</v>
      </c>
      <c r="O22" s="3539" t="s">
        <v>3599</v>
      </c>
      <c r="P22" s="3543">
        <v>44509</v>
      </c>
      <c r="Q22" s="3541" t="s">
        <v>3600</v>
      </c>
      <c r="R22" s="3539" t="s">
        <v>3498</v>
      </c>
      <c r="S22" s="3539">
        <v>52585.279999999999</v>
      </c>
      <c r="T22" s="3539">
        <v>68379</v>
      </c>
      <c r="V22" s="3539">
        <v>0.64</v>
      </c>
      <c r="W22" s="3539" t="s">
        <v>3467</v>
      </c>
    </row>
    <row r="23" spans="1:23">
      <c r="A23" s="3539">
        <v>59</v>
      </c>
      <c r="B23" s="3539" t="s">
        <v>3601</v>
      </c>
      <c r="C23" s="3539" t="s">
        <v>3602</v>
      </c>
      <c r="D23" s="3539" t="s">
        <v>3465</v>
      </c>
      <c r="E23" s="3539" t="s">
        <v>3603</v>
      </c>
      <c r="F23" s="3539" t="s">
        <v>3366</v>
      </c>
      <c r="G23" s="3539" t="s">
        <v>3559</v>
      </c>
      <c r="I23" s="3539">
        <v>2076.27</v>
      </c>
      <c r="J23" s="3539">
        <v>2076.27</v>
      </c>
      <c r="L23" s="3539">
        <v>4370</v>
      </c>
      <c r="M23" s="3539">
        <v>21047</v>
      </c>
      <c r="N23" s="3540">
        <v>21047</v>
      </c>
      <c r="O23" s="3539" t="s">
        <v>3604</v>
      </c>
      <c r="P23" s="3547">
        <v>44512</v>
      </c>
      <c r="Q23" s="3541" t="s">
        <v>3605</v>
      </c>
      <c r="R23" s="3539" t="s">
        <v>3606</v>
      </c>
      <c r="S23" s="3539">
        <v>7802.31</v>
      </c>
      <c r="T23" s="3539">
        <v>37578</v>
      </c>
      <c r="V23" s="3539">
        <v>0.56000000000000005</v>
      </c>
      <c r="W23" s="3539" t="s">
        <v>3467</v>
      </c>
    </row>
    <row r="24" spans="1:23" ht="27">
      <c r="A24" s="3539">
        <v>62</v>
      </c>
      <c r="B24" s="3539" t="s">
        <v>3608</v>
      </c>
      <c r="C24" s="3539" t="s">
        <v>3609</v>
      </c>
      <c r="D24" s="3539" t="s">
        <v>3539</v>
      </c>
      <c r="E24" s="3539" t="s">
        <v>3540</v>
      </c>
      <c r="F24" s="3539" t="s">
        <v>3610</v>
      </c>
      <c r="G24" s="3539" t="s">
        <v>3559</v>
      </c>
      <c r="I24" s="3539">
        <v>76261.53</v>
      </c>
      <c r="J24" s="3539">
        <v>51766.63</v>
      </c>
      <c r="K24" s="3539">
        <v>24494.9</v>
      </c>
      <c r="L24" s="3539">
        <v>193577.51379999999</v>
      </c>
      <c r="M24" s="3539">
        <v>25383</v>
      </c>
      <c r="N24" s="3540">
        <v>37394</v>
      </c>
      <c r="O24" s="3539" t="s">
        <v>3534</v>
      </c>
      <c r="P24" s="3543" t="s">
        <v>3611</v>
      </c>
      <c r="Q24" s="3541" t="s">
        <v>3612</v>
      </c>
      <c r="R24" s="3539" t="s">
        <v>3613</v>
      </c>
      <c r="T24" s="3539">
        <v>0</v>
      </c>
      <c r="V24" s="3539" t="e">
        <v>#DIV/0!</v>
      </c>
    </row>
    <row r="25" spans="1:23">
      <c r="A25" s="3539">
        <v>63</v>
      </c>
      <c r="B25" s="3539" t="s">
        <v>3614</v>
      </c>
      <c r="C25" s="3539" t="s">
        <v>3615</v>
      </c>
      <c r="D25" s="3539" t="s">
        <v>3465</v>
      </c>
      <c r="E25" s="3539" t="s">
        <v>3616</v>
      </c>
      <c r="F25" s="3539" t="s">
        <v>3617</v>
      </c>
      <c r="G25" s="3539" t="s">
        <v>3607</v>
      </c>
      <c r="I25" s="3539">
        <v>19620.759999999998</v>
      </c>
      <c r="J25" s="3539">
        <v>19620.759999999998</v>
      </c>
      <c r="L25" s="3539">
        <v>57284.58799</v>
      </c>
      <c r="M25" s="3539">
        <v>29196</v>
      </c>
      <c r="N25" s="3540">
        <v>29196</v>
      </c>
      <c r="O25" s="3539" t="s">
        <v>3618</v>
      </c>
      <c r="P25" s="3547">
        <v>44530</v>
      </c>
      <c r="Q25" s="3541" t="s">
        <v>3619</v>
      </c>
      <c r="R25" s="3539" t="s">
        <v>3470</v>
      </c>
      <c r="S25" s="3539">
        <v>81835.125700000004</v>
      </c>
      <c r="T25" s="3539">
        <v>41708</v>
      </c>
      <c r="V25" s="3539">
        <v>0.7</v>
      </c>
      <c r="W25" s="3539" t="s">
        <v>3467</v>
      </c>
    </row>
    <row r="26" spans="1:23">
      <c r="A26" s="3539">
        <v>64</v>
      </c>
      <c r="B26" s="3539" t="s">
        <v>3620</v>
      </c>
      <c r="C26" s="3539" t="s">
        <v>3621</v>
      </c>
      <c r="D26" s="3539" t="s">
        <v>3478</v>
      </c>
      <c r="E26" s="3539" t="s">
        <v>3513</v>
      </c>
      <c r="F26" s="3539" t="s">
        <v>3366</v>
      </c>
      <c r="G26" s="3539" t="s">
        <v>3607</v>
      </c>
      <c r="I26" s="3539">
        <v>820.06</v>
      </c>
      <c r="J26" s="3539">
        <v>820.06</v>
      </c>
      <c r="L26" s="3539">
        <v>3005</v>
      </c>
      <c r="M26" s="3539">
        <v>36644</v>
      </c>
      <c r="N26" s="3540">
        <v>36644</v>
      </c>
      <c r="O26" s="3539" t="s">
        <v>3469</v>
      </c>
      <c r="P26" s="3547">
        <v>44526</v>
      </c>
      <c r="Q26" s="3541" t="s">
        <v>3622</v>
      </c>
      <c r="R26" s="3539" t="s">
        <v>3623</v>
      </c>
      <c r="S26" s="3539">
        <v>3270.47865</v>
      </c>
      <c r="T26" s="3539">
        <v>39881</v>
      </c>
      <c r="V26" s="3539">
        <v>0.92</v>
      </c>
      <c r="W26" s="3539" t="s">
        <v>3467</v>
      </c>
    </row>
    <row r="27" spans="1:23" ht="27">
      <c r="A27" s="3539">
        <v>65</v>
      </c>
      <c r="B27" s="3539" t="s">
        <v>3624</v>
      </c>
      <c r="C27" s="3539" t="s">
        <v>3625</v>
      </c>
      <c r="D27" s="3539" t="s">
        <v>3468</v>
      </c>
      <c r="E27" s="3539" t="s">
        <v>3626</v>
      </c>
      <c r="F27" s="3539" t="s">
        <v>3627</v>
      </c>
      <c r="G27" s="3539" t="s">
        <v>3628</v>
      </c>
      <c r="I27" s="3539">
        <v>27481.15</v>
      </c>
      <c r="J27" s="3539">
        <v>25176.93</v>
      </c>
      <c r="K27" s="3539">
        <v>2304.2199999999998</v>
      </c>
      <c r="L27" s="3539">
        <v>102812</v>
      </c>
      <c r="M27" s="3539">
        <v>37412</v>
      </c>
      <c r="N27" s="3540">
        <v>40836</v>
      </c>
      <c r="O27" s="3539" t="s">
        <v>43</v>
      </c>
      <c r="P27" s="3549">
        <v>44531</v>
      </c>
      <c r="Q27" s="3541" t="s">
        <v>3629</v>
      </c>
      <c r="R27" s="3539" t="s">
        <v>3483</v>
      </c>
    </row>
    <row r="28" spans="1:23" s="3540" customFormat="1" ht="81">
      <c r="A28" s="3540">
        <v>78</v>
      </c>
      <c r="B28" s="3540" t="s">
        <v>4323</v>
      </c>
      <c r="C28" s="3540" t="s">
        <v>3631</v>
      </c>
      <c r="D28" s="3540" t="s">
        <v>3465</v>
      </c>
      <c r="E28" s="3540" t="s">
        <v>3511</v>
      </c>
      <c r="F28" s="3540" t="s">
        <v>3632</v>
      </c>
      <c r="G28" s="3540" t="s">
        <v>3607</v>
      </c>
      <c r="H28" s="3540">
        <v>10142.94</v>
      </c>
      <c r="I28" s="3540">
        <v>39145.39</v>
      </c>
      <c r="J28" s="3540">
        <v>33000</v>
      </c>
      <c r="L28" s="3540">
        <v>250000</v>
      </c>
      <c r="M28" s="3540">
        <v>63864</v>
      </c>
      <c r="N28" s="3540">
        <v>75758</v>
      </c>
      <c r="O28" s="3540" t="s">
        <v>3633</v>
      </c>
      <c r="P28" s="3550" t="s">
        <v>3634</v>
      </c>
      <c r="Q28" s="3546" t="s">
        <v>3635</v>
      </c>
      <c r="R28" s="3540" t="s">
        <v>3636</v>
      </c>
      <c r="U28" s="3540" t="s">
        <v>3637</v>
      </c>
    </row>
    <row r="29" spans="1:23" ht="81">
      <c r="A29" s="3539">
        <v>79</v>
      </c>
      <c r="B29" s="3539" t="s">
        <v>3638</v>
      </c>
      <c r="C29" s="3539" t="s">
        <v>3639</v>
      </c>
      <c r="D29" s="3539" t="s">
        <v>3468</v>
      </c>
      <c r="E29" s="3539" t="s">
        <v>3640</v>
      </c>
      <c r="F29" s="3539" t="s">
        <v>3641</v>
      </c>
      <c r="G29" s="3539" t="s">
        <v>3642</v>
      </c>
      <c r="H29" s="3539">
        <v>7078.77</v>
      </c>
      <c r="I29" s="3539">
        <v>48597.599999999999</v>
      </c>
      <c r="J29" s="3539">
        <v>41927.449999999997</v>
      </c>
      <c r="K29" s="3539">
        <v>6670.15</v>
      </c>
      <c r="L29" s="3539">
        <v>76978.570000000007</v>
      </c>
      <c r="M29" s="3539">
        <v>15840</v>
      </c>
      <c r="N29" s="3540">
        <v>18360</v>
      </c>
      <c r="O29" s="3539" t="s">
        <v>43</v>
      </c>
      <c r="P29" s="3543">
        <v>44286</v>
      </c>
      <c r="Q29" s="3541" t="s">
        <v>4324</v>
      </c>
      <c r="R29" s="3539" t="s">
        <v>43</v>
      </c>
      <c r="S29" s="3539">
        <v>91230.68</v>
      </c>
      <c r="T29" s="3539">
        <v>21759</v>
      </c>
      <c r="V29" s="3539">
        <v>0.84</v>
      </c>
      <c r="W29" s="3539" t="s">
        <v>3467</v>
      </c>
    </row>
    <row r="30" spans="1:23">
      <c r="A30" s="3539">
        <v>97</v>
      </c>
      <c r="B30" s="3539" t="s">
        <v>3644</v>
      </c>
      <c r="C30" s="3539" t="s">
        <v>3645</v>
      </c>
      <c r="D30" s="3539" t="s">
        <v>3539</v>
      </c>
      <c r="E30" s="3539" t="s">
        <v>3540</v>
      </c>
      <c r="F30" s="3539" t="s">
        <v>3646</v>
      </c>
      <c r="G30" s="3539" t="s">
        <v>21</v>
      </c>
      <c r="I30" s="3539">
        <v>73041.88</v>
      </c>
      <c r="J30" s="3539">
        <v>48546.98</v>
      </c>
      <c r="K30" s="3539">
        <v>24494.9</v>
      </c>
      <c r="L30" s="3539">
        <v>183370</v>
      </c>
      <c r="M30" s="3539">
        <v>25105</v>
      </c>
      <c r="N30" s="3540">
        <v>37772</v>
      </c>
      <c r="O30" s="3539" t="s">
        <v>3647</v>
      </c>
      <c r="P30" s="3543">
        <v>44501</v>
      </c>
      <c r="Q30" s="3541" t="s">
        <v>3648</v>
      </c>
      <c r="T30" s="3539">
        <v>0</v>
      </c>
      <c r="V30" s="3539" t="e">
        <v>#DIV/0!</v>
      </c>
    </row>
    <row r="31" spans="1:23" ht="81">
      <c r="A31" s="3539">
        <v>98</v>
      </c>
      <c r="B31" s="3539" t="s">
        <v>3649</v>
      </c>
      <c r="C31" s="3539" t="s">
        <v>3650</v>
      </c>
      <c r="D31" s="3539" t="s">
        <v>3643</v>
      </c>
      <c r="E31" s="3539" t="s">
        <v>3630</v>
      </c>
      <c r="F31" s="3539" t="s">
        <v>3651</v>
      </c>
      <c r="G31" s="3539" t="s">
        <v>3566</v>
      </c>
      <c r="I31" s="3539">
        <v>138490</v>
      </c>
      <c r="J31" s="3539">
        <v>104336.17</v>
      </c>
      <c r="K31" s="3539">
        <v>34153.83</v>
      </c>
      <c r="L31" s="3539">
        <v>618571.42859999998</v>
      </c>
      <c r="M31" s="3539">
        <v>44665</v>
      </c>
      <c r="N31" s="3540">
        <v>59286</v>
      </c>
      <c r="O31" s="3539" t="s">
        <v>3652</v>
      </c>
      <c r="P31" s="3547">
        <v>44348</v>
      </c>
      <c r="Q31" s="3541" t="s">
        <v>3653</v>
      </c>
      <c r="R31" s="3539" t="s">
        <v>3498</v>
      </c>
      <c r="T31" s="3539">
        <v>0</v>
      </c>
      <c r="U31" s="3539" t="s">
        <v>3637</v>
      </c>
      <c r="V31" s="3539" t="e">
        <v>#DIV/0!</v>
      </c>
    </row>
    <row r="32" spans="1:23">
      <c r="A32" s="3539">
        <v>100</v>
      </c>
      <c r="B32" s="3539" t="s">
        <v>3654</v>
      </c>
      <c r="C32" s="3539" t="s">
        <v>3655</v>
      </c>
      <c r="D32" s="3539" t="s">
        <v>3465</v>
      </c>
      <c r="E32" s="3539" t="s">
        <v>3511</v>
      </c>
      <c r="F32" s="3539" t="s">
        <v>3656</v>
      </c>
      <c r="G32" s="3539" t="s">
        <v>21</v>
      </c>
      <c r="H32" s="3539">
        <v>2699.92</v>
      </c>
      <c r="I32" s="3539">
        <v>11428.07</v>
      </c>
      <c r="J32" s="3539">
        <v>6959.3</v>
      </c>
      <c r="K32" s="3539">
        <v>4468.7700000000004</v>
      </c>
      <c r="L32" s="3539">
        <v>36600</v>
      </c>
      <c r="M32" s="3539">
        <v>32026</v>
      </c>
      <c r="N32" s="3540">
        <v>52591</v>
      </c>
      <c r="O32" s="3539" t="s">
        <v>43</v>
      </c>
      <c r="P32" s="3547">
        <v>44256</v>
      </c>
      <c r="Q32" s="3541" t="s">
        <v>3657</v>
      </c>
      <c r="T32" s="3539">
        <v>0</v>
      </c>
      <c r="V32" s="3539" t="e">
        <v>#DIV/0!</v>
      </c>
    </row>
    <row r="33" spans="1:22">
      <c r="A33" s="3539">
        <v>102</v>
      </c>
      <c r="B33" s="3539" t="s">
        <v>3658</v>
      </c>
      <c r="C33" s="3539" t="s">
        <v>3659</v>
      </c>
      <c r="D33" s="3539" t="s">
        <v>3465</v>
      </c>
      <c r="E33" s="3539" t="s">
        <v>3630</v>
      </c>
      <c r="F33" s="3539" t="s">
        <v>3660</v>
      </c>
      <c r="G33" s="3539" t="s">
        <v>21</v>
      </c>
      <c r="I33" s="3539">
        <v>52838</v>
      </c>
      <c r="J33" s="3539">
        <v>52838</v>
      </c>
      <c r="L33" s="3539">
        <v>300000</v>
      </c>
      <c r="M33" s="3539">
        <v>56777</v>
      </c>
      <c r="N33" s="3540">
        <v>56777</v>
      </c>
      <c r="O33" s="3539" t="s">
        <v>3661</v>
      </c>
      <c r="P33" s="3547">
        <v>44228</v>
      </c>
      <c r="Q33" s="3541" t="s">
        <v>3662</v>
      </c>
      <c r="R33" s="3539" t="s">
        <v>3477</v>
      </c>
      <c r="T33" s="3539">
        <v>0</v>
      </c>
      <c r="U33" s="3539" t="s">
        <v>3637</v>
      </c>
      <c r="V33" s="3539" t="e">
        <v>#DIV/0!</v>
      </c>
    </row>
    <row r="72" spans="1:13">
      <c r="A72" s="3539" t="s">
        <v>3443</v>
      </c>
      <c r="B72" s="3539" t="s">
        <v>4325</v>
      </c>
      <c r="C72" s="3539" t="s">
        <v>3664</v>
      </c>
      <c r="D72" s="3539" t="s">
        <v>4326</v>
      </c>
      <c r="E72" s="3539" t="s">
        <v>4327</v>
      </c>
      <c r="F72" s="3539" t="s">
        <v>4328</v>
      </c>
      <c r="G72" s="3539" t="s">
        <v>4329</v>
      </c>
      <c r="H72" s="3539" t="s">
        <v>4330</v>
      </c>
      <c r="I72" s="3539" t="s">
        <v>3448</v>
      </c>
      <c r="J72" s="3539" t="s">
        <v>4331</v>
      </c>
      <c r="K72" s="3539" t="s">
        <v>4332</v>
      </c>
      <c r="L72" s="3539" t="s">
        <v>4333</v>
      </c>
      <c r="M72" s="3539" t="s">
        <v>4334</v>
      </c>
    </row>
    <row r="73" spans="1:13">
      <c r="A73" s="3539">
        <v>82</v>
      </c>
      <c r="B73" s="3542" t="s">
        <v>4335</v>
      </c>
      <c r="C73" s="3539" t="s">
        <v>4336</v>
      </c>
      <c r="D73" s="3539" t="s">
        <v>3465</v>
      </c>
      <c r="E73" s="3539" t="s">
        <v>21</v>
      </c>
      <c r="F73" s="3539">
        <v>40824</v>
      </c>
      <c r="G73" s="3539" t="s">
        <v>4337</v>
      </c>
      <c r="H73" s="3539">
        <v>2022</v>
      </c>
      <c r="I73" s="3539" t="s">
        <v>4338</v>
      </c>
      <c r="J73" s="3539" t="s">
        <v>4339</v>
      </c>
      <c r="K73" s="3539">
        <v>1342</v>
      </c>
      <c r="L73" s="3539">
        <v>70831</v>
      </c>
      <c r="M73" s="3539" t="s">
        <v>4340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1642</v>
      </c>
      <c r="B1" s="1863"/>
      <c r="C1" s="1863"/>
      <c r="D1" s="1863"/>
      <c r="E1" s="1864"/>
      <c r="F1" s="2678"/>
      <c r="G1" s="1484"/>
      <c r="H1" s="1484"/>
      <c r="I1" s="1484"/>
      <c r="J1" s="1484"/>
      <c r="K1" s="1484"/>
      <c r="L1" s="1484"/>
      <c r="M1" s="1484"/>
      <c r="N1" s="1484"/>
      <c r="O1" s="1484"/>
      <c r="P1" s="1484"/>
      <c r="Q1" s="1484"/>
      <c r="R1" s="1484"/>
      <c r="S1" s="1484"/>
    </row>
    <row r="2" spans="1:22" ht="15.75">
      <c r="A2" s="1865" t="s">
        <v>1446</v>
      </c>
      <c r="B2" s="1866">
        <f ca="1">SUMIF(B6:B13,"&lt;&gt;#ref!",B6:B13)</f>
        <v>461472</v>
      </c>
      <c r="C2" s="1867" t="s">
        <v>1635</v>
      </c>
      <c r="D2" s="1868" t="s">
        <v>1636</v>
      </c>
      <c r="E2" s="2579">
        <f>SUM(E6:E13)</f>
        <v>84373.1</v>
      </c>
      <c r="F2" s="2678"/>
      <c r="G2" s="1484"/>
      <c r="H2" s="1484"/>
      <c r="I2" s="1484"/>
      <c r="J2" s="1484"/>
      <c r="K2" s="1484"/>
      <c r="L2" s="1484"/>
      <c r="M2" s="1484"/>
      <c r="N2" s="1484"/>
      <c r="O2" s="1484"/>
      <c r="P2" s="1484"/>
      <c r="Q2" s="1484"/>
      <c r="R2" s="1484"/>
      <c r="S2" s="1484"/>
    </row>
    <row r="3" spans="1:22" ht="15.75">
      <c r="A3" s="1865" t="s">
        <v>686</v>
      </c>
      <c r="B3" s="2573">
        <f ca="1">ROUND(B2*10000/E2,0)</f>
        <v>54694</v>
      </c>
      <c r="C3" s="1867" t="s">
        <v>1643</v>
      </c>
      <c r="D3" s="2680"/>
      <c r="E3" s="2682"/>
      <c r="F3" s="2678"/>
      <c r="G3" s="1484"/>
      <c r="H3" s="1484"/>
      <c r="I3" s="1484"/>
      <c r="J3" s="1484"/>
      <c r="K3" s="1484"/>
      <c r="L3" s="1484"/>
      <c r="M3" s="1484"/>
      <c r="N3" s="1484"/>
      <c r="O3" s="1484"/>
      <c r="P3" s="1484"/>
      <c r="Q3" s="1484"/>
      <c r="R3" s="1484"/>
      <c r="S3" s="1484"/>
    </row>
    <row r="4" spans="1:22" ht="15.75">
      <c r="A4" s="2683"/>
      <c r="B4" s="2680"/>
      <c r="C4" s="2680"/>
      <c r="D4" s="2680"/>
      <c r="E4" s="2682"/>
      <c r="F4" s="2678"/>
      <c r="G4" s="1484"/>
      <c r="H4" s="1484"/>
      <c r="I4" s="1484"/>
      <c r="J4" s="1484"/>
      <c r="K4" s="1484"/>
      <c r="L4" s="1484"/>
      <c r="M4" s="1484"/>
      <c r="N4" s="1484"/>
      <c r="O4" s="1484"/>
      <c r="P4" s="1484"/>
      <c r="Q4" s="1484"/>
      <c r="R4" s="1484"/>
      <c r="S4" s="1484"/>
    </row>
    <row r="5" spans="1:22" ht="15">
      <c r="A5" s="2575" t="s">
        <v>1637</v>
      </c>
      <c r="B5" s="3881" t="s">
        <v>1638</v>
      </c>
      <c r="C5" s="3882"/>
      <c r="D5" s="2679"/>
      <c r="E5" s="1869" t="s">
        <v>1639</v>
      </c>
      <c r="F5" s="1870" t="s">
        <v>1640</v>
      </c>
      <c r="G5" s="1484"/>
      <c r="H5" s="1484"/>
      <c r="I5" s="1484"/>
      <c r="J5" s="1484"/>
      <c r="K5" s="1484"/>
      <c r="L5" s="1484"/>
      <c r="M5" s="1484"/>
      <c r="N5" s="1484"/>
      <c r="O5" s="1484"/>
      <c r="P5" s="1484"/>
      <c r="Q5" s="1484"/>
      <c r="R5" s="1484"/>
      <c r="S5" s="1484"/>
    </row>
    <row r="6" spans="1:22">
      <c r="A6" s="2576" t="str">
        <f>'数据-取费表'!AN6</f>
        <v>收益法</v>
      </c>
      <c r="B6" s="2574">
        <f ca="1">IF(F6="是",'数据-取费表'!AO6,0)</f>
        <v>155833</v>
      </c>
      <c r="C6" s="1867" t="s">
        <v>1635</v>
      </c>
      <c r="D6" s="2680"/>
      <c r="E6" s="2578">
        <f>IF(OR(A6=0,F6="否"),0,'数据-取费表'!K6+'数据-取费表'!S6)</f>
        <v>34471.17</v>
      </c>
      <c r="F6" s="1871" t="s">
        <v>1641</v>
      </c>
      <c r="G6" s="1484"/>
      <c r="H6" s="1484"/>
      <c r="I6" s="1484"/>
      <c r="J6" s="1484"/>
      <c r="K6" s="1484"/>
      <c r="L6" s="1484"/>
      <c r="M6" s="1484"/>
      <c r="N6" s="1484"/>
      <c r="O6" s="1484"/>
      <c r="P6" s="1484"/>
      <c r="Q6" s="1484"/>
      <c r="R6" s="1484"/>
      <c r="S6" s="1484"/>
    </row>
    <row r="7" spans="1:22">
      <c r="A7" s="2576" t="str">
        <f>'数据-取费表'!AN7</f>
        <v>收益法办</v>
      </c>
      <c r="B7" s="2574">
        <f ca="1">IF(F7="是",'数据-取费表'!AO7,0)</f>
        <v>298529</v>
      </c>
      <c r="C7" s="1867" t="s">
        <v>1635</v>
      </c>
      <c r="D7" s="2680"/>
      <c r="E7" s="2578">
        <f>IF(OR(A7=0,F7="否"),0,'数据-取费表'!K7+'数据-取费表'!S7)</f>
        <v>35300.840000000011</v>
      </c>
      <c r="F7" s="1871" t="s">
        <v>1641</v>
      </c>
      <c r="G7" s="1484"/>
      <c r="H7" s="1484"/>
      <c r="I7" s="1484"/>
      <c r="J7" s="1484"/>
      <c r="K7" s="1484"/>
      <c r="L7" s="1484"/>
      <c r="M7" s="1484"/>
      <c r="N7" s="1484"/>
      <c r="O7" s="1484"/>
      <c r="P7" s="1484"/>
      <c r="Q7" s="1484"/>
      <c r="R7" s="1484"/>
      <c r="S7" s="1484"/>
    </row>
    <row r="8" spans="1:22">
      <c r="A8" s="2576" t="str">
        <f>'数据-取费表'!AN8</f>
        <v>收益法车</v>
      </c>
      <c r="B8" s="2574">
        <f ca="1">IF(F8="是",'数据-取费表'!AO8,0)</f>
        <v>7110</v>
      </c>
      <c r="C8" s="1867" t="s">
        <v>1635</v>
      </c>
      <c r="D8" s="2680"/>
      <c r="E8" s="2578">
        <f>IF(OR(A8=0,F8="否"),0,'数据-取费表'!K8+'数据-取费表'!S8)</f>
        <v>14601.09</v>
      </c>
      <c r="F8" s="1871" t="s">
        <v>3368</v>
      </c>
      <c r="G8" s="1484"/>
      <c r="H8" s="1484"/>
      <c r="I8" s="1484"/>
      <c r="J8" s="1484"/>
      <c r="K8" s="1484"/>
      <c r="L8" s="1484"/>
      <c r="M8" s="1484"/>
      <c r="N8" s="1484"/>
      <c r="O8" s="1484"/>
      <c r="P8" s="1484"/>
      <c r="Q8" s="1484"/>
      <c r="R8" s="1484"/>
      <c r="S8" s="1484"/>
    </row>
    <row r="9" spans="1:22">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A31" zoomScale="90" zoomScaleNormal="70" zoomScaleSheetLayoutView="9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673</v>
      </c>
      <c r="D1" s="1357" t="s">
        <v>43</v>
      </c>
      <c r="E1" s="1358" t="s">
        <v>678</v>
      </c>
      <c r="F1" s="1058">
        <f ca="1">J53</f>
        <v>20.64</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155833</v>
      </c>
      <c r="C2" s="1382" t="s">
        <v>805</v>
      </c>
      <c r="D2" s="1382"/>
      <c r="E2" s="1383"/>
      <c r="F2" s="1384"/>
      <c r="G2" s="2677"/>
      <c r="H2" s="2666"/>
      <c r="I2" s="2666"/>
      <c r="J2" s="2666"/>
      <c r="K2" s="2667"/>
      <c r="L2" s="2666"/>
      <c r="M2" s="2666"/>
    </row>
    <row r="3" spans="1:37" ht="18" customHeight="1" thickBot="1">
      <c r="A3" s="1385" t="s">
        <v>806</v>
      </c>
      <c r="B3" s="1386">
        <f ca="1">IF(ISERROR(B2*10000/F43),0,ROUND(B2*10000/F43,0))</f>
        <v>45207</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12472</v>
      </c>
      <c r="D5" s="1359" t="s">
        <v>693</v>
      </c>
      <c r="E5" s="1067"/>
      <c r="F5" s="1068"/>
      <c r="G5" s="1379"/>
      <c r="H5" s="299">
        <v>1</v>
      </c>
      <c r="I5" s="300" t="s">
        <v>692</v>
      </c>
      <c r="J5" s="1066">
        <f ca="1">J6+J10+J12</f>
        <v>0</v>
      </c>
      <c r="K5" s="1359" t="s">
        <v>693</v>
      </c>
      <c r="L5" s="1067"/>
      <c r="M5" s="1068"/>
    </row>
    <row r="6" spans="1:37" ht="18" customHeight="1">
      <c r="A6" s="1065" t="s">
        <v>398</v>
      </c>
      <c r="B6" s="3748" t="s">
        <v>694</v>
      </c>
      <c r="C6" s="1070">
        <f ca="1">ROUND(F6*F8*F7*(1-F9)/10000,0)</f>
        <v>12456</v>
      </c>
      <c r="D6" s="155" t="s">
        <v>2091</v>
      </c>
      <c r="E6" s="302" t="s">
        <v>696</v>
      </c>
      <c r="F6" s="303">
        <f ca="1">INDIRECT("'数据-取费表'!u"&amp;$G$1)</f>
        <v>11</v>
      </c>
      <c r="G6" s="1379"/>
      <c r="H6" s="1065" t="s">
        <v>398</v>
      </c>
      <c r="I6" s="3748" t="s">
        <v>694</v>
      </c>
      <c r="J6" s="301">
        <f ca="1">ROUND(M6*M8*M7*(1-M9)/10000,0)</f>
        <v>0</v>
      </c>
      <c r="K6" s="155" t="s">
        <v>2090</v>
      </c>
      <c r="L6" s="302" t="s">
        <v>696</v>
      </c>
      <c r="M6" s="303">
        <f ca="1">INDIRECT("'数据-取费表'!z"&amp;$G$1)</f>
        <v>0</v>
      </c>
    </row>
    <row r="7" spans="1:37" ht="18" customHeight="1">
      <c r="A7" s="1069"/>
      <c r="B7" s="3749"/>
      <c r="C7" s="1071"/>
      <c r="D7" s="307"/>
      <c r="E7" s="1072" t="s">
        <v>697</v>
      </c>
      <c r="F7" s="303">
        <f ca="1">IF(INDIRECT("'数据-取费表'!ah"&amp;$G$1)="",INDIRECT("'数据-取费表'!k"&amp;$G$1),INDIRECT("'数据-取费表'!ah"&amp;$G$1))</f>
        <v>34471.17</v>
      </c>
      <c r="G7" s="1379"/>
      <c r="H7" s="304"/>
      <c r="I7" s="3749"/>
      <c r="J7" s="306"/>
      <c r="K7" s="307"/>
      <c r="L7" s="302" t="s">
        <v>697</v>
      </c>
      <c r="M7" s="303">
        <f ca="1">F7</f>
        <v>34471.17</v>
      </c>
    </row>
    <row r="8" spans="1:37" ht="18" customHeight="1">
      <c r="A8" s="304"/>
      <c r="B8" s="3749"/>
      <c r="C8" s="306"/>
      <c r="D8" s="307"/>
      <c r="E8" s="302" t="s">
        <v>698</v>
      </c>
      <c r="F8" s="303">
        <f ca="1">INDIRECT("'数据-取费表'!ai"&amp;$G$1)</f>
        <v>365</v>
      </c>
      <c r="G8" s="1379"/>
      <c r="H8" s="304"/>
      <c r="I8" s="3749"/>
      <c r="J8" s="306"/>
      <c r="K8" s="307"/>
      <c r="L8" s="302" t="s">
        <v>698</v>
      </c>
      <c r="M8" s="303">
        <f ca="1">INDIRECT("'数据-取费表'!ai"&amp;$G$1)</f>
        <v>365</v>
      </c>
    </row>
    <row r="9" spans="1:37" ht="18" customHeight="1">
      <c r="A9" s="304"/>
      <c r="B9" s="3750"/>
      <c r="C9" s="306"/>
      <c r="D9" s="307"/>
      <c r="E9" s="302" t="s">
        <v>699</v>
      </c>
      <c r="F9" s="312">
        <f ca="1">INDIRECT("'数据-取费表'!w"&amp;$G$1)</f>
        <v>0.1</v>
      </c>
      <c r="G9" s="1379"/>
      <c r="H9" s="304"/>
      <c r="I9" s="3750"/>
      <c r="J9" s="306"/>
      <c r="K9" s="307"/>
      <c r="L9" s="313" t="s">
        <v>699</v>
      </c>
      <c r="M9" s="314">
        <f ca="1">INDIRECT("'数据-取费表'!ab"&amp;$G$1)</f>
        <v>0</v>
      </c>
    </row>
    <row r="10" spans="1:37" ht="18" customHeight="1">
      <c r="A10" s="1065" t="s">
        <v>402</v>
      </c>
      <c r="B10" s="1360" t="s">
        <v>700</v>
      </c>
      <c r="C10" s="316">
        <f ca="1">ROUND(IF(F10="押一",C6/12*F11,IF(F10="押二",C6/12*2*F11,IF(F10="押三",C6/12*3*F11,C11*F11))),0)</f>
        <v>16</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29141</v>
      </c>
      <c r="D13" s="1077" t="s">
        <v>705</v>
      </c>
      <c r="E13" s="1077"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29736</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159</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454</v>
      </c>
      <c r="D20" s="323" t="s">
        <v>729</v>
      </c>
      <c r="E20" s="302" t="s">
        <v>712</v>
      </c>
      <c r="F20" s="322">
        <f>'数据-取费表'!B37</f>
        <v>0.02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148.68</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800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-159</v>
      </c>
      <c r="K25" s="1091" t="s">
        <v>753</v>
      </c>
      <c r="L25" s="1092"/>
      <c r="M25" s="1093"/>
    </row>
    <row r="26" spans="1:37">
      <c r="A26" s="978" t="s">
        <v>397</v>
      </c>
      <c r="B26" s="302" t="s">
        <v>754</v>
      </c>
      <c r="C26" s="21">
        <f ca="1">ROUND((C19+C20)*F26,0)</f>
        <v>3476</v>
      </c>
      <c r="D26" s="323"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29736</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2338</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2098.25</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664.32</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1423.54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c r="J35" s="1394"/>
      <c r="K35" s="2672"/>
      <c r="L35" s="2671"/>
      <c r="M35" s="2671"/>
    </row>
    <row r="36" spans="1:18" ht="18" customHeight="1">
      <c r="A36" s="1098" t="s">
        <v>402</v>
      </c>
      <c r="B36" s="302" t="s">
        <v>738</v>
      </c>
      <c r="C36" s="21">
        <f ca="1">ROUND(C29*F36,2)</f>
        <v>148.68</v>
      </c>
      <c r="D36" s="1339"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29.14</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62.36</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10134</v>
      </c>
      <c r="D39" s="1091" t="s">
        <v>773</v>
      </c>
      <c r="E39" s="1092"/>
      <c r="F39" s="1093"/>
      <c r="G39" s="1379"/>
      <c r="H39" s="2671"/>
      <c r="I39" s="1393"/>
      <c r="J39" s="1394"/>
      <c r="K39" s="2675"/>
      <c r="L39" s="2671"/>
      <c r="M39" s="2671"/>
    </row>
    <row r="40" spans="1:18" ht="18" customHeight="1">
      <c r="A40" s="299" t="s">
        <v>395</v>
      </c>
      <c r="B40" s="300" t="s">
        <v>774</v>
      </c>
      <c r="C40" s="301">
        <f ca="1">ROUND(C39*(1-((1+F42)/(1+F40))^F41)/(F40-F42),0)</f>
        <v>151562</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43968</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-153848</v>
      </c>
      <c r="D46" s="1401" t="str">
        <f>C2</f>
        <v>万元</v>
      </c>
      <c r="E46" s="1395"/>
      <c r="F46" s="1395"/>
      <c r="I46" s="1402" t="s">
        <v>810</v>
      </c>
      <c r="J46" s="1403"/>
      <c r="K46" s="1404"/>
      <c r="L46" s="1405">
        <f ca="1">IF(M47="住宅",0,IF(L48&gt;J51,L60,J60))</f>
        <v>4271</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40</v>
      </c>
      <c r="M47" s="1375" t="str">
        <f>IF(ISNUMBER(FIND("住宅",C1)),"住宅","非住宅")</f>
        <v>非住宅</v>
      </c>
      <c r="O47" s="1413" t="s">
        <v>403</v>
      </c>
      <c r="P47" s="1414" t="s">
        <v>817</v>
      </c>
      <c r="Q47" s="1415">
        <f ca="1">C40+J29</f>
        <v>151562</v>
      </c>
      <c r="R47" s="1415" t="s">
        <v>818</v>
      </c>
    </row>
    <row r="48" spans="1:18" s="1379" customFormat="1" ht="28.5" thickBot="1">
      <c r="A48" s="1106" t="s">
        <v>438</v>
      </c>
      <c r="B48" s="300" t="s">
        <v>692</v>
      </c>
      <c r="C48" s="1354">
        <f ca="1">C49+C53+C55</f>
        <v>0</v>
      </c>
      <c r="D48" s="1108"/>
      <c r="E48" s="1109"/>
      <c r="F48" s="958"/>
      <c r="G48" s="721"/>
      <c r="H48" s="722"/>
      <c r="I48" s="1416" t="s">
        <v>819</v>
      </c>
      <c r="J48" s="1417" t="s">
        <v>3385</v>
      </c>
      <c r="K48" s="1418" t="s">
        <v>820</v>
      </c>
      <c r="L48" s="1419">
        <f ca="1">INDIRECT("'数据-取费表'!f"&amp;$G$1)</f>
        <v>20.64</v>
      </c>
      <c r="O48" s="1413" t="s">
        <v>404</v>
      </c>
      <c r="P48" s="1414" t="s">
        <v>821</v>
      </c>
      <c r="Q48" s="1415">
        <f ca="1">J60</f>
        <v>4271</v>
      </c>
      <c r="R48" s="1415" t="s">
        <v>822</v>
      </c>
    </row>
    <row r="49" spans="1:18" s="1379" customFormat="1" ht="13.5" thickBot="1">
      <c r="A49" s="971" t="s">
        <v>439</v>
      </c>
      <c r="B49" s="1366" t="s">
        <v>779</v>
      </c>
      <c r="C49" s="1110">
        <f ca="1">ROUND(F49*F51*F50*(1-F52)/10000,0)</f>
        <v>0</v>
      </c>
      <c r="D49" s="1051" t="s">
        <v>2092</v>
      </c>
      <c r="E49" s="1367" t="s">
        <v>780</v>
      </c>
      <c r="F49" s="1056"/>
      <c r="G49" s="1420"/>
      <c r="H49" s="722"/>
      <c r="I49" s="1416" t="s">
        <v>823</v>
      </c>
      <c r="J49" s="1421">
        <v>2023</v>
      </c>
      <c r="K49" s="1418" t="s">
        <v>824</v>
      </c>
      <c r="L49" s="1422"/>
      <c r="O49" s="1423" t="s">
        <v>405</v>
      </c>
      <c r="P49" s="1414" t="s">
        <v>825</v>
      </c>
      <c r="Q49" s="1415">
        <f ca="1">C29</f>
        <v>29736</v>
      </c>
      <c r="R49" s="1415" t="s">
        <v>818</v>
      </c>
    </row>
    <row r="50" spans="1:18" s="1379" customFormat="1" ht="13.5"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0.63900000000000001</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152783</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20.64</v>
      </c>
      <c r="K53" s="3751" t="s">
        <v>837</v>
      </c>
      <c r="L53" s="3752"/>
      <c r="O53" s="1413" t="s">
        <v>409</v>
      </c>
      <c r="P53" s="1414" t="s">
        <v>838</v>
      </c>
      <c r="Q53" s="1415">
        <f ca="1">Q47+Q48</f>
        <v>155833</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0.63900000000000001</v>
      </c>
      <c r="K55" s="1440" t="s">
        <v>841</v>
      </c>
      <c r="L55" s="1441"/>
      <c r="O55" s="1406" t="s">
        <v>811</v>
      </c>
      <c r="P55" s="1407" t="s">
        <v>812</v>
      </c>
      <c r="Q55" s="1408" t="s">
        <v>813</v>
      </c>
      <c r="R55" s="1408" t="s">
        <v>814</v>
      </c>
    </row>
    <row r="56" spans="1:18" s="1379" customFormat="1" ht="25.5" thickTop="1" thickBot="1">
      <c r="A56" s="953">
        <v>2</v>
      </c>
      <c r="B56" s="954" t="s">
        <v>704</v>
      </c>
      <c r="C56" s="232">
        <f ca="1">C13</f>
        <v>29141</v>
      </c>
      <c r="D56" s="1442"/>
      <c r="E56" s="1443"/>
      <c r="F56" s="1435"/>
      <c r="I56" s="1444" t="s">
        <v>842</v>
      </c>
      <c r="J56" s="1445" t="s">
        <v>3386</v>
      </c>
      <c r="K56" s="1416" t="s">
        <v>843</v>
      </c>
      <c r="L56" s="1419" t="str">
        <f ca="1">IF(L48&lt;J51,"——",L48-J53)</f>
        <v>——</v>
      </c>
      <c r="O56" s="1413" t="s">
        <v>403</v>
      </c>
      <c r="P56" s="1414" t="s">
        <v>817</v>
      </c>
      <c r="Q56" s="1415">
        <f ca="1">C40+J29</f>
        <v>151562</v>
      </c>
      <c r="R56" s="1415" t="s">
        <v>818</v>
      </c>
    </row>
    <row r="57" spans="1:18" s="1379" customFormat="1" ht="24.75" thickBot="1">
      <c r="A57" s="1446"/>
      <c r="B57" s="946" t="s">
        <v>767</v>
      </c>
      <c r="C57" s="238">
        <f ca="1">C29</f>
        <v>29736</v>
      </c>
      <c r="D57" s="1447"/>
      <c r="E57" s="1448"/>
      <c r="F57" s="1449"/>
      <c r="I57" s="1450" t="s">
        <v>844</v>
      </c>
      <c r="J57" s="1451">
        <f ca="1">IF(OR(M47="住宅",J51&lt;L48,J56="是"),"——",J51-L48)</f>
        <v>38.36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188</v>
      </c>
      <c r="D58" s="956" t="s">
        <v>715</v>
      </c>
      <c r="E58" s="957"/>
      <c r="F58" s="958"/>
      <c r="I58" s="1450" t="s">
        <v>848</v>
      </c>
      <c r="J58" s="1452">
        <f ca="1">IF(J55&lt;0.4,0.4,J55)</f>
        <v>0.63900000000000001</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19001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4271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151562</v>
      </c>
      <c r="R62" s="1415" t="s">
        <v>410</v>
      </c>
    </row>
    <row r="63" spans="1:18" s="1379" customFormat="1" ht="13.5"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148.68</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29.14</v>
      </c>
      <c r="D65" s="960" t="s">
        <v>743</v>
      </c>
      <c r="E65" s="946" t="s">
        <v>744</v>
      </c>
      <c r="F65" s="330">
        <f t="shared" ca="1" si="0"/>
        <v>1E-3</v>
      </c>
      <c r="I65" s="1457" t="s">
        <v>867</v>
      </c>
      <c r="J65" s="1458">
        <v>40</v>
      </c>
      <c r="K65" s="1458">
        <v>30</v>
      </c>
      <c r="L65" s="1458">
        <v>50</v>
      </c>
      <c r="M65" s="1460">
        <v>0.02</v>
      </c>
      <c r="O65" s="1413" t="s">
        <v>403</v>
      </c>
      <c r="P65" s="1414" t="s">
        <v>868</v>
      </c>
      <c r="Q65" s="1415">
        <f ca="1">C40+J29</f>
        <v>151562</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-188</v>
      </c>
      <c r="D67" s="959" t="s">
        <v>753</v>
      </c>
      <c r="E67" s="964"/>
      <c r="F67" s="965"/>
      <c r="O67" s="1423" t="s">
        <v>405</v>
      </c>
      <c r="P67" s="1414" t="s">
        <v>850</v>
      </c>
      <c r="Q67" s="1461">
        <f ca="1">L51</f>
        <v>152783</v>
      </c>
      <c r="R67" s="1415" t="s">
        <v>870</v>
      </c>
    </row>
    <row r="68" spans="1:18" s="1379" customFormat="1" ht="16.5" thickBot="1">
      <c r="A68" s="943" t="s">
        <v>395</v>
      </c>
      <c r="B68" s="944" t="s">
        <v>774</v>
      </c>
      <c r="C68" s="301">
        <f ca="1">ROUND(C67*(1-((1+F70)/(1+F68))^F69)/(F68-F70),0)</f>
        <v>-2286</v>
      </c>
      <c r="D68" s="961" t="s">
        <v>758</v>
      </c>
      <c r="E68" s="946" t="s">
        <v>759</v>
      </c>
      <c r="F68" s="312">
        <f ca="1">F40</f>
        <v>5.5E-2</v>
      </c>
      <c r="O68" s="1423" t="s">
        <v>406</v>
      </c>
      <c r="P68" s="1462" t="s">
        <v>871</v>
      </c>
      <c r="Q68" s="1415">
        <f ca="1">ROUND(Q69-Q70*Q71,0)</f>
        <v>8094</v>
      </c>
      <c r="R68" s="1415" t="s">
        <v>414</v>
      </c>
    </row>
    <row r="69" spans="1:18" s="1379" customFormat="1" ht="13.5" thickBot="1">
      <c r="A69" s="947"/>
      <c r="B69" s="948"/>
      <c r="C69" s="306"/>
      <c r="D69" s="966" t="s">
        <v>762</v>
      </c>
      <c r="E69" s="946" t="s">
        <v>763</v>
      </c>
      <c r="F69" s="333">
        <f ca="1">F41</f>
        <v>20.64</v>
      </c>
      <c r="O69" s="1423" t="s">
        <v>411</v>
      </c>
      <c r="P69" s="1462" t="s">
        <v>872</v>
      </c>
      <c r="Q69" s="1415">
        <f ca="1">C39</f>
        <v>10134</v>
      </c>
      <c r="R69" s="1415" t="s">
        <v>818</v>
      </c>
    </row>
    <row r="70" spans="1:18" s="1379" customFormat="1" ht="13.5" thickBot="1">
      <c r="A70" s="950"/>
      <c r="B70" s="951"/>
      <c r="C70" s="310"/>
      <c r="D70" s="962"/>
      <c r="E70" s="946" t="s">
        <v>766</v>
      </c>
      <c r="F70" s="1050"/>
      <c r="O70" s="1423" t="s">
        <v>412</v>
      </c>
      <c r="P70" s="1462" t="s">
        <v>873</v>
      </c>
      <c r="Q70" s="1415">
        <f ca="1">C13</f>
        <v>29141</v>
      </c>
      <c r="R70" s="1415" t="s">
        <v>818</v>
      </c>
    </row>
    <row r="71" spans="1:18" s="1379" customFormat="1" ht="13.5" thickBot="1">
      <c r="A71" s="967" t="s">
        <v>396</v>
      </c>
      <c r="B71" s="968" t="s">
        <v>776</v>
      </c>
      <c r="C71" s="336">
        <f ca="1">ROUND(C68*10000/F71,0)</f>
        <v>-663</v>
      </c>
      <c r="D71" s="969" t="s">
        <v>777</v>
      </c>
      <c r="E71" s="970" t="s">
        <v>778</v>
      </c>
      <c r="F71" s="339">
        <f ca="1">F43</f>
        <v>34471.17</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2040</v>
      </c>
      <c r="D75" s="1379"/>
      <c r="E75" s="1379"/>
      <c r="F75" s="1379"/>
      <c r="K75" s="1397"/>
      <c r="L75" s="1379"/>
      <c r="O75" s="1413" t="s">
        <v>409</v>
      </c>
      <c r="P75" s="1414" t="s">
        <v>838</v>
      </c>
      <c r="Q75" s="1415">
        <f ca="1">Q65+Q66</f>
        <v>151562</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0.79899999999999993</v>
      </c>
    </row>
    <row r="80" spans="1:18">
      <c r="B80" s="340" t="s">
        <v>800</v>
      </c>
      <c r="C80" s="274">
        <f ca="1">ROUND(C75/C39,3)</f>
        <v>0.20100000000000001</v>
      </c>
    </row>
    <row r="81" spans="2:3">
      <c r="B81" s="270" t="s">
        <v>801</v>
      </c>
      <c r="C81" s="238"/>
    </row>
    <row r="82" spans="2:3">
      <c r="B82" s="273" t="s">
        <v>802</v>
      </c>
      <c r="C82" s="275">
        <f ca="1">1-C83</f>
        <v>0.80800000000000005</v>
      </c>
    </row>
    <row r="83" spans="2:3">
      <c r="B83" s="273" t="s">
        <v>803</v>
      </c>
      <c r="C83" s="274">
        <f ca="1">ROUND(C13/C40,3)</f>
        <v>0.192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31" zoomScale="90" zoomScaleNormal="70" zoomScaleSheetLayoutView="9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21</v>
      </c>
      <c r="D1" s="1357" t="s">
        <v>43</v>
      </c>
      <c r="E1" s="1358" t="s">
        <v>678</v>
      </c>
      <c r="F1" s="1058">
        <f ca="1">J53</f>
        <v>30.64</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298529</v>
      </c>
      <c r="C2" s="1382" t="s">
        <v>805</v>
      </c>
      <c r="D2" s="1382"/>
      <c r="E2" s="1383"/>
      <c r="F2" s="1384"/>
      <c r="G2" s="2677"/>
      <c r="H2" s="2666"/>
      <c r="I2" s="2666"/>
      <c r="J2" s="2666"/>
      <c r="K2" s="2667"/>
      <c r="L2" s="2666"/>
      <c r="M2" s="2666"/>
    </row>
    <row r="3" spans="1:37" ht="18" customHeight="1" thickBot="1">
      <c r="A3" s="1385" t="s">
        <v>806</v>
      </c>
      <c r="B3" s="1386">
        <f ca="1">IF(ISERROR(B2*10000/F43),0,ROUND(B2*10000/F43,0))</f>
        <v>84567</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18577</v>
      </c>
      <c r="D5" s="1359" t="s">
        <v>693</v>
      </c>
      <c r="E5" s="1067"/>
      <c r="F5" s="1068"/>
      <c r="G5" s="1379"/>
      <c r="H5" s="299">
        <v>1</v>
      </c>
      <c r="I5" s="300" t="s">
        <v>692</v>
      </c>
      <c r="J5" s="1066">
        <f ca="1">J6+J10+J12</f>
        <v>0</v>
      </c>
      <c r="K5" s="1359" t="s">
        <v>693</v>
      </c>
      <c r="L5" s="1067"/>
      <c r="M5" s="1068"/>
    </row>
    <row r="6" spans="1:37" ht="18" customHeight="1">
      <c r="A6" s="1065" t="s">
        <v>398</v>
      </c>
      <c r="B6" s="3748" t="s">
        <v>694</v>
      </c>
      <c r="C6" s="1070">
        <f ca="1">ROUND(F6*F8*F7*(1-F9)/10000,0)</f>
        <v>18554</v>
      </c>
      <c r="D6" s="155" t="s">
        <v>2091</v>
      </c>
      <c r="E6" s="302" t="s">
        <v>696</v>
      </c>
      <c r="F6" s="303">
        <f ca="1">INDIRECT("'数据-取费表'!u"&amp;$G$1)</f>
        <v>16</v>
      </c>
      <c r="G6" s="1379"/>
      <c r="H6" s="1065" t="s">
        <v>398</v>
      </c>
      <c r="I6" s="3748" t="s">
        <v>694</v>
      </c>
      <c r="J6" s="301">
        <f ca="1">ROUND(M6*M8*M7*(1-M9)/10000,0)</f>
        <v>0</v>
      </c>
      <c r="K6" s="155" t="s">
        <v>2090</v>
      </c>
      <c r="L6" s="302" t="s">
        <v>696</v>
      </c>
      <c r="M6" s="303">
        <f ca="1">INDIRECT("'数据-取费表'!z"&amp;$G$1)</f>
        <v>0</v>
      </c>
    </row>
    <row r="7" spans="1:37" ht="18" customHeight="1">
      <c r="A7" s="1069"/>
      <c r="B7" s="3749"/>
      <c r="C7" s="1071"/>
      <c r="D7" s="307"/>
      <c r="E7" s="3422" t="s">
        <v>697</v>
      </c>
      <c r="F7" s="303">
        <f ca="1">IF(INDIRECT("'数据-取费表'!ah"&amp;$G$1)="",INDIRECT("'数据-取费表'!k"&amp;$G$1),INDIRECT("'数据-取费表'!ah"&amp;$G$1))</f>
        <v>35300.840000000011</v>
      </c>
      <c r="G7" s="1379"/>
      <c r="H7" s="304"/>
      <c r="I7" s="3749"/>
      <c r="J7" s="306"/>
      <c r="K7" s="307"/>
      <c r="L7" s="302" t="s">
        <v>697</v>
      </c>
      <c r="M7" s="303">
        <f ca="1">F7</f>
        <v>35300.840000000011</v>
      </c>
    </row>
    <row r="8" spans="1:37" ht="18" customHeight="1">
      <c r="A8" s="304"/>
      <c r="B8" s="3749"/>
      <c r="C8" s="306"/>
      <c r="D8" s="307"/>
      <c r="E8" s="302" t="s">
        <v>698</v>
      </c>
      <c r="F8" s="303">
        <f ca="1">INDIRECT("'数据-取费表'!ai"&amp;$G$1)</f>
        <v>365</v>
      </c>
      <c r="G8" s="1379"/>
      <c r="H8" s="304"/>
      <c r="I8" s="3749"/>
      <c r="J8" s="306"/>
      <c r="K8" s="307"/>
      <c r="L8" s="302" t="s">
        <v>698</v>
      </c>
      <c r="M8" s="303">
        <f ca="1">INDIRECT("'数据-取费表'!ai"&amp;$G$1)</f>
        <v>365</v>
      </c>
    </row>
    <row r="9" spans="1:37" ht="18" customHeight="1">
      <c r="A9" s="304"/>
      <c r="B9" s="3750"/>
      <c r="C9" s="306"/>
      <c r="D9" s="307"/>
      <c r="E9" s="302" t="s">
        <v>699</v>
      </c>
      <c r="F9" s="312">
        <f ca="1">INDIRECT("'数据-取费表'!w"&amp;$G$1)</f>
        <v>0.1</v>
      </c>
      <c r="G9" s="1379"/>
      <c r="H9" s="304"/>
      <c r="I9" s="3750"/>
      <c r="J9" s="306"/>
      <c r="K9" s="307"/>
      <c r="L9" s="313" t="s">
        <v>699</v>
      </c>
      <c r="M9" s="314">
        <f ca="1">INDIRECT("'数据-取费表'!ab"&amp;$G$1)</f>
        <v>0</v>
      </c>
    </row>
    <row r="10" spans="1:37" ht="18" customHeight="1">
      <c r="A10" s="1065" t="s">
        <v>402</v>
      </c>
      <c r="B10" s="1360" t="s">
        <v>700</v>
      </c>
      <c r="C10" s="316">
        <f ca="1">ROUND(IF(F10="押一",C6/12*F11,IF(F10="押二",C6/12*2*F11,IF(F10="押三",C6/12*3*F11,C11*F11))),0)</f>
        <v>23</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29843</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03" t="s">
        <v>708</v>
      </c>
      <c r="E14" s="3502"/>
      <c r="F14" s="319"/>
      <c r="G14" s="1379"/>
      <c r="H14" s="978" t="s">
        <v>398</v>
      </c>
      <c r="I14" s="302" t="s">
        <v>709</v>
      </c>
      <c r="J14" s="21">
        <f ca="1">C29</f>
        <v>30452</v>
      </c>
      <c r="K14" s="3421"/>
      <c r="L14" s="803"/>
      <c r="M14" s="804"/>
    </row>
    <row r="15" spans="1:37" s="1392" customFormat="1" ht="18" customHeight="1" thickBot="1">
      <c r="A15" s="978" t="s">
        <v>399</v>
      </c>
      <c r="B15" s="302" t="s">
        <v>710</v>
      </c>
      <c r="C15" s="21">
        <f ca="1">ROUND(C14*F15,0)</f>
        <v>1059</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163</v>
      </c>
      <c r="K16" s="1083" t="s">
        <v>715</v>
      </c>
      <c r="L16" s="3505"/>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465</v>
      </c>
      <c r="D20" s="2422" t="s">
        <v>729</v>
      </c>
      <c r="E20" s="302" t="s">
        <v>712</v>
      </c>
      <c r="F20" s="322">
        <f>'数据-取费表'!B37</f>
        <v>0.02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152.26</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819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-163</v>
      </c>
      <c r="K25" s="1091" t="s">
        <v>753</v>
      </c>
      <c r="L25" s="1092"/>
      <c r="M25" s="1093"/>
    </row>
    <row r="26" spans="1:37">
      <c r="A26" s="978" t="s">
        <v>397</v>
      </c>
      <c r="B26" s="302" t="s">
        <v>754</v>
      </c>
      <c r="C26" s="21">
        <f ca="1">ROUND((C19+C20)*F26,0)</f>
        <v>3559</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30452</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3396</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3120.65</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989.55</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2120.46</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152.26</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29.84</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92.89</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15181</v>
      </c>
      <c r="D39" s="1091" t="s">
        <v>753</v>
      </c>
      <c r="E39" s="1092"/>
      <c r="F39" s="1093"/>
      <c r="G39" s="1379"/>
      <c r="H39" s="2671"/>
      <c r="I39" s="1393"/>
      <c r="J39" s="1394"/>
      <c r="K39" s="2675"/>
      <c r="L39" s="2671"/>
      <c r="M39" s="2671"/>
    </row>
    <row r="40" spans="1:18" ht="18" customHeight="1">
      <c r="A40" s="299" t="s">
        <v>395</v>
      </c>
      <c r="B40" s="300" t="s">
        <v>774</v>
      </c>
      <c r="C40" s="301">
        <f ca="1">ROUND(C39*(1-((1+F42)/(1+F40))^F41)/(F40-F42),0)</f>
        <v>296958</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84122</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-299787</v>
      </c>
      <c r="D46" s="1401" t="str">
        <f>C2</f>
        <v>万元</v>
      </c>
      <c r="E46" s="1395"/>
      <c r="F46" s="1395"/>
      <c r="I46" s="1402" t="s">
        <v>810</v>
      </c>
      <c r="J46" s="1403"/>
      <c r="K46" s="1404"/>
      <c r="L46" s="1405">
        <f ca="1">IF(M47="住宅",0,IF(L48&gt;J51,L60,J60))</f>
        <v>1571</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296958</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30.64</v>
      </c>
      <c r="O48" s="1413" t="s">
        <v>404</v>
      </c>
      <c r="P48" s="1414" t="s">
        <v>821</v>
      </c>
      <c r="Q48" s="1415">
        <f ca="1">J60</f>
        <v>1571</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30452</v>
      </c>
      <c r="R49" s="1415" t="s">
        <v>818</v>
      </c>
    </row>
    <row r="50" spans="1:18" s="1379" customFormat="1" ht="13.5"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0.47299999999999998</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247121</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30.64</v>
      </c>
      <c r="K53" s="3751" t="s">
        <v>837</v>
      </c>
      <c r="L53" s="3752"/>
      <c r="O53" s="1413" t="s">
        <v>409</v>
      </c>
      <c r="P53" s="1414" t="s">
        <v>838</v>
      </c>
      <c r="Q53" s="1415">
        <f ca="1">Q47+Q48</f>
        <v>298529</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0.47299999999999998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29843</v>
      </c>
      <c r="D56" s="1442"/>
      <c r="E56" s="1443"/>
      <c r="F56" s="1435"/>
      <c r="I56" s="1444" t="s">
        <v>842</v>
      </c>
      <c r="J56" s="1445" t="s">
        <v>3386</v>
      </c>
      <c r="K56" s="1416" t="s">
        <v>843</v>
      </c>
      <c r="L56" s="1419" t="str">
        <f ca="1">IF(L48&lt;J51,"——",L48-J53)</f>
        <v>——</v>
      </c>
      <c r="O56" s="1413" t="s">
        <v>403</v>
      </c>
      <c r="P56" s="1414" t="s">
        <v>817</v>
      </c>
      <c r="Q56" s="1415">
        <f ca="1">C40+J29</f>
        <v>296958</v>
      </c>
      <c r="R56" s="1415" t="s">
        <v>818</v>
      </c>
    </row>
    <row r="57" spans="1:18" s="1379" customFormat="1" ht="24.75" thickBot="1">
      <c r="A57" s="1446"/>
      <c r="B57" s="946" t="s">
        <v>767</v>
      </c>
      <c r="C57" s="238">
        <f ca="1">C29</f>
        <v>30452</v>
      </c>
      <c r="D57" s="1447"/>
      <c r="E57" s="1448"/>
      <c r="F57" s="1449"/>
      <c r="I57" s="1450" t="s">
        <v>844</v>
      </c>
      <c r="J57" s="1451">
        <f ca="1">IF(OR(M47="住宅",J51&lt;L48,J56="是"),"——",J51-L48)</f>
        <v>28.36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193</v>
      </c>
      <c r="D58" s="956" t="s">
        <v>715</v>
      </c>
      <c r="E58" s="957"/>
      <c r="F58" s="958"/>
      <c r="I58" s="1450" t="s">
        <v>848</v>
      </c>
      <c r="J58" s="1452">
        <f ca="1">IF(J55&lt;0.4,0.4,J55)</f>
        <v>0.47299999999999998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14404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1571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296958</v>
      </c>
      <c r="R62" s="1415" t="s">
        <v>410</v>
      </c>
    </row>
    <row r="63" spans="1:18" s="1379" customFormat="1" ht="13.5"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152.26</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29.84</v>
      </c>
      <c r="D65" s="960" t="s">
        <v>743</v>
      </c>
      <c r="E65" s="946" t="s">
        <v>712</v>
      </c>
      <c r="F65" s="330">
        <f t="shared" ca="1" si="0"/>
        <v>1E-3</v>
      </c>
      <c r="I65" s="1457" t="s">
        <v>867</v>
      </c>
      <c r="J65" s="1458">
        <v>40</v>
      </c>
      <c r="K65" s="1458">
        <v>30</v>
      </c>
      <c r="L65" s="1458">
        <v>50</v>
      </c>
      <c r="M65" s="1460">
        <v>0.02</v>
      </c>
      <c r="O65" s="1413" t="s">
        <v>403</v>
      </c>
      <c r="P65" s="1414" t="s">
        <v>817</v>
      </c>
      <c r="Q65" s="1415">
        <f ca="1">C40+J29</f>
        <v>296958</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-193</v>
      </c>
      <c r="D67" s="959" t="s">
        <v>753</v>
      </c>
      <c r="E67" s="964"/>
      <c r="F67" s="965"/>
      <c r="O67" s="1423" t="s">
        <v>405</v>
      </c>
      <c r="P67" s="1414" t="s">
        <v>850</v>
      </c>
      <c r="Q67" s="1461">
        <f ca="1">L51</f>
        <v>247121</v>
      </c>
      <c r="R67" s="1415" t="s">
        <v>870</v>
      </c>
    </row>
    <row r="68" spans="1:18" s="1379" customFormat="1" ht="16.5" thickBot="1">
      <c r="A68" s="943" t="s">
        <v>395</v>
      </c>
      <c r="B68" s="944" t="s">
        <v>774</v>
      </c>
      <c r="C68" s="301">
        <f ca="1">ROUND(C67*(1-((1+F70)/(1+F68))^F69)/(F68-F70),0)</f>
        <v>-2829</v>
      </c>
      <c r="D68" s="961" t="s">
        <v>758</v>
      </c>
      <c r="E68" s="946" t="s">
        <v>759</v>
      </c>
      <c r="F68" s="312">
        <f ca="1">F40</f>
        <v>5.5E-2</v>
      </c>
      <c r="O68" s="1423" t="s">
        <v>406</v>
      </c>
      <c r="P68" s="1462" t="s">
        <v>871</v>
      </c>
      <c r="Q68" s="1415">
        <f ca="1">ROUND(Q69-Q70*Q71,0)</f>
        <v>13092</v>
      </c>
      <c r="R68" s="1415" t="s">
        <v>414</v>
      </c>
    </row>
    <row r="69" spans="1:18" s="1379" customFormat="1" ht="13.5" thickBot="1">
      <c r="A69" s="947"/>
      <c r="B69" s="948"/>
      <c r="C69" s="306"/>
      <c r="D69" s="966" t="s">
        <v>762</v>
      </c>
      <c r="E69" s="946" t="s">
        <v>763</v>
      </c>
      <c r="F69" s="333">
        <f ca="1">F41</f>
        <v>30.64</v>
      </c>
      <c r="O69" s="1423" t="s">
        <v>411</v>
      </c>
      <c r="P69" s="1462" t="s">
        <v>872</v>
      </c>
      <c r="Q69" s="1415">
        <f ca="1">C39</f>
        <v>15181</v>
      </c>
      <c r="R69" s="1415" t="s">
        <v>818</v>
      </c>
    </row>
    <row r="70" spans="1:18" s="1379" customFormat="1" ht="13.5" thickBot="1">
      <c r="A70" s="950"/>
      <c r="B70" s="951"/>
      <c r="C70" s="310"/>
      <c r="D70" s="962"/>
      <c r="E70" s="946" t="s">
        <v>766</v>
      </c>
      <c r="F70" s="1050"/>
      <c r="O70" s="1423" t="s">
        <v>412</v>
      </c>
      <c r="P70" s="1462" t="s">
        <v>873</v>
      </c>
      <c r="Q70" s="1415">
        <f ca="1">C13</f>
        <v>29843</v>
      </c>
      <c r="R70" s="1415" t="s">
        <v>818</v>
      </c>
    </row>
    <row r="71" spans="1:18" s="1379" customFormat="1" ht="13.5" thickBot="1">
      <c r="A71" s="967" t="s">
        <v>396</v>
      </c>
      <c r="B71" s="968" t="s">
        <v>776</v>
      </c>
      <c r="C71" s="336">
        <f ca="1">ROUND(C68*10000/F71,0)</f>
        <v>-801</v>
      </c>
      <c r="D71" s="969" t="s">
        <v>777</v>
      </c>
      <c r="E71" s="970" t="s">
        <v>778</v>
      </c>
      <c r="F71" s="339">
        <f ca="1">F43</f>
        <v>35300.840000000011</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2089</v>
      </c>
      <c r="D75" s="1379"/>
      <c r="E75" s="1379"/>
      <c r="F75" s="1379"/>
      <c r="K75" s="1397"/>
      <c r="L75" s="1379"/>
      <c r="O75" s="1413" t="s">
        <v>409</v>
      </c>
      <c r="P75" s="1414" t="s">
        <v>838</v>
      </c>
      <c r="Q75" s="1415">
        <f ca="1">Q65+Q66</f>
        <v>296958</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0.86199999999999999</v>
      </c>
    </row>
    <row r="80" spans="1:18">
      <c r="B80" s="340" t="s">
        <v>800</v>
      </c>
      <c r="C80" s="274">
        <f ca="1">ROUND(C75/C39,3)</f>
        <v>0.13800000000000001</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72" t="str">
        <f>IF(项目基本情况!B9="房地产市场价值","估价结果一览表","结果表-2")</f>
        <v>估价结果一览表</v>
      </c>
      <c r="B1" s="3572"/>
      <c r="C1" s="3572"/>
      <c r="D1" s="3572"/>
      <c r="E1" s="3572"/>
      <c r="F1" s="3572"/>
      <c r="G1" s="3572"/>
      <c r="H1" s="3572"/>
      <c r="I1" s="3572"/>
    </row>
    <row r="2" spans="1:9" ht="30" customHeight="1" thickTop="1">
      <c r="A2" s="3573" t="s">
        <v>928</v>
      </c>
      <c r="B2" s="3573" t="s">
        <v>929</v>
      </c>
      <c r="C2" s="3573" t="s">
        <v>930</v>
      </c>
      <c r="D2" s="3573" t="str">
        <f>结果表!D116</f>
        <v>出让国有建设用地使用权价值</v>
      </c>
      <c r="E2" s="3573"/>
      <c r="F2" s="3573" t="str">
        <f>结果表!F116</f>
        <v>在建建筑物价值</v>
      </c>
      <c r="G2" s="3573"/>
      <c r="H2" s="3573" t="str">
        <f>IF(项目基本情况!B9="房地产市场价值","房地产市场价值","房地产价值")</f>
        <v>房地产市场价值</v>
      </c>
      <c r="I2" s="3573"/>
    </row>
    <row r="3" spans="1:9" ht="15">
      <c r="A3" s="3574"/>
      <c r="B3" s="3574"/>
      <c r="C3" s="3574"/>
      <c r="D3" s="850" t="s">
        <v>925</v>
      </c>
      <c r="E3" s="850" t="s">
        <v>931</v>
      </c>
      <c r="F3" s="850" t="s">
        <v>925</v>
      </c>
      <c r="G3" s="850" t="s">
        <v>926</v>
      </c>
      <c r="H3" s="850" t="s">
        <v>925</v>
      </c>
      <c r="I3" s="850" t="s">
        <v>926</v>
      </c>
    </row>
    <row r="4" spans="1:9" ht="30">
      <c r="A4" s="1500" t="str">
        <f>项目基本情况!S2</f>
        <v>北京市西城区西直门外大街南路甲28号房地产</v>
      </c>
      <c r="B4" s="850">
        <f>项目基本情况!C17</f>
        <v>84373.10000000002</v>
      </c>
      <c r="C4" s="850">
        <f>项目基本情况!C18</f>
        <v>10591.91</v>
      </c>
      <c r="D4" s="850">
        <f ca="1">结果表!D118</f>
        <v>439783</v>
      </c>
      <c r="E4" s="850">
        <f ca="1">结果表!E118</f>
        <v>52124</v>
      </c>
      <c r="F4" s="850">
        <f ca="1">结果表!F118</f>
        <v>110634</v>
      </c>
      <c r="G4" s="850">
        <f ca="1">结果表!G118</f>
        <v>13112</v>
      </c>
      <c r="H4" s="850">
        <f ca="1">结果表!H118</f>
        <v>550417</v>
      </c>
      <c r="I4" s="850">
        <f ca="1">结果表!I118</f>
        <v>65236</v>
      </c>
    </row>
    <row r="5" spans="1:9" ht="30" customHeight="1">
      <c r="A5" s="3574" t="s">
        <v>927</v>
      </c>
      <c r="B5" s="3574"/>
      <c r="C5" s="3574"/>
      <c r="D5" s="3574" t="str">
        <f ca="1">结果表!D119</f>
        <v>肆拾叁亿玖仟柒佰捌拾叁万元整</v>
      </c>
      <c r="E5" s="3574"/>
      <c r="F5" s="3574" t="str">
        <f ca="1">结果表!F119</f>
        <v>壹拾壹亿零陆佰叁拾肆万元整</v>
      </c>
      <c r="G5" s="3574"/>
      <c r="H5" s="3574" t="str">
        <f ca="1">结果表!H119</f>
        <v>伍拾伍亿零肆佰壹拾柒万元整</v>
      </c>
      <c r="I5" s="3574"/>
    </row>
    <row r="6" spans="1:9" ht="15.75">
      <c r="A6" s="3575" t="str">
        <f>结果表!A120</f>
        <v/>
      </c>
      <c r="B6" s="3575"/>
      <c r="C6" s="3575"/>
      <c r="D6" s="3575">
        <f>结果表!D120</f>
        <v>0</v>
      </c>
      <c r="E6" s="3575"/>
      <c r="F6" s="3575"/>
      <c r="G6" s="3575"/>
      <c r="H6" s="3575"/>
      <c r="I6" s="3575"/>
    </row>
    <row r="7" spans="1:9" ht="15">
      <c r="A7" s="3574" t="s">
        <v>927</v>
      </c>
      <c r="B7" s="3574"/>
      <c r="C7" s="3574"/>
      <c r="D7" s="3576" t="str">
        <f>结果表!D121</f>
        <v>零元整</v>
      </c>
      <c r="E7" s="3577"/>
      <c r="F7" s="3577"/>
      <c r="G7" s="3577"/>
      <c r="H7" s="3577"/>
      <c r="I7" s="3578"/>
    </row>
    <row r="8" spans="1:9" ht="15.75">
      <c r="A8" s="3575" t="str">
        <f>结果表!A122</f>
        <v/>
      </c>
      <c r="B8" s="3575"/>
      <c r="C8" s="3575"/>
      <c r="D8" s="3575">
        <f ca="1">结果表!D122</f>
        <v>550417</v>
      </c>
      <c r="E8" s="3575"/>
      <c r="F8" s="3575"/>
      <c r="G8" s="3575"/>
      <c r="H8" s="3575"/>
      <c r="I8" s="3575"/>
    </row>
    <row r="9" spans="1:9" ht="15">
      <c r="A9" s="3574" t="s">
        <v>927</v>
      </c>
      <c r="B9" s="3574"/>
      <c r="C9" s="3574"/>
      <c r="D9" s="3574" t="str">
        <f ca="1">结果表!D123</f>
        <v>伍拾伍亿零肆佰壹拾柒万元整</v>
      </c>
      <c r="E9" s="3574"/>
      <c r="F9" s="3574"/>
      <c r="G9" s="3574"/>
      <c r="H9" s="3574"/>
      <c r="I9" s="3574"/>
    </row>
    <row r="10" spans="1:9" ht="15.75">
      <c r="A10" s="3575" t="str">
        <f>结果表!A124</f>
        <v/>
      </c>
      <c r="B10" s="3575"/>
      <c r="C10" s="3575"/>
      <c r="D10" s="3575" t="str">
        <f>结果表!D124</f>
        <v>——</v>
      </c>
      <c r="E10" s="3575"/>
      <c r="F10" s="3575"/>
      <c r="G10" s="3575"/>
      <c r="H10" s="3575"/>
      <c r="I10" s="3575"/>
    </row>
    <row r="11" spans="1:9" ht="15">
      <c r="A11" s="3574" t="s">
        <v>927</v>
      </c>
      <c r="B11" s="3574"/>
      <c r="C11" s="3574"/>
      <c r="D11" s="3574" t="e">
        <f>结果表!D125</f>
        <v>#VALUE!</v>
      </c>
      <c r="E11" s="3574"/>
      <c r="F11" s="3574"/>
      <c r="G11" s="3574"/>
      <c r="H11" s="3574"/>
      <c r="I11" s="3574"/>
    </row>
    <row r="12" spans="1:9" ht="15.75">
      <c r="A12" s="3575" t="str">
        <f>结果表!A126</f>
        <v/>
      </c>
      <c r="B12" s="3575"/>
      <c r="C12" s="3575"/>
      <c r="D12" s="3575">
        <f ca="1">结果表!D126</f>
        <v>533824</v>
      </c>
      <c r="E12" s="3575"/>
      <c r="F12" s="3575"/>
      <c r="G12" s="3575"/>
      <c r="H12" s="3575"/>
      <c r="I12" s="3575"/>
    </row>
    <row r="13" spans="1:9" ht="15.75" thickBot="1">
      <c r="A13" s="3579" t="s">
        <v>927</v>
      </c>
      <c r="B13" s="3579"/>
      <c r="C13" s="3579"/>
      <c r="D13" s="3579" t="str">
        <f ca="1">结果表!D127</f>
        <v>伍拾叁亿叁仟捌佰贰拾肆万元整</v>
      </c>
      <c r="E13" s="3579"/>
      <c r="F13" s="3579"/>
      <c r="G13" s="3579"/>
      <c r="H13" s="3579"/>
      <c r="I13" s="3579"/>
    </row>
    <row r="14" spans="1:9" ht="15" thickTop="1">
      <c r="A14" s="3580" t="s">
        <v>932</v>
      </c>
      <c r="B14" s="3580"/>
      <c r="C14" s="3580"/>
      <c r="D14" s="3580"/>
      <c r="E14" s="3580"/>
      <c r="F14" s="3580"/>
      <c r="G14" s="3580"/>
      <c r="H14" s="3580"/>
      <c r="I14" s="3580"/>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7"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4274</v>
      </c>
      <c r="D1" s="1357" t="s">
        <v>43</v>
      </c>
      <c r="E1" s="1358" t="s">
        <v>678</v>
      </c>
      <c r="F1" s="1058">
        <f ca="1">J53</f>
        <v>30.64</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7110</v>
      </c>
      <c r="C2" s="1382" t="s">
        <v>805</v>
      </c>
      <c r="D2" s="1382"/>
      <c r="E2" s="1383"/>
      <c r="F2" s="1384"/>
      <c r="G2" s="2677"/>
      <c r="H2" s="2666"/>
      <c r="I2" s="2666"/>
      <c r="J2" s="2666"/>
      <c r="K2" s="2667"/>
      <c r="L2" s="2666"/>
      <c r="M2" s="2666"/>
    </row>
    <row r="3" spans="1:37" ht="18" customHeight="1" thickBot="1">
      <c r="A3" s="1385" t="s">
        <v>806</v>
      </c>
      <c r="B3" s="1386">
        <f ca="1">IF(ISERROR(B2*10000/F43),0,ROUND(B2*10000/F43,0))</f>
        <v>4869</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465</v>
      </c>
      <c r="D5" s="1359" t="s">
        <v>693</v>
      </c>
      <c r="E5" s="1067"/>
      <c r="F5" s="1068"/>
      <c r="G5" s="1379"/>
      <c r="H5" s="299">
        <v>1</v>
      </c>
      <c r="I5" s="300" t="s">
        <v>692</v>
      </c>
      <c r="J5" s="1066">
        <f ca="1">J6+J10+J12</f>
        <v>0</v>
      </c>
      <c r="K5" s="1359" t="s">
        <v>693</v>
      </c>
      <c r="L5" s="1067"/>
      <c r="M5" s="1068"/>
    </row>
    <row r="6" spans="1:37" ht="18" customHeight="1">
      <c r="A6" s="1065" t="s">
        <v>398</v>
      </c>
      <c r="B6" s="3748" t="s">
        <v>694</v>
      </c>
      <c r="C6" s="1070">
        <f ca="1">ROUND(F6*F8*F7*(1-F9)/10000,0)</f>
        <v>465</v>
      </c>
      <c r="D6" s="155" t="s">
        <v>2091</v>
      </c>
      <c r="E6" s="302" t="s">
        <v>696</v>
      </c>
      <c r="F6" s="303">
        <f ca="1">INDIRECT("'数据-取费表'!u"&amp;$G$1)</f>
        <v>1500</v>
      </c>
      <c r="G6" s="1379"/>
      <c r="H6" s="1065" t="s">
        <v>398</v>
      </c>
      <c r="I6" s="3748" t="s">
        <v>694</v>
      </c>
      <c r="J6" s="301">
        <f ca="1">ROUND(M6*M8*M7*(1-M9)/10000,0)</f>
        <v>0</v>
      </c>
      <c r="K6" s="155" t="s">
        <v>2090</v>
      </c>
      <c r="L6" s="302" t="s">
        <v>696</v>
      </c>
      <c r="M6" s="303">
        <f ca="1">INDIRECT("'数据-取费表'!z"&amp;$G$1)</f>
        <v>0</v>
      </c>
    </row>
    <row r="7" spans="1:37" ht="18" customHeight="1">
      <c r="A7" s="1069"/>
      <c r="B7" s="3749"/>
      <c r="C7" s="1071"/>
      <c r="D7" s="307"/>
      <c r="E7" s="3422" t="s">
        <v>697</v>
      </c>
      <c r="F7" s="303">
        <f ca="1">IF(INDIRECT("'数据-取费表'!ah"&amp;$G$1)="",INDIRECT("'数据-取费表'!k"&amp;$G$1),INDIRECT("'数据-取费表'!ah"&amp;$G$1))</f>
        <v>287</v>
      </c>
      <c r="G7" s="1379"/>
      <c r="H7" s="304"/>
      <c r="I7" s="3749"/>
      <c r="J7" s="306"/>
      <c r="K7" s="307"/>
      <c r="L7" s="302" t="s">
        <v>697</v>
      </c>
      <c r="M7" s="303">
        <f ca="1">F7</f>
        <v>287</v>
      </c>
    </row>
    <row r="8" spans="1:37" ht="18" customHeight="1">
      <c r="A8" s="304"/>
      <c r="B8" s="3749"/>
      <c r="C8" s="306"/>
      <c r="D8" s="307"/>
      <c r="E8" s="302" t="s">
        <v>698</v>
      </c>
      <c r="F8" s="303">
        <f ca="1">INDIRECT("'数据-取费表'!ai"&amp;$G$1)</f>
        <v>12</v>
      </c>
      <c r="G8" s="1379"/>
      <c r="H8" s="304"/>
      <c r="I8" s="3749"/>
      <c r="J8" s="306"/>
      <c r="K8" s="307"/>
      <c r="L8" s="302" t="s">
        <v>698</v>
      </c>
      <c r="M8" s="303">
        <f ca="1">INDIRECT("'数据-取费表'!ai"&amp;$G$1)</f>
        <v>12</v>
      </c>
    </row>
    <row r="9" spans="1:37" ht="18" customHeight="1">
      <c r="A9" s="304"/>
      <c r="B9" s="3750"/>
      <c r="C9" s="306"/>
      <c r="D9" s="307"/>
      <c r="E9" s="302" t="s">
        <v>699</v>
      </c>
      <c r="F9" s="312">
        <f ca="1">INDIRECT("'数据-取费表'!w"&amp;$G$1)</f>
        <v>0.1</v>
      </c>
      <c r="G9" s="1379"/>
      <c r="H9" s="304"/>
      <c r="I9" s="3750"/>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11277</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03" t="s">
        <v>708</v>
      </c>
      <c r="E14" s="3502"/>
      <c r="F14" s="319"/>
      <c r="G14" s="1379"/>
      <c r="H14" s="978" t="s">
        <v>398</v>
      </c>
      <c r="I14" s="302" t="s">
        <v>709</v>
      </c>
      <c r="J14" s="21">
        <f ca="1">C29</f>
        <v>11507</v>
      </c>
      <c r="K14" s="3421"/>
      <c r="L14" s="803"/>
      <c r="M14" s="804"/>
    </row>
    <row r="15" spans="1:37" s="1392" customFormat="1" ht="18" customHeight="1" thickBot="1">
      <c r="A15" s="978" t="s">
        <v>399</v>
      </c>
      <c r="B15" s="302" t="s">
        <v>710</v>
      </c>
      <c r="C15" s="21">
        <f ca="1">ROUND(C14*F15,0)</f>
        <v>438</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62</v>
      </c>
      <c r="K16" s="1083" t="s">
        <v>715</v>
      </c>
      <c r="L16" s="3505"/>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192</v>
      </c>
      <c r="D20" s="2422" t="s">
        <v>729</v>
      </c>
      <c r="E20" s="302" t="s">
        <v>712</v>
      </c>
      <c r="F20" s="322">
        <f>'数据-取费表'!B37</f>
        <v>0.02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57.54</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-62</v>
      </c>
      <c r="K25" s="1091" t="s">
        <v>753</v>
      </c>
      <c r="L25" s="1092"/>
      <c r="M25" s="1093"/>
    </row>
    <row r="26" spans="1:37">
      <c r="A26" s="978" t="s">
        <v>397</v>
      </c>
      <c r="B26" s="302" t="s">
        <v>754</v>
      </c>
      <c r="C26" s="21">
        <f ca="1">ROUND((C19+C20)*F26,0)</f>
        <v>491</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1E-3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11507</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153</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82.34</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24.8</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53.14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57.54</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11.28</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2.33</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312</v>
      </c>
      <c r="D39" s="1091" t="s">
        <v>753</v>
      </c>
      <c r="E39" s="1092"/>
      <c r="F39" s="1093"/>
      <c r="G39" s="1379"/>
      <c r="H39" s="2671"/>
      <c r="I39" s="1393"/>
      <c r="J39" s="1394"/>
      <c r="K39" s="2675"/>
      <c r="L39" s="2671"/>
      <c r="M39" s="2671"/>
    </row>
    <row r="40" spans="1:18" ht="18" customHeight="1">
      <c r="A40" s="299" t="s">
        <v>395</v>
      </c>
      <c r="B40" s="300" t="s">
        <v>774</v>
      </c>
      <c r="C40" s="301">
        <f ca="1">ROUND(C39*(1-((1+F42)/(1+F40))^F41)/(F40-F42),0)</f>
        <v>6516</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4463</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-7649</v>
      </c>
      <c r="D46" s="1401" t="str">
        <f>C2</f>
        <v>万元</v>
      </c>
      <c r="E46" s="1395"/>
      <c r="F46" s="1395"/>
      <c r="I46" s="1402" t="s">
        <v>810</v>
      </c>
      <c r="J46" s="1403"/>
      <c r="K46" s="1404"/>
      <c r="L46" s="1405">
        <f ca="1">IF(M47="住宅",0,IF(L48&gt;J51,L60,J60))</f>
        <v>594</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6516</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30.64</v>
      </c>
      <c r="O48" s="1413" t="s">
        <v>404</v>
      </c>
      <c r="P48" s="1414" t="s">
        <v>821</v>
      </c>
      <c r="Q48" s="1415">
        <f ca="1">J60</f>
        <v>594</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11507</v>
      </c>
      <c r="R49" s="1415" t="s">
        <v>818</v>
      </c>
    </row>
    <row r="50" spans="1:18" s="1379" customFormat="1" ht="13.5" thickBot="1">
      <c r="A50" s="972"/>
      <c r="B50" s="975"/>
      <c r="C50" s="1114"/>
      <c r="D50" s="949"/>
      <c r="E50" s="1052" t="s">
        <v>697</v>
      </c>
      <c r="F50" s="1053">
        <f ca="1">F7</f>
        <v>287</v>
      </c>
      <c r="H50" s="722"/>
      <c r="I50" s="1416" t="s">
        <v>826</v>
      </c>
      <c r="J50" s="1424">
        <f>SUMPRODUCT((I63:I65=J47)*(J62:L62=J48)*(J63:L65))</f>
        <v>60</v>
      </c>
      <c r="K50" s="1418" t="s">
        <v>827</v>
      </c>
      <c r="L50" s="1422"/>
      <c r="M50" s="1425"/>
      <c r="O50" s="1423" t="s">
        <v>406</v>
      </c>
      <c r="P50" s="1414" t="s">
        <v>828</v>
      </c>
      <c r="Q50" s="1426">
        <f ca="1">J58</f>
        <v>0.47299999999999998</v>
      </c>
      <c r="R50" s="1415"/>
    </row>
    <row r="51" spans="1:18" s="1379" customFormat="1" ht="13.5" thickBot="1">
      <c r="A51" s="973"/>
      <c r="B51" s="975"/>
      <c r="C51" s="976"/>
      <c r="D51" s="949"/>
      <c r="E51" s="977" t="s">
        <v>698</v>
      </c>
      <c r="F51" s="303">
        <f ca="1">F8</f>
        <v>12</v>
      </c>
      <c r="I51" s="1427" t="s">
        <v>829</v>
      </c>
      <c r="J51" s="1428">
        <f>IF(J49="",J50,J49+J50-YEAR('数据-取费表'!B2))</f>
        <v>59</v>
      </c>
      <c r="K51" s="1429" t="s">
        <v>830</v>
      </c>
      <c r="L51" s="1430">
        <f ca="1">ROUND(-PV(INDIRECT("'数据-取费表'!h"&amp;$G$1),J51,(C39-C13*C76),0),0)</f>
        <v>-9818</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30.64</v>
      </c>
      <c r="K53" s="3751" t="s">
        <v>837</v>
      </c>
      <c r="L53" s="3752"/>
      <c r="O53" s="1413" t="s">
        <v>409</v>
      </c>
      <c r="P53" s="1414" t="s">
        <v>838</v>
      </c>
      <c r="Q53" s="1415">
        <f ca="1">Q47+Q48</f>
        <v>7110</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0.47299999999999998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11277</v>
      </c>
      <c r="D56" s="1442"/>
      <c r="E56" s="1443"/>
      <c r="F56" s="1435"/>
      <c r="I56" s="1444" t="s">
        <v>842</v>
      </c>
      <c r="J56" s="1445" t="s">
        <v>3386</v>
      </c>
      <c r="K56" s="1416" t="s">
        <v>843</v>
      </c>
      <c r="L56" s="1419" t="str">
        <f ca="1">IF(L48&lt;J51,"——",L48-J53)</f>
        <v>——</v>
      </c>
      <c r="O56" s="1413" t="s">
        <v>403</v>
      </c>
      <c r="P56" s="1414" t="s">
        <v>817</v>
      </c>
      <c r="Q56" s="1415">
        <f ca="1">C40+J29</f>
        <v>6516</v>
      </c>
      <c r="R56" s="1415" t="s">
        <v>818</v>
      </c>
    </row>
    <row r="57" spans="1:18" s="1379" customFormat="1" ht="24.75" thickBot="1">
      <c r="A57" s="1446"/>
      <c r="B57" s="946" t="s">
        <v>767</v>
      </c>
      <c r="C57" s="238">
        <f ca="1">C29</f>
        <v>11507</v>
      </c>
      <c r="D57" s="1447"/>
      <c r="E57" s="1448"/>
      <c r="F57" s="1449"/>
      <c r="I57" s="1450" t="s">
        <v>844</v>
      </c>
      <c r="J57" s="1451">
        <f ca="1">IF(OR(M47="住宅",J51&lt;L48,J56="是"),"——",J51-L48)</f>
        <v>28.36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73</v>
      </c>
      <c r="D58" s="956" t="s">
        <v>715</v>
      </c>
      <c r="E58" s="957"/>
      <c r="F58" s="958"/>
      <c r="I58" s="1450" t="s">
        <v>848</v>
      </c>
      <c r="J58" s="1452">
        <f ca="1">IF(J55&lt;0.4,0.4,J55)</f>
        <v>0.47299999999999998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5443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594</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6516</v>
      </c>
      <c r="R62" s="1415" t="s">
        <v>410</v>
      </c>
    </row>
    <row r="63" spans="1:18" s="1379" customFormat="1" ht="13.5"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57.54</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11.28</v>
      </c>
      <c r="D65" s="960" t="s">
        <v>743</v>
      </c>
      <c r="E65" s="946" t="s">
        <v>712</v>
      </c>
      <c r="F65" s="330">
        <f t="shared" ca="1" si="0"/>
        <v>1E-3</v>
      </c>
      <c r="I65" s="1457" t="s">
        <v>867</v>
      </c>
      <c r="J65" s="1458">
        <v>40</v>
      </c>
      <c r="K65" s="1458">
        <v>30</v>
      </c>
      <c r="L65" s="1458">
        <v>50</v>
      </c>
      <c r="M65" s="1460">
        <v>0.02</v>
      </c>
      <c r="O65" s="1413" t="s">
        <v>403</v>
      </c>
      <c r="P65" s="1414" t="s">
        <v>817</v>
      </c>
      <c r="Q65" s="1415">
        <f ca="1">C40+J29</f>
        <v>6516</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-73</v>
      </c>
      <c r="D67" s="959" t="s">
        <v>753</v>
      </c>
      <c r="E67" s="964"/>
      <c r="F67" s="965"/>
      <c r="O67" s="1423" t="s">
        <v>405</v>
      </c>
      <c r="P67" s="1414" t="s">
        <v>850</v>
      </c>
      <c r="Q67" s="1461">
        <f ca="1">L51</f>
        <v>-9818</v>
      </c>
      <c r="R67" s="1415" t="s">
        <v>870</v>
      </c>
    </row>
    <row r="68" spans="1:18" s="1379" customFormat="1" ht="16.5" thickBot="1">
      <c r="A68" s="943" t="s">
        <v>395</v>
      </c>
      <c r="B68" s="944" t="s">
        <v>774</v>
      </c>
      <c r="C68" s="301">
        <f ca="1">ROUND(C67*(1-((1+F70)/(1+F68))^F69)/(F68-F70),0)</f>
        <v>-1133</v>
      </c>
      <c r="D68" s="961" t="s">
        <v>758</v>
      </c>
      <c r="E68" s="946" t="s">
        <v>759</v>
      </c>
      <c r="F68" s="312">
        <f ca="1">F40</f>
        <v>0.05</v>
      </c>
      <c r="O68" s="1423" t="s">
        <v>406</v>
      </c>
      <c r="P68" s="1462" t="s">
        <v>871</v>
      </c>
      <c r="Q68" s="1415">
        <f ca="1">ROUND(Q69-Q70*Q71,0)</f>
        <v>-477</v>
      </c>
      <c r="R68" s="1415" t="s">
        <v>414</v>
      </c>
    </row>
    <row r="69" spans="1:18" s="1379" customFormat="1" ht="13.5" thickBot="1">
      <c r="A69" s="947"/>
      <c r="B69" s="948"/>
      <c r="C69" s="306"/>
      <c r="D69" s="966" t="s">
        <v>762</v>
      </c>
      <c r="E69" s="946" t="s">
        <v>763</v>
      </c>
      <c r="F69" s="333">
        <f ca="1">F41</f>
        <v>30.64</v>
      </c>
      <c r="O69" s="1423" t="s">
        <v>411</v>
      </c>
      <c r="P69" s="1462" t="s">
        <v>872</v>
      </c>
      <c r="Q69" s="1415">
        <f ca="1">C39</f>
        <v>312</v>
      </c>
      <c r="R69" s="1415" t="s">
        <v>818</v>
      </c>
    </row>
    <row r="70" spans="1:18" s="1379" customFormat="1" ht="13.5" thickBot="1">
      <c r="A70" s="950"/>
      <c r="B70" s="951"/>
      <c r="C70" s="310"/>
      <c r="D70" s="962"/>
      <c r="E70" s="946" t="s">
        <v>766</v>
      </c>
      <c r="F70" s="1050"/>
      <c r="O70" s="1423" t="s">
        <v>412</v>
      </c>
      <c r="P70" s="1462" t="s">
        <v>873</v>
      </c>
      <c r="Q70" s="1415">
        <f ca="1">C13</f>
        <v>11277</v>
      </c>
      <c r="R70" s="1415" t="s">
        <v>818</v>
      </c>
    </row>
    <row r="71" spans="1:18" s="1379" customFormat="1" ht="13.5" thickBot="1">
      <c r="A71" s="967" t="s">
        <v>396</v>
      </c>
      <c r="B71" s="968" t="s">
        <v>776</v>
      </c>
      <c r="C71" s="336">
        <f ca="1">ROUND(C68*10000/F71,0)</f>
        <v>-776</v>
      </c>
      <c r="D71" s="969" t="s">
        <v>777</v>
      </c>
      <c r="E71" s="970" t="s">
        <v>778</v>
      </c>
      <c r="F71" s="339">
        <f ca="1">F43</f>
        <v>14601.09</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789</v>
      </c>
      <c r="D75" s="1379"/>
      <c r="E75" s="1379"/>
      <c r="F75" s="1379"/>
      <c r="K75" s="1397"/>
      <c r="L75" s="1379"/>
      <c r="O75" s="1413" t="s">
        <v>409</v>
      </c>
      <c r="P75" s="1414" t="s">
        <v>838</v>
      </c>
      <c r="Q75" s="1415">
        <f ca="1">Q65+Q66</f>
        <v>6516</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-1.5289999999999999</v>
      </c>
    </row>
    <row r="80" spans="1:18">
      <c r="B80" s="340" t="s">
        <v>800</v>
      </c>
      <c r="C80" s="274">
        <f ca="1">ROUND(C75/C39,3)</f>
        <v>2.5289999999999999</v>
      </c>
    </row>
    <row r="81" spans="2:3">
      <c r="B81" s="270" t="s">
        <v>801</v>
      </c>
      <c r="C81" s="238"/>
    </row>
    <row r="82" spans="2:3">
      <c r="B82" s="273" t="s">
        <v>802</v>
      </c>
      <c r="C82" s="275">
        <f ca="1">1-C83</f>
        <v>-0.73100000000000009</v>
      </c>
    </row>
    <row r="83" spans="2:3">
      <c r="B83" s="273" t="s">
        <v>803</v>
      </c>
      <c r="C83" s="274">
        <f ca="1">ROUND(C13/C40,3)</f>
        <v>1.7310000000000001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90" zoomScaleNormal="80" zoomScaleSheetLayoutView="90" workbookViewId="0">
      <selection activeCell="U29" sqref="U29"/>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90104</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38647</v>
      </c>
      <c r="U2" s="1208">
        <f>'数据-基础表'!I13+'数据-基础表'!I19</f>
        <v>5161.3899999999994</v>
      </c>
      <c r="V2" s="3332">
        <f>ROUND(T2*U2/10000,0)</f>
        <v>19947</v>
      </c>
      <c r="W2" s="1211"/>
      <c r="X2" s="1211"/>
      <c r="Y2" s="1211"/>
      <c r="Z2" s="1211"/>
      <c r="AA2" s="1211"/>
      <c r="AB2" s="1211"/>
      <c r="AC2" s="1212"/>
      <c r="AD2" s="1213"/>
      <c r="AE2" s="1213"/>
      <c r="AF2" s="1213"/>
      <c r="AG2" s="1213"/>
      <c r="AH2" s="1213"/>
      <c r="AI2" s="1213"/>
      <c r="AJ2" s="1214"/>
    </row>
    <row r="3" spans="1:36" ht="15.75">
      <c r="A3" s="203" t="s">
        <v>1924</v>
      </c>
      <c r="B3" s="204">
        <f>ROUND(B2*10000/D1,0)</f>
        <v>131013</v>
      </c>
      <c r="C3" s="1994" t="s">
        <v>1925</v>
      </c>
      <c r="D3" s="1995" t="s">
        <v>1926</v>
      </c>
      <c r="E3" s="3390" t="s">
        <v>2421</v>
      </c>
      <c r="F3" s="1999" t="s">
        <v>3370</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30682</v>
      </c>
      <c r="U3" s="1208">
        <f>'数据-基础表'!I14+'数据-基础表'!I20</f>
        <v>4919.5599999999995</v>
      </c>
      <c r="V3" s="3332">
        <f t="shared" ref="V3:V16" si="1">ROUND(T3*U3/10000,0)</f>
        <v>15094</v>
      </c>
      <c r="W3" s="1211"/>
      <c r="X3" s="1211"/>
      <c r="Y3" s="1211"/>
      <c r="Z3" s="1211"/>
      <c r="AA3" s="1211"/>
      <c r="AB3" s="1211"/>
      <c r="AC3" s="1212"/>
      <c r="AD3" s="1213"/>
      <c r="AE3" s="1213"/>
      <c r="AF3" s="1213"/>
      <c r="AG3" s="1213"/>
      <c r="AH3" s="1213"/>
      <c r="AI3" s="1213"/>
      <c r="AJ3" s="1214"/>
    </row>
    <row r="4" spans="1:36" ht="15.75">
      <c r="A4" s="3890"/>
      <c r="B4" s="3891"/>
      <c r="C4" s="3891"/>
      <c r="D4" s="3892"/>
      <c r="E4" s="3892"/>
      <c r="F4" s="3892"/>
      <c r="G4" s="3892"/>
      <c r="H4" s="3892"/>
      <c r="I4" s="3892"/>
      <c r="J4" s="3893"/>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26511</v>
      </c>
      <c r="U4" s="1208">
        <f>'数据-基础表'!I15+'数据-基础表'!I21</f>
        <v>5837.57</v>
      </c>
      <c r="V4" s="3332">
        <f t="shared" si="1"/>
        <v>15476</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23990</v>
      </c>
      <c r="U5" s="1208">
        <f>'数据-基础表'!I16+'数据-基础表'!I22</f>
        <v>5837.57</v>
      </c>
      <c r="V5" s="3332">
        <f t="shared" si="1"/>
        <v>14004</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22864</v>
      </c>
      <c r="U6" s="1208">
        <f>'数据-基础表'!I17+'数据-基础表'!I23</f>
        <v>5837.57</v>
      </c>
      <c r="V6" s="3332">
        <f t="shared" si="1"/>
        <v>13347</v>
      </c>
      <c r="W6" s="1211"/>
      <c r="X6" s="1211"/>
      <c r="Y6" s="1211"/>
      <c r="Z6" s="1211"/>
      <c r="AA6" s="1211"/>
      <c r="AB6" s="1211"/>
      <c r="AC6" s="2006"/>
      <c r="AD6" s="2007"/>
      <c r="AE6" s="2007"/>
      <c r="AF6" s="2007"/>
      <c r="AG6" s="2007"/>
      <c r="AH6" s="2007"/>
      <c r="AI6" s="2007"/>
      <c r="AJ6" s="2008"/>
    </row>
    <row r="7" spans="1:36" ht="24.75"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21311</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5.5">
      <c r="A8" s="3270"/>
      <c r="B8" s="170"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21311</v>
      </c>
      <c r="U8" s="1208"/>
      <c r="V8" s="3332">
        <f t="shared" si="1"/>
        <v>0</v>
      </c>
      <c r="W8" s="3887" t="s">
        <v>1944</v>
      </c>
      <c r="X8" s="3888"/>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21311</v>
      </c>
      <c r="U9" s="1208">
        <f>SUM('数据-基础表'!I31:I48)</f>
        <v>0</v>
      </c>
      <c r="V9" s="3332">
        <f t="shared" si="1"/>
        <v>0</v>
      </c>
      <c r="W9" s="3889"/>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21311</v>
      </c>
      <c r="U10" s="1208">
        <f>SUM('数据-基础表'!I49:I68)</f>
        <v>0</v>
      </c>
      <c r="V10" s="3332">
        <f t="shared" si="1"/>
        <v>0</v>
      </c>
      <c r="W10" s="3889"/>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894" t="s">
        <v>3236</v>
      </c>
      <c r="B20" s="167" t="s">
        <v>1978</v>
      </c>
      <c r="C20" s="3296">
        <f>ROUND(IF(F21="与级别开发程度一致",0,(G21-E21)/C21),0)</f>
        <v>0</v>
      </c>
      <c r="D20" s="3312" t="s">
        <v>1982</v>
      </c>
      <c r="E20" s="3313"/>
      <c r="F20" s="3900" t="s">
        <v>1979</v>
      </c>
      <c r="G20" s="3901"/>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895"/>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9" t="s">
        <v>1986</v>
      </c>
      <c r="E23" s="757">
        <v>44197</v>
      </c>
      <c r="F23" s="2049" t="s">
        <v>1987</v>
      </c>
      <c r="G23" s="758">
        <f>'数据-取费表'!B2</f>
        <v>45309</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0.75780000000000003</v>
      </c>
      <c r="D24" s="2055" t="s">
        <v>1991</v>
      </c>
      <c r="E24" s="1330">
        <f>存贷款利率!E24/100</f>
        <v>4.3499999999999997E-2</v>
      </c>
      <c r="F24" s="2055" t="s">
        <v>1983</v>
      </c>
      <c r="G24" s="764">
        <f>SUMIF(M30:Q30,E2,M33:Q33)</f>
        <v>5.5E-2</v>
      </c>
      <c r="H24" s="2055" t="s">
        <v>1992</v>
      </c>
      <c r="I24" s="765">
        <f>SUMIF('数据-取费表'!C6:C15,E2,'数据-取费表'!F6:F15)/COUNTIF('数据-取费表'!C6:C15,E2)</f>
        <v>20.64</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3430</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90104</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3059</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175">
        <f>ROUND(C5*C22*C23*C24*C25*C28,0)</f>
        <v>38647</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898"/>
      <c r="B37" s="2108" t="s">
        <v>2020</v>
      </c>
      <c r="C37" s="175">
        <f>ROUND(D5*C22*C23*C24*C28*F37,0)</f>
        <v>17791</v>
      </c>
      <c r="D37" s="2093">
        <f>'数据-汇总表'!G19</f>
        <v>6877.51</v>
      </c>
      <c r="E37" s="171">
        <f>ROUND(C37*D37/10000,0)</f>
        <v>12236</v>
      </c>
      <c r="F37" s="171">
        <f>SUMIF(修正!A57:A68,G2,修正!B57:B68)</f>
        <v>0.7</v>
      </c>
      <c r="G37" s="171">
        <f>ROUND(IF(E2="工业",C37*$M$42,C37*$M$41),0)</f>
        <v>4448</v>
      </c>
      <c r="H37" s="171">
        <f>D37</f>
        <v>6877.51</v>
      </c>
      <c r="I37" s="171">
        <f>ROUND(G37*H37/10000,0)</f>
        <v>3059</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899"/>
      <c r="B38" s="2036" t="s">
        <v>2021</v>
      </c>
      <c r="C38" s="175">
        <f>ROUND(D5*C22*C23*C24*C28*F38,0)</f>
        <v>10166</v>
      </c>
      <c r="D38" s="2093"/>
      <c r="E38" s="171">
        <f t="shared" ref="E38:E42" si="4">ROUND(C38*D38/10000,0)</f>
        <v>0</v>
      </c>
      <c r="F38" s="171">
        <f>SUMIF(修正!A57:A68,G2,修正!C57:C68)</f>
        <v>0.4</v>
      </c>
      <c r="G38" s="171">
        <f>ROUND(IF(E2="工业",C38*$M$42,C38*$M$41),0)</f>
        <v>2542</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899"/>
      <c r="B39" s="2036" t="s">
        <v>3241</v>
      </c>
      <c r="C39" s="175">
        <f>ROUND(D5*C22*C23*C24*C28*F39,0)</f>
        <v>7625</v>
      </c>
      <c r="D39" s="2093"/>
      <c r="E39" s="171">
        <f t="shared" si="4"/>
        <v>0</v>
      </c>
      <c r="F39" s="171">
        <f>SUMIF(修正!A57:A68,G2,修正!D57:D68)</f>
        <v>0.3</v>
      </c>
      <c r="G39" s="171">
        <f>ROUND(IF(E2="工业",C39*$M$42,C39*$M$41),0)</f>
        <v>1906</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7625</v>
      </c>
      <c r="D40" s="2093"/>
      <c r="E40" s="171">
        <f t="shared" si="4"/>
        <v>0</v>
      </c>
      <c r="F40" s="175">
        <f>SUMIF(修正!A57:A68,G2,修正!E57:E68)</f>
        <v>0.3</v>
      </c>
      <c r="G40" s="171">
        <f>ROUND(IF(E2="工业",C40*$M$42,C40*$M$41),0)</f>
        <v>1906</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8709</v>
      </c>
      <c r="D41" s="2093"/>
      <c r="E41" s="171">
        <f t="shared" si="4"/>
        <v>0</v>
      </c>
      <c r="F41" s="175">
        <f>SUMIF(修正!A57:A68,G2,修正!F57:F68)</f>
        <v>0.3</v>
      </c>
      <c r="G41" s="171">
        <f>ROUND(IF(E2="工业",C41*$M$42,C41*$M$41),0)</f>
        <v>2177</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5806</v>
      </c>
      <c r="D42" s="2098">
        <f>'数据-汇总表'!G20</f>
        <v>0</v>
      </c>
      <c r="E42" s="187">
        <f t="shared" si="4"/>
        <v>0</v>
      </c>
      <c r="F42" s="763">
        <f>SUMIF(修正!A57:A68,G2,修正!G57:G68)</f>
        <v>0.2</v>
      </c>
      <c r="G42" s="187">
        <f>ROUND(IF(E2="工业",C42*$M$42,C42*$M$41),0)</f>
        <v>1452</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0.86560000000000004</v>
      </c>
      <c r="D44" s="171" t="s">
        <v>1983</v>
      </c>
      <c r="E44" s="2148">
        <f>G24</f>
        <v>5.5E-2</v>
      </c>
      <c r="F44" s="171" t="s">
        <v>1992</v>
      </c>
      <c r="G44" s="183">
        <f>'数据-取费表'!F7</f>
        <v>30.64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896" t="s">
        <v>3276</v>
      </c>
      <c r="B103" s="3896"/>
      <c r="C103" s="3896"/>
      <c r="D103" s="3896"/>
      <c r="E103" s="3896"/>
      <c r="F103" s="3896"/>
      <c r="G103" s="3896"/>
      <c r="H103" s="3896"/>
      <c r="I103" s="3896"/>
      <c r="J103" s="3896"/>
      <c r="K103" s="3361"/>
      <c r="L103" s="3361"/>
      <c r="M103" s="3361"/>
      <c r="N103" s="3361"/>
    </row>
    <row r="104" spans="1:14">
      <c r="A104" s="3897" t="s">
        <v>3277</v>
      </c>
      <c r="B104" s="3897" t="s">
        <v>3278</v>
      </c>
      <c r="C104" s="3362" t="s">
        <v>3279</v>
      </c>
      <c r="D104" s="3363"/>
      <c r="E104" s="3363"/>
      <c r="F104" s="3363"/>
      <c r="G104" s="3363"/>
      <c r="H104" s="3363"/>
      <c r="I104" s="3363"/>
      <c r="J104" s="3364"/>
      <c r="K104" s="3365"/>
      <c r="L104" s="3365"/>
      <c r="M104" s="3365"/>
      <c r="N104" s="3365"/>
    </row>
    <row r="105" spans="1:14">
      <c r="A105" s="3897"/>
      <c r="B105" s="3897"/>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883"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884"/>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884"/>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884"/>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884"/>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884"/>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885"/>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886" t="s">
        <v>3293</v>
      </c>
      <c r="B113" s="3886"/>
      <c r="C113" s="3886"/>
      <c r="D113" s="3886"/>
      <c r="E113" s="3886"/>
      <c r="F113" s="3886"/>
      <c r="G113" s="3886"/>
      <c r="H113" s="3886"/>
      <c r="I113" s="3886"/>
      <c r="J113" s="3886"/>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F50" sqref="F5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99936</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39937</v>
      </c>
      <c r="U2" s="1208">
        <f>'数据-基础表'!I13+'数据-基础表'!I19</f>
        <v>5161.3899999999994</v>
      </c>
      <c r="V2" s="3332">
        <f>ROUND(T2*U2/10000,0)</f>
        <v>20613</v>
      </c>
      <c r="W2" s="1211"/>
      <c r="X2" s="1211"/>
      <c r="Y2" s="1211"/>
      <c r="Z2" s="1211"/>
      <c r="AA2" s="1211"/>
      <c r="AB2" s="1211"/>
      <c r="AC2" s="1212"/>
      <c r="AD2" s="1213"/>
      <c r="AE2" s="1213"/>
      <c r="AF2" s="1213"/>
      <c r="AG2" s="1213"/>
      <c r="AH2" s="1213"/>
      <c r="AI2" s="1213"/>
      <c r="AJ2" s="1214"/>
    </row>
    <row r="3" spans="1:36" ht="15.75">
      <c r="A3" s="203" t="s">
        <v>1924</v>
      </c>
      <c r="B3" s="204">
        <f>ROUND(B2*10000/D1,0)</f>
        <v>23694</v>
      </c>
      <c r="C3" s="1994" t="s">
        <v>1925</v>
      </c>
      <c r="D3" s="1995" t="s">
        <v>1926</v>
      </c>
      <c r="E3" s="3390" t="s">
        <v>2421</v>
      </c>
      <c r="F3" s="1999" t="s">
        <v>3370</v>
      </c>
      <c r="G3" s="748">
        <f>IF(F3="宗地容积率",'数据-汇总表'!I4,IF(F3="估价对象容积率",'数据-汇总表'!I6,'数据-汇总表'!I7))</f>
        <v>5.94</v>
      </c>
      <c r="H3" s="3499"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31706</v>
      </c>
      <c r="U3" s="1208">
        <f>'数据-基础表'!I14+'数据-基础表'!I20</f>
        <v>4919.5599999999995</v>
      </c>
      <c r="V3" s="3332">
        <f t="shared" ref="V3:V16" si="1">ROUND(T3*U3/10000,0)</f>
        <v>15598</v>
      </c>
      <c r="W3" s="1211"/>
      <c r="X3" s="1211"/>
      <c r="Y3" s="1211"/>
      <c r="Z3" s="1211"/>
      <c r="AA3" s="1211"/>
      <c r="AB3" s="1211"/>
      <c r="AC3" s="1212"/>
      <c r="AD3" s="1213"/>
      <c r="AE3" s="1213"/>
      <c r="AF3" s="1213"/>
      <c r="AG3" s="1213"/>
      <c r="AH3" s="1213"/>
      <c r="AI3" s="1213"/>
      <c r="AJ3" s="1214"/>
    </row>
    <row r="4" spans="1:36" ht="15.75">
      <c r="A4" s="3890"/>
      <c r="B4" s="3891"/>
      <c r="C4" s="3891"/>
      <c r="D4" s="3892"/>
      <c r="E4" s="3892"/>
      <c r="F4" s="3892"/>
      <c r="G4" s="3892"/>
      <c r="H4" s="3892"/>
      <c r="I4" s="3892"/>
      <c r="J4" s="3893"/>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27396</v>
      </c>
      <c r="U4" s="1208">
        <f>'数据-基础表'!I15+'数据-基础表'!I21</f>
        <v>5837.57</v>
      </c>
      <c r="V4" s="3332">
        <f t="shared" si="1"/>
        <v>15993</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24791</v>
      </c>
      <c r="U5" s="1208">
        <f>'数据-基础表'!I16+'数据-基础表'!I22</f>
        <v>5837.57</v>
      </c>
      <c r="V5" s="3332">
        <f t="shared" si="1"/>
        <v>14472</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23627</v>
      </c>
      <c r="U6" s="1208">
        <f>'数据-基础表'!I17+'数据-基础表'!I23</f>
        <v>5837.57</v>
      </c>
      <c r="V6" s="3332">
        <f t="shared" si="1"/>
        <v>13792</v>
      </c>
      <c r="W6" s="1211"/>
      <c r="X6" s="1211"/>
      <c r="Y6" s="1211"/>
      <c r="Z6" s="1211"/>
      <c r="AA6" s="1211"/>
      <c r="AB6" s="1211"/>
      <c r="AC6" s="2006"/>
      <c r="AD6" s="2007"/>
      <c r="AE6" s="2007"/>
      <c r="AF6" s="2007"/>
      <c r="AG6" s="2007"/>
      <c r="AH6" s="2007"/>
      <c r="AI6" s="2007"/>
      <c r="AJ6" s="2008"/>
    </row>
    <row r="7" spans="1:36" ht="24.75" thickBot="1">
      <c r="A7" s="3275" t="s">
        <v>3219</v>
      </c>
      <c r="B7" s="3501"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22023</v>
      </c>
      <c r="U7" s="1208"/>
      <c r="V7" s="3332">
        <f t="shared" si="1"/>
        <v>0</v>
      </c>
      <c r="W7" s="3511" t="s">
        <v>1939</v>
      </c>
      <c r="X7" s="1209" t="str">
        <f>G2</f>
        <v>二级</v>
      </c>
      <c r="Y7" s="1209" t="s">
        <v>1940</v>
      </c>
      <c r="Z7" s="1210">
        <f>G3</f>
        <v>5.94</v>
      </c>
      <c r="AA7" s="1211"/>
      <c r="AB7" s="1211"/>
      <c r="AC7" s="1212"/>
      <c r="AD7" s="1213"/>
      <c r="AE7" s="1213"/>
      <c r="AF7" s="1213"/>
      <c r="AG7" s="1213"/>
      <c r="AH7" s="1213"/>
      <c r="AI7" s="1213"/>
      <c r="AJ7" s="1214"/>
    </row>
    <row r="8" spans="1:36" ht="25.5">
      <c r="A8" s="3270"/>
      <c r="B8" s="3499"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22023</v>
      </c>
      <c r="U8" s="1208"/>
      <c r="V8" s="3332">
        <f t="shared" si="1"/>
        <v>0</v>
      </c>
      <c r="W8" s="3887" t="s">
        <v>1944</v>
      </c>
      <c r="X8" s="3888"/>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499"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22023</v>
      </c>
      <c r="U9" s="1208">
        <f>SUM('数据-基础表'!I31:I48)</f>
        <v>0</v>
      </c>
      <c r="V9" s="3332">
        <f t="shared" si="1"/>
        <v>0</v>
      </c>
      <c r="W9" s="3889"/>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499"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22023</v>
      </c>
      <c r="U10" s="1208">
        <f>SUM('数据-基础表'!I49:I68)</f>
        <v>0</v>
      </c>
      <c r="V10" s="3332">
        <f t="shared" si="1"/>
        <v>0</v>
      </c>
      <c r="W10" s="3889"/>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3500"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894" t="s">
        <v>3236</v>
      </c>
      <c r="B20" s="167" t="s">
        <v>1978</v>
      </c>
      <c r="C20" s="3296">
        <f>ROUND(IF(F21="与级别开发程度一致",0,(G21-E21)/C21),0)</f>
        <v>0</v>
      </c>
      <c r="D20" s="3312" t="s">
        <v>1982</v>
      </c>
      <c r="E20" s="3313"/>
      <c r="F20" s="3900" t="s">
        <v>1979</v>
      </c>
      <c r="G20" s="3901"/>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895"/>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9" t="s">
        <v>1986</v>
      </c>
      <c r="E23" s="757">
        <v>44197</v>
      </c>
      <c r="F23" s="2049" t="s">
        <v>1987</v>
      </c>
      <c r="G23" s="758">
        <f>'数据-取费表'!B2</f>
        <v>45309</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0.86560000000000004</v>
      </c>
      <c r="D24" s="2055" t="s">
        <v>1991</v>
      </c>
      <c r="E24" s="1330">
        <f>存贷款利率!E24/100</f>
        <v>4.3499999999999997E-2</v>
      </c>
      <c r="F24" s="2055" t="s">
        <v>1983</v>
      </c>
      <c r="G24" s="764">
        <f>SUMIF(M30:Q30,E2,M33:Q33)</f>
        <v>5.5E-2</v>
      </c>
      <c r="H24" s="2055" t="s">
        <v>1992</v>
      </c>
      <c r="I24" s="765">
        <f>SUMIF('数据-取费表'!C6:C15,E2,'数据-取费表'!F6:F15)/COUNTIF('数据-取费表'!C6:C15,E2)</f>
        <v>30.64</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4301</v>
      </c>
      <c r="C25" s="3509">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3508">
        <f>IF(E26=G26,F26,IF(G3&lt;10,ROUND(F26+(H26-F26)*(G3-E26)/(G26-E26),4),"——"))</f>
        <v>0.9415</v>
      </c>
      <c r="E26" s="748">
        <f>ROUNDDOWN(G3,1)</f>
        <v>5.9</v>
      </c>
      <c r="F26" s="35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99936</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3161</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3497">
        <f>ROUND(C5*C22*C23*C24*C25*C28,0)</f>
        <v>24728</v>
      </c>
      <c r="D33" s="2093">
        <f>'数据-汇总表'!F20</f>
        <v>35300.840000000011</v>
      </c>
      <c r="E33" s="769">
        <f>ROUND(C33*D33/10000,0)</f>
        <v>87292</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f>ROUND(IF(E2="工业",C33*M42,IF(B25="楼层修正",SUM(V2:V16)*M41*10000/D34,C33*M41)),0)</f>
        <v>6182</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898"/>
      <c r="B37" s="2108" t="s">
        <v>2020</v>
      </c>
      <c r="C37" s="3497">
        <f>ROUND(D5*C22*C23*C24*C28*F37,0)</f>
        <v>18385</v>
      </c>
      <c r="D37" s="2093">
        <f>'数据-汇总表'!G19</f>
        <v>6877.51</v>
      </c>
      <c r="E37" s="171">
        <f>ROUND(C37*D37/10000,0)</f>
        <v>12644</v>
      </c>
      <c r="F37" s="171">
        <f>SUMIF(修正!A57:A68,G2,修正!B57:B68)</f>
        <v>0.7</v>
      </c>
      <c r="G37" s="171">
        <f>ROUND(IF(E2="工业",C37*$M$42,C37*$M$41),0)</f>
        <v>4596</v>
      </c>
      <c r="H37" s="171">
        <f>D37</f>
        <v>6877.51</v>
      </c>
      <c r="I37" s="171">
        <f>ROUND(G37*H37/10000,0)</f>
        <v>3161</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899"/>
      <c r="B38" s="2036" t="s">
        <v>2021</v>
      </c>
      <c r="C38" s="3497">
        <f>ROUND(D5*C22*C23*C24*C28*F38,0)</f>
        <v>10506</v>
      </c>
      <c r="D38" s="2093"/>
      <c r="E38" s="171">
        <f t="shared" ref="E38:E42" si="4">ROUND(C38*D38/10000,0)</f>
        <v>0</v>
      </c>
      <c r="F38" s="171">
        <f>SUMIF(修正!A57:A68,G2,修正!C57:C68)</f>
        <v>0.4</v>
      </c>
      <c r="G38" s="171">
        <f>ROUND(IF(E2="工业",C38*$M$42,C38*$M$41),0)</f>
        <v>2627</v>
      </c>
      <c r="H38" s="171">
        <f t="shared" ref="H38:H42" si="5">D38</f>
        <v>0</v>
      </c>
      <c r="I38" s="171">
        <f t="shared" ref="I38:I42" si="6">ROUND(G38*H38/10000,0)</f>
        <v>0</v>
      </c>
      <c r="J38" s="3514"/>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899"/>
      <c r="B39" s="2036" t="s">
        <v>3241</v>
      </c>
      <c r="C39" s="3497">
        <f>ROUND(D5*C22*C23*C24*C28*F39,0)</f>
        <v>7879</v>
      </c>
      <c r="D39" s="2093"/>
      <c r="E39" s="171">
        <f t="shared" si="4"/>
        <v>0</v>
      </c>
      <c r="F39" s="171">
        <f>SUMIF(修正!A57:A68,G2,修正!D57:D68)</f>
        <v>0.3</v>
      </c>
      <c r="G39" s="171">
        <f>ROUND(IF(E2="工业",C39*$M$42,C39*$M$41),0)</f>
        <v>1970</v>
      </c>
      <c r="H39" s="171">
        <f t="shared" si="5"/>
        <v>0</v>
      </c>
      <c r="I39" s="171">
        <f t="shared" si="6"/>
        <v>0</v>
      </c>
      <c r="J39" s="351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7879</v>
      </c>
      <c r="D40" s="2093"/>
      <c r="E40" s="171">
        <f t="shared" si="4"/>
        <v>0</v>
      </c>
      <c r="F40" s="3497">
        <f>SUMIF(修正!A57:A68,G2,修正!E57:E68)</f>
        <v>0.3</v>
      </c>
      <c r="G40" s="171">
        <f>ROUND(IF(E2="工业",C40*$M$42,C40*$M$41),0)</f>
        <v>1970</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7879</v>
      </c>
      <c r="D41" s="2093"/>
      <c r="E41" s="171">
        <f t="shared" si="4"/>
        <v>0</v>
      </c>
      <c r="F41" s="3497">
        <f>SUMIF(修正!A57:A68,G2,修正!F57:F68)</f>
        <v>0.3</v>
      </c>
      <c r="G41" s="171">
        <f>ROUND(IF(E2="工业",C41*$M$42,C41*$M$41),0)</f>
        <v>1970</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5253</v>
      </c>
      <c r="D42" s="2098">
        <f>'数据-汇总表'!G20</f>
        <v>0</v>
      </c>
      <c r="E42" s="187">
        <f t="shared" si="4"/>
        <v>0</v>
      </c>
      <c r="F42" s="763">
        <f>SUMIF(修正!A57:A68,G2,修正!G57:G68)</f>
        <v>0.2</v>
      </c>
      <c r="G42" s="187">
        <f>ROUND(IF(E2="工业",C42*$M$42,C42*$M$41),0)</f>
        <v>1313</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0.86560000000000004</v>
      </c>
      <c r="D44" s="171" t="s">
        <v>1983</v>
      </c>
      <c r="E44" s="2148">
        <f>G24</f>
        <v>5.5E-2</v>
      </c>
      <c r="F44" s="171" t="s">
        <v>1992</v>
      </c>
      <c r="G44" s="183">
        <f>'数据-取费表'!F7</f>
        <v>30.64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896" t="s">
        <v>3276</v>
      </c>
      <c r="B103" s="3896"/>
      <c r="C103" s="3896"/>
      <c r="D103" s="3896"/>
      <c r="E103" s="3896"/>
      <c r="F103" s="3896"/>
      <c r="G103" s="3896"/>
      <c r="H103" s="3896"/>
      <c r="I103" s="3896"/>
      <c r="J103" s="3896"/>
      <c r="K103" s="3512"/>
      <c r="L103" s="3512"/>
      <c r="M103" s="3512"/>
      <c r="N103" s="3512"/>
    </row>
    <row r="104" spans="1:14">
      <c r="A104" s="3897" t="s">
        <v>3277</v>
      </c>
      <c r="B104" s="3897" t="s">
        <v>3278</v>
      </c>
      <c r="C104" s="3362" t="s">
        <v>3279</v>
      </c>
      <c r="D104" s="3363"/>
      <c r="E104" s="3363"/>
      <c r="F104" s="3363"/>
      <c r="G104" s="3363"/>
      <c r="H104" s="3363"/>
      <c r="I104" s="3363"/>
      <c r="J104" s="3364"/>
      <c r="K104" s="3365"/>
      <c r="L104" s="3365"/>
      <c r="M104" s="3365"/>
      <c r="N104" s="3365"/>
    </row>
    <row r="105" spans="1:14">
      <c r="A105" s="3897"/>
      <c r="B105" s="3897"/>
      <c r="C105" s="3513" t="s">
        <v>3280</v>
      </c>
      <c r="D105" s="3513" t="s">
        <v>3281</v>
      </c>
      <c r="E105" s="3513" t="s">
        <v>3282</v>
      </c>
      <c r="F105" s="3513" t="s">
        <v>3283</v>
      </c>
      <c r="G105" s="3513" t="s">
        <v>3284</v>
      </c>
      <c r="H105" s="3513" t="s">
        <v>3285</v>
      </c>
      <c r="I105" s="3513" t="s">
        <v>3286</v>
      </c>
      <c r="J105" s="3513" t="s">
        <v>3287</v>
      </c>
      <c r="K105" s="3513" t="s">
        <v>3288</v>
      </c>
      <c r="L105" s="3513" t="s">
        <v>3289</v>
      </c>
      <c r="M105" s="3513" t="s">
        <v>3290</v>
      </c>
      <c r="N105" s="3513" t="s">
        <v>3291</v>
      </c>
    </row>
    <row r="106" spans="1:14">
      <c r="A106" s="3883" t="s">
        <v>3292</v>
      </c>
      <c r="B106" s="3513">
        <v>1</v>
      </c>
      <c r="C106" s="3513">
        <v>1.5206</v>
      </c>
      <c r="D106" s="3513">
        <v>1.5206</v>
      </c>
      <c r="E106" s="3513">
        <v>1.5019</v>
      </c>
      <c r="F106" s="3513">
        <v>1.5019</v>
      </c>
      <c r="G106" s="3513">
        <v>1.5019</v>
      </c>
      <c r="H106" s="3513">
        <v>1.5019</v>
      </c>
      <c r="I106" s="3513">
        <v>1.5019</v>
      </c>
      <c r="J106" s="3513">
        <v>1.5418000000000001</v>
      </c>
      <c r="K106" s="3513">
        <v>1.5418000000000001</v>
      </c>
      <c r="L106" s="3513">
        <v>1.5418000000000001</v>
      </c>
      <c r="M106" s="3513">
        <v>1.5418000000000001</v>
      </c>
      <c r="N106" s="3513">
        <v>1.5418000000000001</v>
      </c>
    </row>
    <row r="107" spans="1:14">
      <c r="A107" s="3884"/>
      <c r="B107" s="3513">
        <v>2</v>
      </c>
      <c r="C107" s="3513">
        <v>1.2072000000000001</v>
      </c>
      <c r="D107" s="3513">
        <v>1.2072000000000001</v>
      </c>
      <c r="E107" s="3513">
        <v>1.1838</v>
      </c>
      <c r="F107" s="3513">
        <v>1.1838</v>
      </c>
      <c r="G107" s="3513">
        <v>1.1838</v>
      </c>
      <c r="H107" s="3513">
        <v>1.1838</v>
      </c>
      <c r="I107" s="3513">
        <v>1.1838</v>
      </c>
      <c r="J107" s="3513">
        <v>1.1883999999999999</v>
      </c>
      <c r="K107" s="3513">
        <v>1.1883999999999999</v>
      </c>
      <c r="L107" s="3513">
        <v>1.1883999999999999</v>
      </c>
      <c r="M107" s="3513">
        <v>1.1883999999999999</v>
      </c>
      <c r="N107" s="3513">
        <v>1.1883999999999999</v>
      </c>
    </row>
    <row r="108" spans="1:14">
      <c r="A108" s="3884"/>
      <c r="B108" s="3513">
        <v>3</v>
      </c>
      <c r="C108" s="3513">
        <v>1.0430999999999999</v>
      </c>
      <c r="D108" s="3513">
        <v>1.0430999999999999</v>
      </c>
      <c r="E108" s="3513">
        <v>1.0004999999999999</v>
      </c>
      <c r="F108" s="3513">
        <v>1.0004999999999999</v>
      </c>
      <c r="G108" s="3513">
        <v>1.0004999999999999</v>
      </c>
      <c r="H108" s="3513">
        <v>1.0004999999999999</v>
      </c>
      <c r="I108" s="3513">
        <v>1.0004999999999999</v>
      </c>
      <c r="J108" s="3513">
        <v>0.96940000000000004</v>
      </c>
      <c r="K108" s="3513">
        <v>0.96940000000000004</v>
      </c>
      <c r="L108" s="3513">
        <v>0.96940000000000004</v>
      </c>
      <c r="M108" s="3513">
        <v>0.96940000000000004</v>
      </c>
      <c r="N108" s="3513">
        <v>0.96940000000000004</v>
      </c>
    </row>
    <row r="109" spans="1:14">
      <c r="A109" s="3884"/>
      <c r="B109" s="3513">
        <v>4</v>
      </c>
      <c r="C109" s="3513">
        <v>0.94389999999999996</v>
      </c>
      <c r="D109" s="3513">
        <v>0.94389999999999996</v>
      </c>
      <c r="E109" s="3513">
        <v>0.88239999999999996</v>
      </c>
      <c r="F109" s="3513">
        <v>0.88239999999999996</v>
      </c>
      <c r="G109" s="3513">
        <v>0.88239999999999996</v>
      </c>
      <c r="H109" s="3513">
        <v>0.88239999999999996</v>
      </c>
      <c r="I109" s="3513">
        <v>0.88239999999999996</v>
      </c>
      <c r="J109" s="3513">
        <v>0.82299999999999995</v>
      </c>
      <c r="K109" s="3513">
        <v>0.82299999999999995</v>
      </c>
      <c r="L109" s="3513">
        <v>0.82299999999999995</v>
      </c>
      <c r="M109" s="3513">
        <v>0.82299999999999995</v>
      </c>
      <c r="N109" s="3513">
        <v>0.82299999999999995</v>
      </c>
    </row>
    <row r="110" spans="1:14">
      <c r="A110" s="3884"/>
      <c r="B110" s="3513">
        <v>5</v>
      </c>
      <c r="C110" s="3513">
        <v>0.89959999999999996</v>
      </c>
      <c r="D110" s="3513">
        <v>0.89959999999999996</v>
      </c>
      <c r="E110" s="3513">
        <v>0.84799999999999998</v>
      </c>
      <c r="F110" s="3513">
        <v>0.84799999999999998</v>
      </c>
      <c r="G110" s="3513">
        <v>0.84799999999999998</v>
      </c>
      <c r="H110" s="3513">
        <v>0.84799999999999998</v>
      </c>
      <c r="I110" s="3513">
        <v>0.84799999999999998</v>
      </c>
      <c r="J110" s="3513">
        <v>0.74980000000000002</v>
      </c>
      <c r="K110" s="3513">
        <v>0.74980000000000002</v>
      </c>
      <c r="L110" s="3513">
        <v>0.74980000000000002</v>
      </c>
      <c r="M110" s="3513">
        <v>0.74980000000000002</v>
      </c>
      <c r="N110" s="3513">
        <v>0.74980000000000002</v>
      </c>
    </row>
    <row r="111" spans="1:14">
      <c r="A111" s="3884"/>
      <c r="B111" s="3513"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885"/>
      <c r="B112" s="3513">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886" t="s">
        <v>3293</v>
      </c>
      <c r="B113" s="3886"/>
      <c r="C113" s="3886"/>
      <c r="D113" s="3886"/>
      <c r="E113" s="3886"/>
      <c r="F113" s="3886"/>
      <c r="G113" s="3886"/>
      <c r="H113" s="3886"/>
      <c r="I113" s="3886"/>
      <c r="J113" s="3886"/>
      <c r="K113" s="3510"/>
      <c r="L113" s="3510"/>
      <c r="M113" s="3510"/>
      <c r="N113" s="3510"/>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42"/>
      <c r="C1" s="2142"/>
      <c r="D1" s="2142"/>
      <c r="E1" s="2142"/>
      <c r="F1" s="2764"/>
      <c r="G1" s="2764"/>
      <c r="H1" s="2764"/>
      <c r="I1" s="2764"/>
      <c r="J1" s="2764"/>
      <c r="K1" s="2764"/>
      <c r="L1" s="2764"/>
      <c r="M1" s="2764"/>
      <c r="N1" s="2764"/>
      <c r="O1" s="2764"/>
      <c r="P1" s="2764"/>
    </row>
    <row r="2" spans="1:16" ht="15.75">
      <c r="A2" s="2140" t="s">
        <v>2057</v>
      </c>
      <c r="B2" s="2574">
        <f ca="1">SUMIF(B6:B13,"&lt;&gt;#ref!",B6:B13)</f>
        <v>190040</v>
      </c>
      <c r="C2" s="2140" t="s">
        <v>2058</v>
      </c>
      <c r="D2" s="2140" t="s">
        <v>2059</v>
      </c>
      <c r="E2" s="2584">
        <f ca="1">SUMIF(E6:E13,"&lt;&gt;#ref!",E6:E13)</f>
        <v>49055.860000000015</v>
      </c>
      <c r="F2" s="2764"/>
      <c r="G2" s="2764"/>
      <c r="H2" s="2764"/>
      <c r="I2" s="2764"/>
      <c r="J2" s="2764"/>
      <c r="K2" s="2764"/>
      <c r="L2" s="2764"/>
      <c r="M2" s="2764"/>
      <c r="N2" s="2764"/>
      <c r="O2" s="2764"/>
      <c r="P2" s="2764"/>
    </row>
    <row r="3" spans="1:16" ht="15.75">
      <c r="A3" s="2140" t="s">
        <v>2060</v>
      </c>
      <c r="B3" s="2574">
        <f ca="1">ROUND(B2*10000/E2,0)</f>
        <v>38740</v>
      </c>
      <c r="C3" s="2140" t="s">
        <v>2066</v>
      </c>
      <c r="D3" s="2764"/>
      <c r="E3" s="2764"/>
      <c r="F3" s="2764"/>
      <c r="G3" s="2764"/>
      <c r="H3" s="2764"/>
      <c r="I3" s="2764"/>
      <c r="J3" s="2764"/>
      <c r="K3" s="2764"/>
      <c r="L3" s="2764"/>
      <c r="M3" s="2764"/>
      <c r="N3" s="2764"/>
      <c r="O3" s="2764"/>
      <c r="P3" s="2764"/>
    </row>
    <row r="4" spans="1:16" ht="15.75">
      <c r="A4" s="2765"/>
      <c r="B4" s="2764"/>
      <c r="C4" s="2764"/>
      <c r="D4" s="2764"/>
      <c r="E4" s="2764"/>
      <c r="F4" s="2764"/>
      <c r="G4" s="2764"/>
      <c r="H4" s="2764"/>
      <c r="I4" s="2764"/>
      <c r="J4" s="2764"/>
      <c r="K4" s="2764"/>
      <c r="L4" s="2764"/>
      <c r="M4" s="2764"/>
      <c r="N4" s="2764"/>
      <c r="O4" s="2764"/>
      <c r="P4" s="2764"/>
    </row>
    <row r="5" spans="1:16" ht="28.5">
      <c r="A5" s="2580" t="s">
        <v>2061</v>
      </c>
      <c r="B5" s="2582" t="s">
        <v>2062</v>
      </c>
      <c r="C5" s="2141"/>
      <c r="D5" s="2764"/>
      <c r="E5" s="2583" t="s">
        <v>2063</v>
      </c>
      <c r="F5" s="2764"/>
      <c r="G5" s="2764"/>
      <c r="H5" s="2764"/>
      <c r="I5" s="2764"/>
      <c r="J5" s="2764"/>
      <c r="K5" s="2764"/>
      <c r="L5" s="2764"/>
      <c r="M5" s="2764"/>
      <c r="N5" s="2764"/>
      <c r="O5" s="2764"/>
      <c r="P5" s="2764"/>
    </row>
    <row r="6" spans="1:16" ht="15.75">
      <c r="A6" s="2581" t="s">
        <v>2064</v>
      </c>
      <c r="B6" s="2574">
        <f ca="1">SUMIF(INDIRECT("'"&amp;A6&amp;"'"&amp;"!A:A"),"总价",INDIRECT("'"&amp;A6&amp;"'"&amp;"!B:B"))</f>
        <v>90104</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75">
      <c r="A7" s="2581" t="s">
        <v>4302</v>
      </c>
      <c r="B7" s="2574">
        <f ca="1">SUMIF(INDIRECT("'"&amp;A7&amp;"'"&amp;"!A:A"),"总价",INDIRECT("'"&amp;A7&amp;"'"&amp;"!B:B"))</f>
        <v>99936</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75">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75">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75">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75">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75">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75">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5"/>
      <c r="C1" s="198"/>
      <c r="D1" s="198"/>
      <c r="E1" s="198"/>
      <c r="F1" s="198"/>
      <c r="G1" s="1122">
        <f>MATCH(B1,'数据-取费表'!A6:A16,0)+5</f>
        <v>9</v>
      </c>
    </row>
    <row r="2" spans="1:10" s="200" customFormat="1" ht="18" customHeight="1">
      <c r="A2" s="201" t="s">
        <v>1446</v>
      </c>
      <c r="B2" s="202">
        <f ca="1">IF(D2="——",C52,C52-E2)</f>
        <v>331803</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39326</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197523</v>
      </c>
      <c r="D5" s="211" t="s">
        <v>1453</v>
      </c>
      <c r="E5" s="212" t="s">
        <v>1454</v>
      </c>
      <c r="F5" s="212" t="s">
        <v>1455</v>
      </c>
      <c r="G5" s="213"/>
      <c r="J5" s="3459" t="s">
        <v>3442</v>
      </c>
    </row>
    <row r="6" spans="1:10" s="214" customFormat="1" ht="13.5" customHeight="1">
      <c r="A6" s="774" t="s">
        <v>1456</v>
      </c>
      <c r="B6" s="215" t="s">
        <v>1457</v>
      </c>
      <c r="C6" s="216">
        <f ca="1">'基准地价（汇总）'!B2</f>
        <v>190040</v>
      </c>
      <c r="D6" s="217"/>
      <c r="E6" s="218"/>
      <c r="F6" s="218"/>
      <c r="G6" s="219"/>
      <c r="J6" s="214">
        <f>基准地价修正!B2</f>
        <v>90104</v>
      </c>
    </row>
    <row r="7" spans="1:10" s="214" customFormat="1" ht="13.5" customHeight="1">
      <c r="A7" s="774" t="s">
        <v>1458</v>
      </c>
      <c r="B7" s="215" t="s">
        <v>1459</v>
      </c>
      <c r="C7" s="220">
        <f ca="1">ROUND(C6*F7,0)</f>
        <v>5796</v>
      </c>
      <c r="D7" s="220"/>
      <c r="E7" s="218"/>
      <c r="F7" s="221">
        <f>IF(项目基本情况!B8="出让",0,'数据-取费表'!B48+'数据-取费表'!B49)</f>
        <v>3.0499999999999999E-2</v>
      </c>
      <c r="G7" s="219"/>
      <c r="J7" s="214">
        <f ca="1">J6*10000/D10</f>
        <v>10679.233073100309</v>
      </c>
    </row>
    <row r="8" spans="1:10" s="223" customFormat="1">
      <c r="A8" s="774" t="s">
        <v>1460</v>
      </c>
      <c r="B8" s="215" t="s">
        <v>1461</v>
      </c>
      <c r="C8" s="220">
        <f ca="1">IF(G8="已包含在土地购买价格中","0",IF(B1="",'数据-取费表'!B29,IF(G9="全部缴纳",C9+C10,H9)))</f>
        <v>1687</v>
      </c>
      <c r="D8" s="222"/>
      <c r="E8" s="220"/>
      <c r="F8" s="221"/>
      <c r="G8" s="1851" t="s">
        <v>3381</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3382</v>
      </c>
    </row>
    <row r="20" spans="1:7" s="214" customFormat="1" ht="13.5" customHeight="1">
      <c r="A20" s="255" t="s">
        <v>1477</v>
      </c>
      <c r="B20" s="210" t="s">
        <v>1478</v>
      </c>
      <c r="C20" s="232">
        <f ca="1">ROUND((C5+C19)*F20,0)</f>
        <v>3950</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0">
        <f ca="1">ROUND(SUM(C23:C25),0)</f>
        <v>14000</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13864</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136</v>
      </c>
      <c r="D25" s="238"/>
      <c r="E25" s="241"/>
      <c r="F25" s="239"/>
      <c r="G25" s="242" t="s">
        <v>1494</v>
      </c>
    </row>
    <row r="26" spans="1:7" s="214" customFormat="1">
      <c r="A26" s="776"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26191</v>
      </c>
      <c r="D27" s="235">
        <f ca="1">C29</f>
        <v>2.5999999999999999E-3</v>
      </c>
      <c r="E27" s="236" t="s">
        <v>1498</v>
      </c>
      <c r="F27" s="246">
        <f ca="1">IF(B1="",'数据-取费表'!Q16,INDIRECT("'数据-取费表'!q"&amp;$G$1))</f>
        <v>0.13</v>
      </c>
      <c r="G27" s="247" t="s">
        <v>1499</v>
      </c>
    </row>
    <row r="28" spans="1:7" s="214" customFormat="1" ht="13.5" customHeight="1">
      <c r="A28" s="776" t="s">
        <v>346</v>
      </c>
      <c r="B28" s="248" t="s">
        <v>1500</v>
      </c>
      <c r="C28" s="249">
        <f ca="1">ROUND((C5+C19+C20)*F27*'数据-取费表'!B21/'数据-取费表'!B20,0)</f>
        <v>26191</v>
      </c>
      <c r="D28" s="235"/>
      <c r="E28" s="236"/>
      <c r="F28" s="246"/>
      <c r="G28" s="247"/>
    </row>
    <row r="29" spans="1:7" s="214" customFormat="1" ht="13.5" customHeight="1">
      <c r="A29" s="776" t="s">
        <v>347</v>
      </c>
      <c r="B29" s="248" t="s">
        <v>1501</v>
      </c>
      <c r="C29" s="238">
        <f ca="1">ROUND(C21*F27*'数据-取费表'!B21/'数据-取费表'!B20,4)</f>
        <v>2.5999999999999999E-3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261711</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1112</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45" t="s">
        <v>1528</v>
      </c>
    </row>
    <row r="43" spans="1:7" ht="13.5" customHeight="1">
      <c r="A43" s="776" t="s">
        <v>347</v>
      </c>
      <c r="B43" s="215" t="s">
        <v>1529</v>
      </c>
      <c r="C43" s="238">
        <f ca="1">ROUND(IF('数据-取费表'!B22&lt;=1,C39*F22*'数据-取费表'!B21/2,C39*(POWER((1+F22),'数据-取费表'!B21/2)-1)),0)</f>
        <v>38</v>
      </c>
      <c r="D43" s="238"/>
      <c r="E43" s="238"/>
      <c r="F43" s="239"/>
      <c r="G43" s="3746"/>
    </row>
    <row r="44" spans="1:7" ht="13.5" customHeight="1">
      <c r="A44" s="776" t="s">
        <v>348</v>
      </c>
      <c r="B44" s="215" t="s">
        <v>1530</v>
      </c>
      <c r="C44" s="238">
        <f ca="1">ROUND(IF('数据-取费表'!B22&lt;=1,C40*F22*'数据-取费表'!B21/2,C40*(POWER((1+F22),'数据-取费表'!B21/2)-1)),4)</f>
        <v>6.9999999999999999E-4</v>
      </c>
      <c r="D44" s="238"/>
      <c r="E44" s="238"/>
      <c r="F44" s="239"/>
      <c r="G44" s="3747"/>
    </row>
    <row r="45" spans="1:7" s="214" customFormat="1" ht="13.5" customHeight="1">
      <c r="A45" s="255" t="s">
        <v>1531</v>
      </c>
      <c r="B45" s="244" t="s">
        <v>1497</v>
      </c>
      <c r="C45" s="245">
        <f ca="1">C46</f>
        <v>7373</v>
      </c>
      <c r="D45" s="235">
        <f ca="1">C47</f>
        <v>2.5999999999999999E-3</v>
      </c>
      <c r="E45" s="236" t="s">
        <v>1523</v>
      </c>
      <c r="F45" s="246">
        <f ca="1">F27</f>
        <v>0.13</v>
      </c>
      <c r="G45" s="247" t="s">
        <v>1532</v>
      </c>
    </row>
    <row r="46" spans="1:7" s="214" customFormat="1" ht="13.5" customHeight="1">
      <c r="A46" s="776" t="s">
        <v>346</v>
      </c>
      <c r="B46" s="248" t="s">
        <v>1533</v>
      </c>
      <c r="C46" s="249">
        <f ca="1">ROUND((C33+C39)*F27,0)</f>
        <v>7373</v>
      </c>
      <c r="D46" s="263"/>
      <c r="E46" s="236"/>
      <c r="F46" s="246"/>
      <c r="G46" s="247"/>
    </row>
    <row r="47" spans="1:7" s="214" customFormat="1" ht="13.5" customHeight="1">
      <c r="A47" s="776" t="s">
        <v>347</v>
      </c>
      <c r="B47" s="248" t="s">
        <v>1534</v>
      </c>
      <c r="C47" s="238">
        <f ca="1">ROUND(C40*F27,4)</f>
        <v>2.5999999999999999E-3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71522</v>
      </c>
      <c r="D49" s="232"/>
      <c r="E49" s="232"/>
      <c r="F49" s="264"/>
      <c r="G49" s="234" t="s">
        <v>1538</v>
      </c>
    </row>
    <row r="50" spans="1:7" s="258" customFormat="1" ht="24">
      <c r="A50" s="255" t="s">
        <v>1539</v>
      </c>
      <c r="B50" s="210" t="s">
        <v>1540</v>
      </c>
      <c r="C50" s="232"/>
      <c r="D50" s="232"/>
      <c r="E50" s="232"/>
      <c r="F50" s="264">
        <f>IF('数据-取费表'!B24=0,'数据-取费表'!N16,1)</f>
        <v>0.98</v>
      </c>
      <c r="G50" s="247" t="s">
        <v>1541</v>
      </c>
    </row>
    <row r="51" spans="1:7" ht="16.5" customHeight="1">
      <c r="A51" s="255" t="s">
        <v>1542</v>
      </c>
      <c r="B51" s="210" t="s">
        <v>1543</v>
      </c>
      <c r="C51" s="232">
        <f ca="1">ROUND(C49*F50,0)</f>
        <v>70092</v>
      </c>
      <c r="D51" s="232"/>
      <c r="E51" s="232"/>
      <c r="F51" s="264"/>
      <c r="G51" s="234" t="s">
        <v>1544</v>
      </c>
    </row>
    <row r="52" spans="1:7" s="208" customFormat="1" ht="16.5" thickBot="1">
      <c r="A52" s="265" t="s">
        <v>1545</v>
      </c>
      <c r="B52" s="266"/>
      <c r="C52" s="267">
        <f ca="1">C31+C51</f>
        <v>331803</v>
      </c>
      <c r="D52" s="266"/>
      <c r="E52" s="266"/>
      <c r="F52" s="266"/>
      <c r="G52" s="268"/>
    </row>
    <row r="55" spans="1:7" ht="15">
      <c r="B55" s="270" t="s">
        <v>1546</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81" t="s">
        <v>949</v>
      </c>
      <c r="B1" s="3581"/>
      <c r="C1" s="3581"/>
      <c r="D1" s="3581"/>
    </row>
    <row r="2" spans="1:4" ht="18">
      <c r="A2" s="3582" t="s">
        <v>933</v>
      </c>
      <c r="B2" s="3582"/>
      <c r="C2" s="3582"/>
      <c r="D2" s="3582"/>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82" t="s">
        <v>939</v>
      </c>
      <c r="B6" s="3582"/>
      <c r="C6" s="3582"/>
      <c r="D6" s="3582"/>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583" t="s">
        <v>942</v>
      </c>
      <c r="B11" s="3584"/>
      <c r="C11" s="3584"/>
      <c r="D11" s="3584"/>
    </row>
    <row r="12" spans="1:4" ht="15.75">
      <c r="A12" s="35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5"/>
      <c r="C12" s="3585"/>
      <c r="D12" s="3585"/>
    </row>
    <row r="13" spans="1:4" ht="30" customHeight="1">
      <c r="A13" s="35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5"/>
      <c r="C13" s="3585"/>
      <c r="D13" s="3585"/>
    </row>
    <row r="14" spans="1:4" ht="15.75" customHeight="1">
      <c r="A14" s="3584" t="str">
        <f>IF(项目基本情况!B8="抵押","4.本次评估估价师所知悉的法定优先受偿款情况说明如下：","——")</f>
        <v>4.本次评估估价师所知悉的法定优先受偿款情况说明如下：</v>
      </c>
      <c r="B14" s="3585"/>
      <c r="C14" s="3585"/>
      <c r="D14" s="3585"/>
    </row>
    <row r="15" spans="1:4" ht="42" customHeight="1">
      <c r="A15" s="35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4"/>
      <c r="C15" s="3584"/>
      <c r="D15" s="3584"/>
    </row>
    <row r="16" spans="1:4" ht="30" customHeight="1">
      <c r="A16" s="3587" t="s">
        <v>943</v>
      </c>
      <c r="B16" s="3587"/>
      <c r="C16" s="3587"/>
      <c r="D16" s="3587"/>
    </row>
    <row r="17" spans="1:4" ht="144" customHeight="1">
      <c r="A17" s="3587" t="s">
        <v>944</v>
      </c>
      <c r="B17" s="3587"/>
      <c r="C17" s="3587"/>
      <c r="D17" s="3587"/>
    </row>
    <row r="18" spans="1:4" ht="15.75" customHeight="1">
      <c r="A18" s="3584" t="str">
        <f>IF(项目基本情况!B8="抵押",结果表!K120,"——")</f>
        <v>故，本次评估不存在</v>
      </c>
      <c r="B18" s="3584"/>
      <c r="C18" s="3584"/>
      <c r="D18" s="3584"/>
    </row>
    <row r="19" spans="1:4" ht="46.5" customHeight="1">
      <c r="A19" s="35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4"/>
      <c r="C19" s="3584"/>
      <c r="D19" s="3584"/>
    </row>
    <row r="20" spans="1:4" ht="57.75" customHeight="1">
      <c r="A20" s="35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4"/>
      <c r="C20" s="3584"/>
      <c r="D20" s="3584"/>
    </row>
    <row r="21" spans="1:4" ht="57.75" customHeight="1">
      <c r="A21" s="35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8"/>
      <c r="C21" s="3588"/>
      <c r="D21" s="3588"/>
    </row>
    <row r="22" spans="1:4" ht="18.75" customHeight="1">
      <c r="A22" s="3589" t="s">
        <v>945</v>
      </c>
      <c r="B22" s="3589"/>
      <c r="C22" s="3589"/>
      <c r="D22" s="3589"/>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86">
        <v>42551</v>
      </c>
      <c r="D31" s="35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95" t="s">
        <v>956</v>
      </c>
      <c r="B15" s="3590" t="s">
        <v>109</v>
      </c>
      <c r="C15" s="3591"/>
    </row>
    <row r="16" spans="1:7" ht="13.5">
      <c r="A16" s="3596"/>
      <c r="B16" s="3590" t="s">
        <v>42</v>
      </c>
      <c r="C16" s="3591"/>
    </row>
    <row r="17" spans="1:3" ht="13.5">
      <c r="A17" s="3596"/>
      <c r="B17" s="3593" t="s">
        <v>957</v>
      </c>
      <c r="C17" s="1527" t="s">
        <v>956</v>
      </c>
    </row>
    <row r="18" spans="1:3" ht="13.5">
      <c r="A18" s="3596"/>
      <c r="B18" s="3593"/>
      <c r="C18" s="1527" t="s">
        <v>958</v>
      </c>
    </row>
    <row r="19" spans="1:3" ht="13.5">
      <c r="A19" s="3596"/>
      <c r="B19" s="3593"/>
      <c r="C19" s="1527" t="s">
        <v>959</v>
      </c>
    </row>
    <row r="20" spans="1:3" ht="13.5">
      <c r="A20" s="3597"/>
      <c r="B20" s="3592" t="s">
        <v>960</v>
      </c>
      <c r="C20" s="3591"/>
    </row>
    <row r="21" spans="1:3" ht="13.5">
      <c r="A21" s="1528" t="s">
        <v>961</v>
      </c>
      <c r="B21" s="1529"/>
      <c r="C21" s="1530"/>
    </row>
    <row r="22" spans="1:3" ht="13.5">
      <c r="A22" s="3594" t="s">
        <v>962</v>
      </c>
      <c r="B22" s="3592" t="s">
        <v>963</v>
      </c>
      <c r="C22" s="3591"/>
    </row>
    <row r="23" spans="1:3" ht="13.5">
      <c r="A23" s="3594"/>
      <c r="B23" s="3592" t="s">
        <v>964</v>
      </c>
      <c r="C23" s="3591"/>
    </row>
    <row r="24" spans="1:3" ht="13.5">
      <c r="A24" s="3594"/>
      <c r="B24" s="3592" t="s">
        <v>965</v>
      </c>
      <c r="C24" s="3591"/>
    </row>
    <row r="25" spans="1:3" ht="13.5">
      <c r="A25" s="3594"/>
      <c r="B25" s="3593" t="s">
        <v>966</v>
      </c>
      <c r="C25" s="1527" t="s">
        <v>967</v>
      </c>
    </row>
    <row r="26" spans="1:3" ht="13.5">
      <c r="A26" s="3594"/>
      <c r="B26" s="3593"/>
      <c r="C26" s="1527" t="s">
        <v>968</v>
      </c>
    </row>
    <row r="27" spans="1:3" ht="13.5">
      <c r="A27" s="3594"/>
      <c r="B27" s="3593"/>
      <c r="C27" s="1527" t="s">
        <v>969</v>
      </c>
    </row>
    <row r="28" spans="1:3" ht="13.5">
      <c r="A28" s="3594"/>
      <c r="B28" s="3593"/>
      <c r="C28" s="1527" t="s">
        <v>970</v>
      </c>
    </row>
    <row r="29" spans="1:3" ht="13.5">
      <c r="A29" s="3594"/>
      <c r="B29" s="3593"/>
      <c r="C29" s="1527" t="s">
        <v>971</v>
      </c>
    </row>
    <row r="30" spans="1:3" ht="13.5">
      <c r="A30" s="3594"/>
      <c r="B30" s="3593"/>
      <c r="C30" s="1527" t="s">
        <v>972</v>
      </c>
    </row>
    <row r="31" spans="1:3" ht="13.5">
      <c r="A31" s="3594"/>
      <c r="B31" s="3593"/>
      <c r="C31" s="1527" t="s">
        <v>973</v>
      </c>
    </row>
    <row r="32" spans="1:3" ht="13.5">
      <c r="A32" s="3594"/>
      <c r="B32" s="3593"/>
      <c r="C32" s="1527" t="s">
        <v>974</v>
      </c>
    </row>
    <row r="33" spans="1:3" ht="13.5">
      <c r="A33" s="3594"/>
      <c r="B33" s="3593"/>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2121</v>
      </c>
      <c r="B2" s="2334">
        <f ca="1">TODAY()</f>
        <v>45314</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f ca="1">IF(C6&lt;B2,"已过期",1120050019)</f>
        <v>1120050019</v>
      </c>
      <c r="C6" s="2340">
        <v>45410</v>
      </c>
      <c r="D6" s="2341" t="str">
        <f t="shared" ca="1" si="0"/>
        <v>王鹏（注册号：1120050019）</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f ca="1">IF(C13&lt;B2,"已过期",1120020033)</f>
        <v>1120020033</v>
      </c>
      <c r="C13" s="2340">
        <v>45375</v>
      </c>
      <c r="D13" s="2341" t="str">
        <f t="shared" ca="1" si="0"/>
        <v>刘敬东（注册号：1120020033）</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98" t="s">
        <v>2142</v>
      </c>
      <c r="B17" s="3598"/>
      <c r="C17" s="3598"/>
      <c r="D17" s="3598"/>
      <c r="E17" s="3598"/>
      <c r="F17" s="3598"/>
      <c r="G17" s="3598"/>
      <c r="H17" s="3598"/>
    </row>
    <row r="18" spans="1:8" ht="24" customHeight="1">
      <c r="A18" s="3599" t="s">
        <v>2143</v>
      </c>
      <c r="B18" s="3599"/>
      <c r="C18" s="3599"/>
      <c r="D18" s="2338"/>
      <c r="E18" s="3600" t="s">
        <v>2144</v>
      </c>
      <c r="F18" s="3599"/>
      <c r="G18" s="3599"/>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面积表</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vt:lpstr>
      <vt:lpstr>收益法办</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2024-01-23T01:19:33Z</dcterms:modified>
</cp:coreProperties>
</file>