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28" windowHeight="5472"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面积表" sheetId="87"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r:id="rId46"/>
    <sheet name="收益法（汇总）" sheetId="70" r:id="rId47"/>
    <sheet name="收益法" sheetId="15" r:id="rId48"/>
    <sheet name="收益法办" sheetId="90" r:id="rId49"/>
    <sheet name="租金" sheetId="93" r:id="rId50"/>
    <sheet name="收益法车" sheetId="91" r:id="rId51"/>
    <sheet name="基准地价修正" sheetId="43" r:id="rId52"/>
    <sheet name="基准地价修正办" sheetId="8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53">'基准地价（汇总）'!$A$1:$E$13</definedName>
    <definedName name="_xlnm.Print_Area" localSheetId="51">基准地价修正!$A$1:$J$44,基准地价修正!$A$47:$H$101,基准地价修正!$R$1:$V$16</definedName>
    <definedName name="_xlnm.Print_Area" localSheetId="52">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50">收益法车!$A$1:$F$43,收益法车!$H$3:$M$29,收益法车!$A$46:$F$71,收益法车!$I$46:$N$65</definedName>
    <definedName name="_xlnm.Print_Area" localSheetId="31">'收益法-地下'!$A$1:$F$43,'收益法-地下'!$H$3:$M$29,'收益法-地下'!$A$46:$F$71,'收益法-地下'!$I$46:$N$65</definedName>
    <definedName name="_xlnm.Print_Area" localSheetId="14">'数据-汇总表'!$A$1:$P$32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2">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S54" i="87" l="1"/>
  <c r="G25" i="88"/>
  <c r="T53" i="87"/>
  <c r="T54" i="87" s="1"/>
  <c r="E26" i="88"/>
  <c r="K44" i="88" s="1"/>
  <c r="K34" i="88"/>
  <c r="K43" i="88"/>
  <c r="K41" i="88"/>
  <c r="K33" i="88"/>
  <c r="G23" i="88"/>
  <c r="K32" i="88" s="1"/>
  <c r="Q33" i="87"/>
  <c r="Q32" i="87"/>
  <c r="T52" i="87" s="1"/>
  <c r="S52" i="87" s="1"/>
  <c r="Q28" i="87"/>
  <c r="T38" i="87" s="1"/>
  <c r="S38" i="87" s="1"/>
  <c r="Q29" i="87"/>
  <c r="Q30" i="87"/>
  <c r="T47" i="87" s="1"/>
  <c r="S47" i="87" s="1"/>
  <c r="Q31" i="87"/>
  <c r="Q27" i="87"/>
  <c r="T37" i="87" s="1"/>
  <c r="Q50" i="87"/>
  <c r="Q42" i="87"/>
  <c r="T39" i="87"/>
  <c r="S39" i="87" s="1"/>
  <c r="Q49" i="87"/>
  <c r="T46" i="87"/>
  <c r="S46" i="87" s="1"/>
  <c r="T48" i="87"/>
  <c r="S48" i="87" s="1"/>
  <c r="E27" i="88" l="1"/>
  <c r="K45" i="88" s="1"/>
  <c r="G26" i="88"/>
  <c r="S53" i="87"/>
  <c r="AF53" i="87" s="1"/>
  <c r="T41" i="87"/>
  <c r="S41" i="87" s="1"/>
  <c r="T44" i="87"/>
  <c r="S44" i="87" s="1"/>
  <c r="AF54" i="87"/>
  <c r="S37" i="87"/>
  <c r="T45" i="87"/>
  <c r="S45" i="87" s="1"/>
  <c r="T40" i="87"/>
  <c r="S40" i="87" s="1"/>
  <c r="J39" i="88"/>
  <c r="K35" i="88" l="1"/>
  <c r="G27" i="88"/>
  <c r="K36" i="88" s="1"/>
  <c r="I16" i="87"/>
  <c r="I15" i="87"/>
  <c r="I14" i="87"/>
  <c r="I8" i="93" l="1"/>
  <c r="J7" i="93" l="1"/>
  <c r="K7" i="93"/>
  <c r="K6" i="93"/>
  <c r="J6" i="93"/>
  <c r="G7" i="93"/>
  <c r="H7" i="93"/>
  <c r="I7" i="93"/>
  <c r="F7" i="93"/>
  <c r="F8" i="93"/>
  <c r="F4" i="93"/>
  <c r="G3" i="93"/>
  <c r="H3" i="93"/>
  <c r="I3" i="93"/>
  <c r="J3" i="93"/>
  <c r="K3" i="93"/>
  <c r="F3" i="93"/>
  <c r="G48" i="85" l="1"/>
  <c r="G34" i="85"/>
  <c r="E67" i="85"/>
  <c r="D67" i="85"/>
  <c r="E28" i="88" l="1"/>
  <c r="K48" i="88" s="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G28" i="88"/>
  <c r="F28" i="88"/>
  <c r="L41" i="88" l="1"/>
  <c r="J46" i="88"/>
  <c r="J37" i="88"/>
  <c r="L32" i="88"/>
  <c r="L37" i="88" s="1"/>
  <c r="K23" i="88" s="1"/>
  <c r="F30" i="88"/>
  <c r="G30" i="88" s="1"/>
  <c r="W8" i="1"/>
  <c r="W7" i="1"/>
  <c r="H27" i="88" l="1"/>
  <c r="I48" i="85"/>
  <c r="E48" i="85"/>
  <c r="F138" i="85"/>
  <c r="E138" i="85"/>
  <c r="D138" i="85"/>
  <c r="F134" i="85"/>
  <c r="E135" i="85"/>
  <c r="F135" i="85"/>
  <c r="E136" i="85"/>
  <c r="F136" i="85"/>
  <c r="D136" i="85"/>
  <c r="I34" i="85"/>
  <c r="E34" i="85"/>
  <c r="X3" i="92"/>
  <c r="E139" i="85" l="1"/>
  <c r="F139" i="85"/>
  <c r="AK7" i="1"/>
  <c r="AK8" i="1"/>
  <c r="H16" i="88"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C76" i="91"/>
  <c r="C76" i="90"/>
  <c r="K42" i="88" l="1"/>
  <c r="L42" i="88" s="1"/>
  <c r="L46" i="88" s="1"/>
  <c r="K24" i="88" s="1"/>
  <c r="Q71" i="91"/>
  <c r="D24" i="91"/>
  <c r="P61" i="91"/>
  <c r="D22" i="91"/>
  <c r="Q71" i="90"/>
  <c r="D24" i="90"/>
  <c r="P61" i="90"/>
  <c r="D22" i="90"/>
  <c r="F9" i="90"/>
  <c r="F6" i="90"/>
  <c r="M23" i="90"/>
  <c r="F16" i="90"/>
  <c r="M26" i="90"/>
  <c r="L47" i="90"/>
  <c r="F37" i="90"/>
  <c r="M9" i="90"/>
  <c r="F38" i="90"/>
  <c r="M8" i="91"/>
  <c r="M28" i="91"/>
  <c r="J15" i="91"/>
  <c r="M24" i="90"/>
  <c r="F40" i="91"/>
  <c r="F8" i="90"/>
  <c r="F40" i="90"/>
  <c r="F42" i="90"/>
  <c r="M23" i="91"/>
  <c r="F38" i="91"/>
  <c r="L47" i="91"/>
  <c r="F6" i="91"/>
  <c r="M26" i="91"/>
  <c r="F8" i="91"/>
  <c r="M27" i="90"/>
  <c r="F7" i="91"/>
  <c r="M22" i="91"/>
  <c r="M6" i="90"/>
  <c r="F36" i="91"/>
  <c r="M8" i="90"/>
  <c r="F37" i="91"/>
  <c r="F42" i="91"/>
  <c r="M24" i="91"/>
  <c r="F16" i="91"/>
  <c r="M22" i="90"/>
  <c r="M9" i="91"/>
  <c r="M6" i="91"/>
  <c r="F36" i="90"/>
  <c r="M28" i="90"/>
  <c r="F26" i="90"/>
  <c r="F26" i="91"/>
  <c r="F9" i="91"/>
  <c r="M27" i="91"/>
  <c r="J15" i="90"/>
  <c r="F68" i="91" l="1"/>
  <c r="F51" i="91"/>
  <c r="C6" i="91"/>
  <c r="M7" i="91"/>
  <c r="J6" i="91" s="1"/>
  <c r="F50" i="91"/>
  <c r="F66" i="91"/>
  <c r="F64" i="91"/>
  <c r="C27" i="91"/>
  <c r="F65" i="91"/>
  <c r="F68" i="90"/>
  <c r="F51" i="90"/>
  <c r="F66" i="90"/>
  <c r="C27" i="90"/>
  <c r="F64" i="90"/>
  <c r="F65" i="90"/>
  <c r="C49" i="91" l="1"/>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M12" i="89" l="1"/>
  <c r="N9" i="89"/>
  <c r="M1" i="89"/>
  <c r="M2" i="89"/>
  <c r="C6" i="89" s="1"/>
  <c r="D5" i="89" s="1"/>
  <c r="M7" i="89"/>
  <c r="C21" i="89"/>
  <c r="M3" i="89"/>
  <c r="S5" i="89"/>
  <c r="D21" i="89"/>
  <c r="J21" i="89"/>
  <c r="S4" i="89"/>
  <c r="S6" i="89"/>
  <c r="X7" i="89"/>
  <c r="C5"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H56" i="89"/>
  <c r="H53" i="89"/>
  <c r="H50" i="89"/>
  <c r="H58" i="89"/>
  <c r="H52" i="89"/>
  <c r="H57" i="89"/>
  <c r="H55" i="89"/>
  <c r="H54" i="89"/>
  <c r="H51" i="89"/>
  <c r="G21" i="89"/>
  <c r="H18" i="88" l="1"/>
  <c r="N7" i="1" s="1"/>
  <c r="Y7" i="1" l="1"/>
  <c r="N8" i="1"/>
  <c r="Y8" i="1" s="1"/>
  <c r="F13" i="90"/>
  <c r="F13" i="9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D3" i="4"/>
  <c r="C38" i="87" l="1"/>
  <c r="I12" i="87"/>
  <c r="I18" i="87" s="1"/>
  <c r="U4" i="43"/>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E5" i="3" s="1"/>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G27"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B13" i="76"/>
  <c r="F37" i="15"/>
  <c r="E2" i="68"/>
  <c r="B11" i="76"/>
  <c r="E12" i="76"/>
  <c r="F8" i="15"/>
  <c r="E11" i="76"/>
  <c r="M6" i="15"/>
  <c r="M23" i="15"/>
  <c r="M8" i="15"/>
  <c r="E9" i="76"/>
  <c r="M9" i="15"/>
  <c r="F3" i="73"/>
  <c r="M24" i="15"/>
  <c r="M26" i="15"/>
  <c r="E8" i="76"/>
  <c r="B12" i="76"/>
  <c r="F6" i="73"/>
  <c r="F13" i="15"/>
  <c r="E10" i="76"/>
  <c r="F42" i="15"/>
  <c r="F40" i="15"/>
  <c r="J15" i="15"/>
  <c r="F7" i="73"/>
  <c r="F38" i="15"/>
  <c r="F6" i="15"/>
  <c r="B10" i="76"/>
  <c r="F5" i="73"/>
  <c r="B8" i="76"/>
  <c r="F9" i="15"/>
  <c r="F20" i="31"/>
  <c r="F16" i="15"/>
  <c r="L48" i="90"/>
  <c r="E13" i="76"/>
  <c r="AO13" i="1"/>
  <c r="M22" i="15"/>
  <c r="E2" i="69"/>
  <c r="F26" i="15"/>
  <c r="F36" i="15"/>
  <c r="F4" i="73"/>
  <c r="C76" i="15"/>
  <c r="B9" i="76"/>
  <c r="M28" i="15"/>
  <c r="L47" i="15"/>
  <c r="BA33" i="3" l="1"/>
  <c r="BD5" i="3"/>
  <c r="BA28" i="3"/>
  <c r="AZ17" i="3"/>
  <c r="F39" i="6"/>
  <c r="D37" i="43"/>
  <c r="D37" i="89"/>
  <c r="H37" i="89" s="1"/>
  <c r="D42" i="43"/>
  <c r="H42" i="43" s="1"/>
  <c r="F20" i="6"/>
  <c r="D33" i="89" s="1"/>
  <c r="E21" i="6"/>
  <c r="K8" i="1" s="1"/>
  <c r="C21" i="68"/>
  <c r="L58" i="90"/>
  <c r="C28" i="90"/>
  <c r="C28" i="91"/>
  <c r="C32" i="91"/>
  <c r="C61" i="91"/>
  <c r="J19" i="91"/>
  <c r="J18" i="91"/>
  <c r="C33" i="91"/>
  <c r="F8" i="1"/>
  <c r="J51" i="90"/>
  <c r="L57" i="90" s="1"/>
  <c r="J51" i="91"/>
  <c r="G23" i="89"/>
  <c r="I24" i="89"/>
  <c r="C24" i="89" s="1"/>
  <c r="G44" i="89"/>
  <c r="C44" i="89" s="1"/>
  <c r="M59" i="91"/>
  <c r="D53" i="43"/>
  <c r="D56" i="43"/>
  <c r="D51" i="43"/>
  <c r="G1" i="69"/>
  <c r="F3" i="35"/>
  <c r="G1" i="67"/>
  <c r="G1" i="68"/>
  <c r="K1" i="12"/>
  <c r="BL39" i="3"/>
  <c r="BA23" i="3"/>
  <c r="AZ23" i="3" s="1"/>
  <c r="BL25" i="3"/>
  <c r="BL30" i="3"/>
  <c r="BA32" i="3"/>
  <c r="BA26" i="3"/>
  <c r="BL33" i="3"/>
  <c r="BL32" i="3"/>
  <c r="BA25" i="3"/>
  <c r="AZ25" i="3" s="1"/>
  <c r="BA34" i="3"/>
  <c r="AZ34" i="3" s="1"/>
  <c r="BA24" i="3"/>
  <c r="BA113" i="3"/>
  <c r="AZ113" i="3" s="1"/>
  <c r="BA22" i="3"/>
  <c r="AZ22" i="3" s="1"/>
  <c r="AZ26" i="3"/>
  <c r="BA31" i="3"/>
  <c r="AZ31" i="3" s="1"/>
  <c r="AZ33" i="3"/>
  <c r="BA66" i="3"/>
  <c r="BA83" i="3"/>
  <c r="BA91" i="3"/>
  <c r="BA92" i="3"/>
  <c r="BA98" i="3"/>
  <c r="BA100" i="3"/>
  <c r="BA101" i="3"/>
  <c r="BA104" i="3"/>
  <c r="BA105" i="3"/>
  <c r="BA27" i="3"/>
  <c r="BA29" i="3"/>
  <c r="BA30" i="3"/>
  <c r="AZ30" i="3" s="1"/>
  <c r="AZ32" i="3"/>
  <c r="BA35" i="3"/>
  <c r="AZ35" i="3" s="1"/>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BL28" i="3"/>
  <c r="BL34" i="3"/>
  <c r="BA36" i="3"/>
  <c r="AZ36" i="3" s="1"/>
  <c r="BA37" i="3"/>
  <c r="AZ37" i="3" s="1"/>
  <c r="BA38" i="3"/>
  <c r="AZ38" i="3" s="1"/>
  <c r="BL38" i="3"/>
  <c r="BA40" i="3"/>
  <c r="AZ40" i="3" s="1"/>
  <c r="BL16" i="3"/>
  <c r="AZ16" i="3" s="1"/>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37" i="81"/>
  <c r="F40" i="81"/>
  <c r="F13" i="67"/>
  <c r="F16" i="67"/>
  <c r="M26" i="67"/>
  <c r="F6" i="81"/>
  <c r="J15" i="81"/>
  <c r="M9" i="67"/>
  <c r="M22" i="67"/>
  <c r="F7" i="15"/>
  <c r="C16" i="15"/>
  <c r="F40" i="67"/>
  <c r="F42" i="67"/>
  <c r="F9" i="81"/>
  <c r="F26" i="67"/>
  <c r="L48" i="15"/>
  <c r="D7" i="73"/>
  <c r="M23" i="67"/>
  <c r="F38" i="81"/>
  <c r="M8" i="67"/>
  <c r="F37" i="67"/>
  <c r="M9" i="81"/>
  <c r="F6" i="67"/>
  <c r="L47" i="81"/>
  <c r="M22" i="81"/>
  <c r="M24" i="67"/>
  <c r="L47" i="67"/>
  <c r="F36" i="81"/>
  <c r="F16" i="81"/>
  <c r="L48" i="67"/>
  <c r="F8" i="81"/>
  <c r="M23" i="81"/>
  <c r="D4" i="73"/>
  <c r="L48" i="81"/>
  <c r="L48" i="91"/>
  <c r="M6" i="67"/>
  <c r="F7" i="67"/>
  <c r="M24" i="81"/>
  <c r="M29" i="91"/>
  <c r="F26" i="81"/>
  <c r="F13" i="81"/>
  <c r="M28" i="81"/>
  <c r="M6" i="81"/>
  <c r="M27" i="81"/>
  <c r="F42" i="81"/>
  <c r="D6" i="73"/>
  <c r="D5" i="73"/>
  <c r="M28" i="67"/>
  <c r="M29" i="81"/>
  <c r="F43" i="15"/>
  <c r="F43" i="81"/>
  <c r="C76" i="81"/>
  <c r="F38" i="67"/>
  <c r="M8" i="81"/>
  <c r="D3" i="73"/>
  <c r="F36" i="67"/>
  <c r="F9" i="67"/>
  <c r="M29" i="67"/>
  <c r="C76" i="67"/>
  <c r="M26" i="81"/>
  <c r="J15" i="67"/>
  <c r="F43" i="67"/>
  <c r="F8" i="67"/>
  <c r="F43" i="91"/>
  <c r="F7" i="81"/>
  <c r="M29" i="15"/>
  <c r="AZ28" i="3" l="1"/>
  <c r="E20" i="6"/>
  <c r="K7" i="1" s="1"/>
  <c r="AZ24" i="3"/>
  <c r="F71" i="91"/>
  <c r="M8" i="1"/>
  <c r="AH19" i="1"/>
  <c r="D28" i="88"/>
  <c r="K25" i="88" s="1"/>
  <c r="L48" i="88" s="1"/>
  <c r="H37" i="43"/>
  <c r="AZ27" i="3"/>
  <c r="D1" i="89"/>
  <c r="M59" i="15"/>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M11" i="91"/>
  <c r="J10" i="91" s="1"/>
  <c r="J5"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F43" i="90"/>
  <c r="M29" i="90"/>
  <c r="F7" i="90"/>
  <c r="G1" i="73"/>
  <c r="C16" i="81"/>
  <c r="C16" i="91"/>
  <c r="C16" i="67"/>
  <c r="C16" i="90"/>
  <c r="F41" i="81"/>
  <c r="M7" i="90" l="1"/>
  <c r="J6" i="90" s="1"/>
  <c r="J18" i="90" s="1"/>
  <c r="C6" i="90"/>
  <c r="C32" i="90" s="1"/>
  <c r="F50" i="90"/>
  <c r="C49" i="90" s="1"/>
  <c r="C61" i="90" s="1"/>
  <c r="F71" i="90"/>
  <c r="D30" i="88"/>
  <c r="E30" i="88" s="1"/>
  <c r="H30" i="88" s="1"/>
  <c r="K26" i="88"/>
  <c r="F31" i="6"/>
  <c r="K38" i="6"/>
  <c r="C32" i="15"/>
  <c r="Q74" i="67"/>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J24" i="91"/>
  <c r="C29" i="69"/>
  <c r="D27" i="69" s="1"/>
  <c r="Q73" i="67"/>
  <c r="C53" i="90"/>
  <c r="Q52" i="67"/>
  <c r="C49" i="67"/>
  <c r="AZ5" i="3"/>
  <c r="E3" i="6" s="1"/>
  <c r="D3" i="21"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34"/>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67"/>
  <c r="M27" i="15"/>
  <c r="AE7" i="1"/>
  <c r="AE6" i="1"/>
  <c r="AE8" i="1"/>
  <c r="M27" i="67"/>
  <c r="C10" i="90" l="1"/>
  <c r="C5" i="90" s="1"/>
  <c r="C38" i="90" s="1"/>
  <c r="C33" i="90"/>
  <c r="C48" i="90"/>
  <c r="C60" i="90" s="1"/>
  <c r="J5" i="90"/>
  <c r="C15" i="93"/>
  <c r="D15" i="93" s="1"/>
  <c r="J19" i="90"/>
  <c r="D3" i="37"/>
  <c r="M18" i="9"/>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I42" i="89" s="1"/>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K20" i="6"/>
  <c r="E31" i="6"/>
  <c r="H38" i="6" s="1"/>
  <c r="K25" i="6"/>
  <c r="M25" i="6" s="1"/>
  <c r="I25" i="6" s="1"/>
  <c r="S25" i="6" s="1"/>
  <c r="K21" i="6"/>
  <c r="S8" i="1" s="1"/>
  <c r="BA6" i="3"/>
  <c r="E6" i="3"/>
  <c r="F34" i="85"/>
  <c r="H34" i="85"/>
  <c r="F46" i="85"/>
  <c r="J46" i="85"/>
  <c r="H46" i="85"/>
  <c r="W7" i="85"/>
  <c r="AC7" i="85"/>
  <c r="AA7" i="85"/>
  <c r="S7" i="85"/>
  <c r="U7" i="85"/>
  <c r="AB7" i="85"/>
  <c r="K25" i="9"/>
  <c r="L25" i="9"/>
  <c r="B118" i="9"/>
  <c r="J26" i="81"/>
  <c r="J29" i="81" s="1"/>
  <c r="C48" i="81"/>
  <c r="C60" i="81" s="1"/>
  <c r="F69" i="67"/>
  <c r="AY551" i="3"/>
  <c r="AY424" i="3"/>
  <c r="AY571" i="3"/>
  <c r="AY151" i="3"/>
  <c r="AY30" i="3"/>
  <c r="AY587" i="3"/>
  <c r="AY161" i="3"/>
  <c r="AY486" i="3"/>
  <c r="AY152" i="3"/>
  <c r="BK6" i="3"/>
  <c r="AY290" i="3"/>
  <c r="AY75" i="3"/>
  <c r="AY126" i="3"/>
  <c r="AY525" i="3"/>
  <c r="AY343" i="3"/>
  <c r="AY88" i="3"/>
  <c r="AY96" i="3"/>
  <c r="AY442" i="3"/>
  <c r="AY127" i="3"/>
  <c r="AY512" i="3"/>
  <c r="AY273" i="3"/>
  <c r="AY550" i="3"/>
  <c r="AY321" i="3"/>
  <c r="AY110" i="3"/>
  <c r="AY528" i="3"/>
  <c r="AY413"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0" i="11"/>
  <c r="C10" i="11" s="1"/>
  <c r="D20" i="12"/>
  <c r="C20" i="12" s="1"/>
  <c r="D1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F41" i="90"/>
  <c r="C17" i="81"/>
  <c r="C17" i="67"/>
  <c r="C17" i="91"/>
  <c r="F41" i="15"/>
  <c r="C17" i="15"/>
  <c r="F41" i="91"/>
  <c r="C14" i="91"/>
  <c r="C17" i="90"/>
  <c r="C14" i="67"/>
  <c r="D11" i="6" l="1"/>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A10" i="51"/>
  <c r="B9"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C14" i="81"/>
  <c r="M21" i="81"/>
  <c r="C14" i="90"/>
  <c r="C14" i="15"/>
  <c r="A7" i="51" l="1"/>
  <c r="B7" i="72" s="1"/>
  <c r="D27" i="6"/>
  <c r="R20" i="6"/>
  <c r="R7" i="1" s="1"/>
  <c r="C19" i="91"/>
  <c r="C20" i="91" s="1"/>
  <c r="C26" i="91" s="1"/>
  <c r="E2" i="70"/>
  <c r="C23" i="91"/>
  <c r="C29" i="91" s="1"/>
  <c r="Q49" i="91" s="1"/>
  <c r="C18" i="90"/>
  <c r="C15" i="90"/>
  <c r="C8" i="88"/>
  <c r="E8" i="88" s="1"/>
  <c r="C10" i="88"/>
  <c r="C7" i="88"/>
  <c r="E7" i="88" s="1"/>
  <c r="E10"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I5" i="6" l="1"/>
  <c r="I6" i="6"/>
  <c r="C19" i="90"/>
  <c r="C20" i="90" s="1"/>
  <c r="C26" i="90" s="1"/>
  <c r="D10" i="88"/>
  <c r="G10" i="88"/>
  <c r="G3" i="43"/>
  <c r="E26" i="43" s="1"/>
  <c r="I7" i="6"/>
  <c r="G3" i="89"/>
  <c r="J59" i="91"/>
  <c r="J60" i="91" s="1"/>
  <c r="Q48" i="91" s="1"/>
  <c r="C13" i="91"/>
  <c r="J14" i="91"/>
  <c r="J13" i="91" s="1"/>
  <c r="J23" i="91" s="1"/>
  <c r="C36" i="91"/>
  <c r="C57" i="91"/>
  <c r="C64" i="91"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N94" i="46"/>
  <c r="Z7" i="43"/>
  <c r="J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G26" i="43" l="1"/>
  <c r="H26" i="43"/>
  <c r="N370" i="46"/>
  <c r="C56" i="91"/>
  <c r="C65" i="91" s="1"/>
  <c r="C58" i="91" s="1"/>
  <c r="C67" i="91" s="1"/>
  <c r="C68" i="91" s="1"/>
  <c r="C71" i="91" s="1"/>
  <c r="I36" i="91"/>
  <c r="C23" i="90"/>
  <c r="C29" i="90" s="1"/>
  <c r="C36" i="90" s="1"/>
  <c r="F26" i="89"/>
  <c r="J26" i="89"/>
  <c r="Z7" i="89"/>
  <c r="H26" i="89"/>
  <c r="B116" i="89"/>
  <c r="G26" i="89"/>
  <c r="E26" i="89"/>
  <c r="C37" i="91"/>
  <c r="C30" i="91" s="1"/>
  <c r="C39" i="91" s="1"/>
  <c r="L46" i="91"/>
  <c r="Q70" i="91"/>
  <c r="C75" i="91"/>
  <c r="J22" i="91"/>
  <c r="J16" i="91" s="1"/>
  <c r="J25" i="91" s="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90"/>
  <c r="F35" i="67"/>
  <c r="M21" i="67"/>
  <c r="F35" i="15"/>
  <c r="M21" i="15"/>
  <c r="F35" i="90"/>
  <c r="V53" i="87" l="1"/>
  <c r="C57" i="90"/>
  <c r="C64" i="90" s="1"/>
  <c r="J59" i="90"/>
  <c r="J60" i="90" s="1"/>
  <c r="Q48" i="90" s="1"/>
  <c r="C13" i="90"/>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C80" i="91"/>
  <c r="C79" i="91" s="1"/>
  <c r="C40" i="91"/>
  <c r="Q47" i="91" s="1"/>
  <c r="Q53" i="91" s="1"/>
  <c r="Q69" i="91"/>
  <c r="Q68" i="91"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1"/>
  <c r="E6" i="76"/>
  <c r="Q70" i="15" l="1"/>
  <c r="I35" i="15"/>
  <c r="C37" i="90"/>
  <c r="C30" i="90" s="1"/>
  <c r="C39" i="90" s="1"/>
  <c r="Q69" i="90" s="1"/>
  <c r="I41" i="90"/>
  <c r="C75" i="90"/>
  <c r="Q70" i="90"/>
  <c r="C56" i="90"/>
  <c r="C65" i="90" s="1"/>
  <c r="C58" i="90" s="1"/>
  <c r="C67" i="90" s="1"/>
  <c r="C68" i="90" s="1"/>
  <c r="C71" i="90" s="1"/>
  <c r="J22" i="90"/>
  <c r="J16" i="90" s="1"/>
  <c r="J25" i="90" s="1"/>
  <c r="L46" i="90"/>
  <c r="C118" i="89"/>
  <c r="D116" i="89" s="1"/>
  <c r="C33" i="89"/>
  <c r="Q25" i="87" s="1"/>
  <c r="T49" i="87" s="1"/>
  <c r="S49" i="87" s="1"/>
  <c r="S56" i="87" s="1"/>
  <c r="S51" i="87" s="1"/>
  <c r="B2" i="91"/>
  <c r="B3" i="91" s="1"/>
  <c r="Q67" i="91"/>
  <c r="C46" i="91"/>
  <c r="C83" i="91"/>
  <c r="C82" i="91" s="1"/>
  <c r="C43" i="91"/>
  <c r="Q56" i="91"/>
  <c r="Q62" i="91" s="1"/>
  <c r="Q65" i="91"/>
  <c r="Q75" i="91" s="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1"/>
  <c r="V37" i="87" l="1"/>
  <c r="V44" i="87" s="1"/>
  <c r="V54" i="87"/>
  <c r="U54" i="87" s="1"/>
  <c r="U53" i="87"/>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90"/>
  <c r="D2" i="33"/>
  <c r="L51" i="67"/>
  <c r="E7" i="76"/>
  <c r="U44" i="87" l="1"/>
  <c r="AG44" i="87" s="1"/>
  <c r="W53" i="87"/>
  <c r="AG53" i="87"/>
  <c r="AH53" i="87" s="1"/>
  <c r="W54" i="87"/>
  <c r="AG54" i="87"/>
  <c r="AH54" i="87" s="1"/>
  <c r="Q65" i="90"/>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7" i="76"/>
  <c r="L51" i="15"/>
  <c r="D2" i="34"/>
  <c r="D2" i="37"/>
  <c r="D2" i="35"/>
  <c r="D2" i="36"/>
  <c r="V45" i="87" l="1"/>
  <c r="V46" i="87" s="1"/>
  <c r="W44" i="87"/>
  <c r="V52" i="87"/>
  <c r="U52" i="87" s="1"/>
  <c r="W52" i="87" s="1"/>
  <c r="B3" i="90"/>
  <c r="AH49" i="87"/>
  <c r="AH57" i="87" s="1"/>
  <c r="V38" i="87"/>
  <c r="U37" i="87"/>
  <c r="AG37" i="87" s="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12" i="1"/>
  <c r="AO9" i="1"/>
  <c r="AO8" i="1"/>
  <c r="AO11" i="1"/>
  <c r="AO7" i="1"/>
  <c r="U45" i="87" l="1"/>
  <c r="AG45" i="87" s="1"/>
  <c r="AG52" i="87"/>
  <c r="W37" i="87"/>
  <c r="V47" i="87"/>
  <c r="U46" i="87"/>
  <c r="V39" i="87"/>
  <c r="U38" i="87"/>
  <c r="B3" i="76"/>
  <c r="C6" i="68"/>
  <c r="R48" i="39"/>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W45" i="87" l="1"/>
  <c r="W46" i="87"/>
  <c r="AG46" i="87"/>
  <c r="W38" i="87"/>
  <c r="AG38" i="87"/>
  <c r="V48" i="87"/>
  <c r="U47" i="87"/>
  <c r="V40" i="87"/>
  <c r="U39" i="87"/>
  <c r="N15" i="87"/>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N44" i="88" l="1"/>
  <c r="AD47" i="87" s="1"/>
  <c r="N42" i="88"/>
  <c r="AD45" i="87" s="1"/>
  <c r="N45" i="88"/>
  <c r="AD48" i="87" s="1"/>
  <c r="N43" i="88"/>
  <c r="AD46" i="87" s="1"/>
  <c r="N41" i="88"/>
  <c r="AD44" i="87" s="1"/>
  <c r="N32" i="88"/>
  <c r="AD37" i="87" s="1"/>
  <c r="N35" i="88"/>
  <c r="AD40" i="87" s="1"/>
  <c r="N33" i="88"/>
  <c r="AD38" i="87" s="1"/>
  <c r="N36" i="88"/>
  <c r="AD41" i="87" s="1"/>
  <c r="N34" i="88"/>
  <c r="AD39" i="87" s="1"/>
  <c r="W47" i="87"/>
  <c r="AG47" i="87"/>
  <c r="W39" i="87"/>
  <c r="AG39" i="87"/>
  <c r="V49" i="87"/>
  <c r="U49" i="87" s="1"/>
  <c r="U48" i="87"/>
  <c r="V41" i="87"/>
  <c r="U41" i="87" s="1"/>
  <c r="U40" i="87"/>
  <c r="AG40" i="87" s="1"/>
  <c r="M23" i="88"/>
  <c r="L12" i="87" s="1"/>
  <c r="M24" i="88"/>
  <c r="L13" i="87" s="1"/>
  <c r="M25" i="88"/>
  <c r="L14" i="87" s="1"/>
  <c r="B2" i="70"/>
  <c r="B3" i="70" s="1"/>
  <c r="N16" i="87"/>
  <c r="O16" i="87" s="1"/>
  <c r="F65" i="39"/>
  <c r="B2" i="39" s="1"/>
  <c r="C5" i="71"/>
  <c r="D5" i="71" s="1"/>
  <c r="M24" i="43" s="1"/>
  <c r="D6" i="71"/>
  <c r="C42" i="40"/>
  <c r="C43" i="40"/>
  <c r="E47" i="40"/>
  <c r="F47" i="40" s="1"/>
  <c r="E46" i="40"/>
  <c r="F46" i="40" s="1"/>
  <c r="I47" i="40"/>
  <c r="J47" i="40" s="1"/>
  <c r="N46" i="88" l="1"/>
  <c r="N37" i="88"/>
  <c r="O14" i="87"/>
  <c r="O13" i="87"/>
  <c r="O12" i="87"/>
  <c r="W49" i="87"/>
  <c r="AG49" i="87"/>
  <c r="AG57" i="87" s="1"/>
  <c r="W48" i="87"/>
  <c r="AG48" i="87"/>
  <c r="W41" i="87"/>
  <c r="AG41" i="87"/>
  <c r="W40" i="87"/>
  <c r="U56" i="87"/>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AF49" i="87" l="1"/>
  <c r="AF57" i="87" s="1"/>
  <c r="AG42" i="87"/>
  <c r="N48" i="88"/>
  <c r="AD52" i="87" s="1"/>
  <c r="O18" i="87"/>
  <c r="W56" i="87"/>
  <c r="AG50" i="87"/>
  <c r="C7" i="68"/>
  <c r="C5" i="68" s="1"/>
  <c r="AG55" i="87" l="1"/>
  <c r="AG58" i="87" s="1"/>
  <c r="AG59" i="87" s="1"/>
  <c r="AD57" i="87"/>
  <c r="O19" i="87"/>
  <c r="C23" i="68"/>
  <c r="C20" i="68"/>
  <c r="C25" i="68" s="1"/>
  <c r="C28" i="68" l="1"/>
  <c r="C27" i="68" s="1"/>
  <c r="C22" i="68"/>
  <c r="C31" i="68" l="1"/>
  <c r="C52" i="68" s="1"/>
  <c r="B2" i="68" s="1"/>
  <c r="C19" i="9"/>
  <c r="D19" i="9"/>
  <c r="C102" i="9" l="1"/>
  <c r="C21" i="9"/>
  <c r="C57" i="68"/>
  <c r="C56" i="68" s="1"/>
  <c r="G19" i="9"/>
  <c r="D58" i="9" s="1"/>
  <c r="D22" i="9"/>
  <c r="D21" i="9"/>
  <c r="D102" i="9"/>
  <c r="B3" i="68"/>
  <c r="D59" i="9"/>
  <c r="M55" i="9" s="1"/>
  <c r="D20" i="9"/>
  <c r="D34" i="9"/>
  <c r="D35" i="9"/>
  <c r="C20" i="9"/>
  <c r="J29" i="9" l="1"/>
  <c r="C103" i="9"/>
  <c r="G21" i="9"/>
  <c r="P36" i="9"/>
  <c r="G20" i="9"/>
  <c r="C32" i="9" s="1"/>
  <c r="D103" i="9"/>
  <c r="P34" i="9" l="1"/>
  <c r="C35" i="9"/>
  <c r="H118" i="9"/>
  <c r="J10" i="87" s="1"/>
  <c r="J13" i="87" l="1"/>
  <c r="J14" i="87"/>
  <c r="J15" i="87"/>
  <c r="J16" i="87"/>
  <c r="J12" i="87"/>
  <c r="H4" i="52"/>
  <c r="C104" i="9"/>
  <c r="H119" i="9"/>
  <c r="H5" i="52" s="1"/>
  <c r="I118" i="9"/>
  <c r="H101" i="9"/>
  <c r="C34" i="9"/>
  <c r="D118" i="9" s="1"/>
  <c r="F118" i="9"/>
  <c r="J18" i="87" l="1"/>
  <c r="G118" i="9"/>
  <c r="G4" i="52" s="1"/>
  <c r="B52" i="72" s="1"/>
  <c r="F119" i="9"/>
  <c r="F5" i="52" s="1"/>
  <c r="B53" i="72" s="1"/>
  <c r="F4" i="52"/>
  <c r="B51" i="72" s="1"/>
  <c r="D45" i="9"/>
  <c r="D14" i="74"/>
  <c r="X35" i="87" s="1"/>
  <c r="M48" i="9"/>
  <c r="D5" i="53"/>
  <c r="H107" i="9"/>
  <c r="D4" i="52"/>
  <c r="B47" i="72" s="1"/>
  <c r="D119" i="9"/>
  <c r="D5" i="52" s="1"/>
  <c r="B49" i="72" s="1"/>
  <c r="C105" i="9"/>
  <c r="H102" i="9"/>
  <c r="D7" i="53" s="1"/>
  <c r="B21" i="72" s="1"/>
  <c r="I4" i="52"/>
  <c r="X45" i="87" l="1"/>
  <c r="Y45" i="87" s="1"/>
  <c r="AH55" i="87"/>
  <c r="AH58" i="87" s="1"/>
  <c r="AH59" i="87" s="1"/>
  <c r="AI53" i="87"/>
  <c r="AI54" i="87"/>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AF55" i="87" l="1"/>
  <c r="AF58" i="87" s="1"/>
  <c r="AF52" i="87" s="1"/>
  <c r="AH52" i="87" s="1"/>
  <c r="AA48" i="87"/>
  <c r="AB48" i="87" s="1"/>
  <c r="X53" i="87"/>
  <c r="Y53" i="87" s="1"/>
  <c r="X41" i="87"/>
  <c r="Y41" i="87" s="1"/>
  <c r="X46" i="87"/>
  <c r="Y46" i="87" s="1"/>
  <c r="AA40" i="87"/>
  <c r="AB40" i="87" s="1"/>
  <c r="AA52" i="87"/>
  <c r="AB52" i="87" s="1"/>
  <c r="X40" i="87"/>
  <c r="Y40" i="87" s="1"/>
  <c r="X49" i="87"/>
  <c r="Y49" i="87" s="1"/>
  <c r="X52" i="87"/>
  <c r="Y52" i="87" s="1"/>
  <c r="AA41" i="87"/>
  <c r="AB41" i="87" s="1"/>
  <c r="AA44" i="87"/>
  <c r="AB44" i="87" s="1"/>
  <c r="AA47" i="87"/>
  <c r="AB47" i="87" s="1"/>
  <c r="AA53" i="87"/>
  <c r="AB53" i="87" s="1"/>
  <c r="X39" i="87"/>
  <c r="Y39" i="87" s="1"/>
  <c r="X38" i="87"/>
  <c r="Y38" i="87" s="1"/>
  <c r="X37" i="87"/>
  <c r="Y37" i="87" s="1"/>
  <c r="X47" i="87"/>
  <c r="Y47" i="87" s="1"/>
  <c r="X44" i="87"/>
  <c r="Y44" i="87" s="1"/>
  <c r="X48" i="87"/>
  <c r="Y48" i="87" s="1"/>
  <c r="X54" i="87"/>
  <c r="Y54" i="87" s="1"/>
  <c r="AA39" i="87"/>
  <c r="AB39" i="87" s="1"/>
  <c r="AA38" i="87"/>
  <c r="AB38" i="87" s="1"/>
  <c r="AA37" i="87"/>
  <c r="AB37" i="87" s="1"/>
  <c r="AA46" i="87"/>
  <c r="AB46" i="87" s="1"/>
  <c r="AA45" i="87"/>
  <c r="AB45" i="87" s="1"/>
  <c r="AA49" i="87"/>
  <c r="AB49" i="87" s="1"/>
  <c r="AA54" i="87"/>
  <c r="AB54" i="87" s="1"/>
  <c r="AI49" i="87"/>
  <c r="D48" i="9"/>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AF48" i="87" l="1"/>
  <c r="AH48" i="87" s="1"/>
  <c r="AF46" i="87"/>
  <c r="AF44" i="87"/>
  <c r="AF47" i="87"/>
  <c r="AF45" i="87"/>
  <c r="AF40" i="87"/>
  <c r="AF38" i="87"/>
  <c r="AF41" i="87"/>
  <c r="AF39" i="87"/>
  <c r="AF59" i="87"/>
  <c r="AF37" i="87"/>
  <c r="AA56" i="87"/>
  <c r="X56" i="87"/>
  <c r="AI52" i="87"/>
  <c r="C80" i="9"/>
  <c r="E80" i="9" s="1"/>
  <c r="E81" i="9" s="1"/>
  <c r="M69" i="9"/>
  <c r="N69" i="9" s="1"/>
  <c r="C96" i="9"/>
  <c r="E96" i="9" s="1"/>
  <c r="E97" i="9" s="1"/>
  <c r="AH61" i="87" l="1"/>
  <c r="AI61" i="87" s="1"/>
  <c r="C81" i="9"/>
  <c r="C97" i="9"/>
  <c r="D56" i="9" s="1"/>
  <c r="M54" i="9" l="1"/>
  <c r="N57" i="9" s="1"/>
  <c r="P57" i="9" s="1"/>
  <c r="N58" i="9" l="1"/>
  <c r="N59" i="9"/>
  <c r="H111" i="9" l="1"/>
  <c r="D19" i="53" s="1"/>
  <c r="B38" i="72" s="1"/>
  <c r="K10" i="87"/>
  <c r="N60" i="9"/>
  <c r="N61" i="9"/>
  <c r="H112" i="9" s="1"/>
  <c r="P37" i="9"/>
  <c r="P38" i="9" s="1"/>
  <c r="P39" i="9" s="1"/>
  <c r="J19" i="9"/>
  <c r="D126" i="9" l="1"/>
  <c r="D12" i="52" s="1"/>
  <c r="K12" i="87"/>
  <c r="K14" i="87"/>
  <c r="K16" i="87"/>
  <c r="K13" i="87"/>
  <c r="K15" i="87"/>
  <c r="D21" i="53"/>
  <c r="B39" i="72" s="1"/>
  <c r="D20" i="53"/>
  <c r="B40" i="72" s="1"/>
  <c r="D135" i="85"/>
  <c r="I14" i="74" l="1"/>
  <c r="B8" i="74" s="1"/>
  <c r="D127" i="9"/>
  <c r="D13" i="52" s="1"/>
  <c r="K18" i="87"/>
  <c r="D8" i="74" l="1"/>
  <c r="AJ58" i="87"/>
  <c r="C8" i="74"/>
  <c r="AJ53" i="87" l="1"/>
  <c r="AJ52" i="87"/>
  <c r="AJ49" i="87"/>
  <c r="AH37" i="87" l="1"/>
  <c r="AJ37" i="87" s="1"/>
  <c r="AH47" i="87"/>
  <c r="AH45" i="87"/>
  <c r="AH46" i="87"/>
  <c r="AH40" i="87"/>
  <c r="AH41" i="87"/>
  <c r="AH39" i="87"/>
  <c r="AI37" i="87" l="1"/>
  <c r="AH44" i="87"/>
  <c r="AH50" i="87" s="1"/>
  <c r="AF50" i="87"/>
  <c r="AI48" i="87"/>
  <c r="AJ48" i="87"/>
  <c r="AI47" i="87"/>
  <c r="AJ47" i="87"/>
  <c r="AI46" i="87"/>
  <c r="AJ46" i="87"/>
  <c r="AI45" i="87"/>
  <c r="AJ45" i="87"/>
  <c r="AH38" i="87"/>
  <c r="AF42" i="87"/>
  <c r="AI41" i="87"/>
  <c r="AJ41" i="87"/>
  <c r="AI40" i="87"/>
  <c r="AJ40" i="87"/>
  <c r="AI39" i="87"/>
  <c r="AJ39" i="87"/>
  <c r="AI44" i="87" l="1"/>
  <c r="AI50" i="87"/>
  <c r="AJ44" i="87"/>
  <c r="AJ50" i="87" s="1"/>
  <c r="AI38" i="87"/>
  <c r="AJ38" i="87"/>
  <c r="AJ42" i="87" s="1"/>
  <c r="AJ54" i="87" s="1"/>
  <c r="AH42" i="87"/>
  <c r="AI42" i="87" s="1"/>
  <c r="AJ55" i="8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<sst xmlns="http://schemas.openxmlformats.org/spreadsheetml/2006/main" count="12630" uniqueCount="4432">
  <si>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</si>
  <si>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</si>
  <si>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</si>
  <si>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</si>
  <si>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</si>
  <si>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</si>
  <si>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</si>
  <si>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</si>
  <si>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</si>
  <si>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</si>
  <si>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</si>
  <si>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</si>
  <si>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</si>
  <si>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</si>
  <si>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</si>
  <si>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</si>
  <si>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</si>
  <si>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</si>
  <si>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</si>
  <si>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</si>
  <si>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</si>
  <si>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</si>
  <si>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</si>
  <si>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</si>
  <si>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</si>
  <si>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</si>
  <si>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</si>
  <si>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</si>
  <si>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</si>
  <si>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</si>
  <si>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</si>
  <si>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</si>
  <si>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</si>
  <si>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</si>
  <si>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</si>
  <si>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</si>
  <si>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</si>
  <si>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</si>
  <si>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</si>
  <si>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</si>
  <si>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</si>
  <si>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</si>
  <si>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</si>
  <si>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</si>
  <si>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</si>
  <si>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</si>
  <si>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</si>
  <si>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</si>
  <si>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</si>
  <si>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</si>
  <si>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</si>
  <si>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</si>
  <si>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</si>
  <si>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</si>
  <si>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</si>
  <si>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</si>
  <si>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</si>
  <si>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</si>
  <si>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</si>
  <si>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</si>
  <si>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</si>
  <si>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</si>
  <si>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</si>
  <si>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</si>
  <si>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</si>
  <si>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</si>
  <si>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</si>
  <si>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</si>
  <si>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</si>
  <si>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</si>
  <si>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</si>
  <si>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</si>
  <si>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</si>
  <si>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</si>
  <si>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</si>
  <si>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</si>
  <si>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</si>
  <si>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</si>
  <si>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</si>
  <si>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</si>
  <si>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</si>
  <si>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</si>
  <si>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</si>
  <si>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</si>
  <si>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</si>
  <si>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</si>
  <si>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</si>
  <si>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</si>
  <si>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</si>
  <si>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</si>
  <si>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</si>
  <si>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</si>
  <si>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</si>
  <si>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</si>
  <si>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</si>
  <si>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</si>
  <si>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</si>
  <si>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</si>
  <si>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</si>
  <si>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</si>
  <si>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</si>
  <si>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</si>
  <si>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</si>
  <si>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</si>
  <si>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</si>
  <si>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</si>
  <si>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</si>
  <si>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</si>
  <si>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</si>
  <si>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</si>
  <si>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</si>
  <si>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</si>
  <si>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</si>
  <si>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</si>
  <si>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</si>
  <si>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</si>
  <si>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</si>
  <si>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</si>
  <si>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</si>
  <si>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</si>
  <si>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</si>
  <si>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</si>
  <si>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</si>
  <si>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</si>
  <si>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</si>
  <si>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</si>
  <si>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</si>
  <si>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</si>
  <si>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</si>
  <si>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</si>
  <si>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</si>
  <si>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</si>
  <si>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</si>
  <si>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</si>
  <si>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</si>
  <si>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</si>
  <si>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</si>
  <si>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</si>
  <si>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</si>
  <si>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</si>
  <si>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</si>
  <si>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</si>
  <si>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</si>
  <si>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</si>
  <si>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</si>
  <si>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</si>
  <si>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</si>
  <si>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</si>
  <si>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</si>
  <si>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</si>
  <si>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</si>
  <si>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</si>
  <si>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</si>
  <si>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</si>
  <si>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</si>
  <si>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</si>
  <si>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</si>
  <si>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</si>
  <si>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</si>
  <si>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</si>
  <si>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</si>
  <si>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</si>
  <si>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</si>
  <si>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</si>
  <si>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</si>
  <si>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</si>
  <si>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</si>
  <si>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</si>
  <si>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</si>
  <si>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</si>
  <si>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</si>
  <si>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</si>
  <si>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</si>
  <si>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</si>
  <si>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</si>
  <si>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</si>
  <si>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</si>
  <si>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</si>
  <si>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</si>
  <si>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</si>
  <si>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</si>
  <si>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</si>
  <si>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</si>
  <si>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</si>
  <si>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</si>
  <si>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</si>
  <si>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</si>
  <si>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</si>
  <si>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</si>
  <si>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</si>
  <si>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</si>
  <si>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</si>
  <si>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</si>
  <si>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</si>
  <si>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</si>
  <si>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</si>
  <si>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</si>
  <si>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</si>
  <si>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</si>
  <si>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</si>
  <si>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</si>
  <si>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</si>
  <si>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</si>
  <si>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</si>
  <si>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</si>
  <si>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</si>
  <si>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</si>
  <si>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</si>
  <si>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</si>
  <si>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</si>
  <si>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</si>
  <si>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</si>
  <si>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</si>
  <si>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</si>
  <si>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</si>
  <si>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</si>
  <si>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</si>
  <si>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</si>
  <si>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</si>
  <si>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</si>
  <si>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</si>
  <si>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</si>
  <si>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</si>
  <si>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</si>
  <si>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</si>
  <si>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</si>
  <si>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</si>
  <si>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</si>
  <si>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</si>
  <si>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</si>
  <si>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</si>
  <si>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</si>
  <si>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</si>
  <si>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</si>
  <si>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</si>
  <si>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</si>
  <si>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</si>
  <si>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</si>
  <si>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</si>
  <si>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</si>
  <si>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</si>
  <si>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</si>
  <si>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</si>
  <si>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</si>
  <si>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</si>
  <si>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</si>
  <si>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</si>
  <si>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</si>
  <si>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</si>
  <si>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</si>
  <si>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</si>
  <si>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</si>
  <si>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</si>
  <si>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</si>
  <si>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</si>
  <si>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</si>
  <si>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</si>
  <si>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</si>
  <si>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</si>
  <si>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</si>
  <si>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</si>
  <si>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</si>
  <si>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</si>
  <si>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</si>
  <si>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</si>
  <si>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</si>
  <si>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</si>
  <si>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</si>
  <si>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</si>
  <si>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</si>
  <si>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</si>
  <si>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</si>
  <si>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</si>
  <si>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</si>
  <si>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</si>
  <si>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</si>
  <si>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</si>
  <si>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</si>
  <si>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</si>
  <si>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</si>
  <si>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</si>
  <si>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</si>
  <si>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</si>
  <si>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</si>
  <si>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</si>
  <si>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</si>
  <si>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</si>
  <si>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</si>
  <si>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</si>
  <si>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</si>
  <si>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</si>
  <si>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</si>
  <si>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</si>
  <si>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</si>
  <si>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</si>
  <si>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</si>
  <si>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</si>
  <si>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</si>
  <si>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</si>
  <si>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</si>
  <si>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</si>
  <si>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</si>
  <si>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</si>
  <si>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</si>
  <si>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</si>
  <si>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</si>
  <si>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</si>
  <si>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</si>
  <si>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</si>
  <si>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</si>
  <si>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</si>
  <si>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</si>
  <si>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</si>
  <si>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</si>
  <si>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</si>
  <si>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</si>
  <si>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</si>
  <si>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</si>
  <si>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</si>
  <si>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</si>
  <si>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</si>
  <si>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</si>
  <si>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</si>
  <si>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</si>
  <si>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</si>
  <si>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</si>
  <si>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</si>
  <si>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</si>
  <si>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</si>
  <si>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</si>
  <si>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</si>
  <si>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</si>
  <si>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</si>
  <si>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</si>
  <si>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</si>
  <si>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</si>
  <si>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</si>
  <si>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</si>
  <si>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</si>
  <si>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</si>
  <si>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</si>
  <si>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</si>
  <si>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</si>
  <si>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</si>
  <si>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</si>
  <si>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</si>
  <si>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</si>
  <si>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</si>
  <si>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</si>
  <si>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</si>
  <si>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</si>
  <si>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</si>
  <si>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</si>
  <si>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</si>
  <si>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</si>
  <si>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</si>
  <si>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</si>
  <si>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</si>
  <si>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</si>
  <si>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</si>
  <si>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</si>
  <si>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</si>
  <si>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</si>
  <si>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</si>
  <si>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</si>
  <si>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</si>
  <si>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</si>
  <si>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</si>
  <si>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</si>
  <si>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</si>
  <si>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</si>
  <si>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</si>
  <si>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</si>
  <si>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</si>
  <si>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</si>
  <si>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</si>
  <si>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</si>
  <si>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</si>
  <si>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</si>
  <si>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</si>
  <si>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</si>
  <si>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</si>
  <si>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</si>
  <si>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</si>
  <si>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</si>
  <si>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</si>
  <si>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</si>
  <si>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</si>
  <si>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</si>
  <si>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</si>
  <si>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</si>
  <si>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</si>
  <si>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</si>
  <si>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</si>
  <si>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</si>
  <si>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</si>
  <si>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</si>
  <si>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</si>
  <si>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</si>
  <si>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</si>
  <si>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</si>
  <si>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</si>
  <si>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</si>
  <si>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</si>
  <si>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</si>
  <si>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</si>
  <si>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</si>
  <si>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</si>
  <si>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</si>
  <si>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</si>
  <si>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</si>
  <si>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</si>
  <si>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</si>
  <si>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</si>
  <si>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</si>
  <si>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</si>
  <si>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</si>
  <si>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</si>
  <si>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</si>
  <si>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</si>
  <si>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</si>
  <si>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</si>
  <si>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</si>
  <si>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</si>
  <si>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</si>
  <si>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</si>
  <si>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</si>
  <si>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</si>
  <si>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</si>
  <si>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</si>
  <si>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</si>
  <si>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</si>
  <si>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</si>
  <si>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</si>
  <si>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</si>
  <si>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</si>
  <si>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</si>
  <si>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</si>
  <si>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</si>
  <si>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</si>
  <si>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</si>
  <si>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</si>
  <si>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</si>
  <si>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</si>
  <si>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</si>
  <si>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</si>
  <si>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</si>
  <si>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</si>
  <si>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</si>
  <si>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</si>
  <si>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</si>
  <si>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</si>
  <si>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</si>
  <si>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</si>
  <si>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</si>
  <si>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</si>
  <si>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</si>
  <si>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</si>
  <si>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</si>
  <si>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</si>
  <si>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</si>
  <si>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</si>
  <si>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</si>
  <si>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</si>
  <si>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</si>
  <si>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</si>
  <si>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</si>
  <si>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</si>
  <si>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</si>
  <si>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</si>
  <si>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</si>
  <si>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</si>
  <si>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</si>
  <si>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</si>
  <si>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</si>
  <si>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</si>
  <si>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</si>
  <si>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</si>
  <si>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</si>
  <si>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</si>
  <si>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</si>
  <si>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</si>
  <si>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</si>
  <si>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</si>
  <si>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</si>
  <si>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</si>
  <si>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</si>
  <si>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</si>
  <si>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</si>
  <si>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</si>
  <si>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</si>
  <si>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</si>
  <si>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</si>
  <si>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</si>
  <si>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</si>
  <si>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</si>
  <si>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</si>
  <si>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</si>
  <si>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</si>
  <si>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</si>
  <si>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</si>
  <si>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</si>
  <si>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</si>
  <si>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</si>
  <si>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</si>
  <si>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</si>
  <si>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</si>
  <si>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</si>
  <si>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</si>
  <si>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</si>
  <si>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</si>
  <si>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</si>
  <si>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</si>
  <si>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</si>
  <si>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</si>
  <si>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</si>
  <si>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</si>
  <si>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</si>
  <si>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</si>
  <si>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</si>
  <si>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</si>
  <si>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</si>
  <si>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</si>
  <si>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</si>
  <si>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</si>
  <si>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</si>
  <si>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</si>
  <si>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</si>
  <si>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</si>
  <si>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</si>
  <si>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</si>
  <si>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</si>
  <si>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</si>
  <si>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</si>
  <si>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</si>
  <si>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</si>
  <si>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</si>
  <si>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</si>
  <si>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</si>
  <si>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</si>
  <si>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</si>
  <si>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</si>
  <si>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</si>
  <si>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</si>
  <si>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</si>
  <si>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</si>
  <si>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</si>
  <si>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</si>
  <si>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</si>
  <si>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</si>
  <si>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</si>
  <si>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</si>
  <si>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</si>
  <si>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</si>
  <si>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</si>
  <si>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</si>
  <si>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</si>
  <si>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</si>
  <si>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</si>
  <si>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</si>
  <si>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</si>
  <si>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</si>
  <si>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</si>
  <si>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</si>
  <si>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</si>
  <si>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</si>
  <si>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</si>
  <si>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</si>
  <si>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</si>
  <si>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</si>
  <si>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</si>
  <si>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</si>
  <si>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</si>
  <si>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</si>
  <si>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</si>
  <si>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</si>
  <si>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</si>
  <si>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</si>
  <si>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</si>
  <si>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</si>
  <si>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</si>
  <si>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</si>
  <si>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</si>
  <si>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</si>
  <si>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</si>
  <si>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</si>
  <si>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</si>
  <si>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</si>
  <si>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</si>
  <si>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</si>
  <si>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</si>
  <si>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</si>
  <si>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</si>
  <si>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</si>
  <si>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</si>
  <si>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</si>
  <si>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</si>
  <si>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</si>
  <si>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</si>
  <si>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</si>
  <si>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</si>
  <si>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</si>
  <si>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</si>
  <si>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</si>
  <si>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</si>
  <si>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</si>
  <si>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</si>
  <si>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</si>
  <si>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</si>
  <si>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</si>
  <si>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</si>
  <si>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</si>
  <si>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</si>
  <si>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</si>
  <si>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</si>
  <si>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</si>
  <si>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</si>
  <si>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</si>
  <si>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</si>
  <si>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</si>
  <si>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</si>
  <si>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</si>
  <si>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</si>
  <si>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</si>
  <si>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</si>
  <si>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</si>
  <si>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</si>
  <si>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</si>
  <si>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</si>
  <si>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</si>
  <si>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</si>
  <si>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</si>
  <si>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</si>
  <si>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</si>
  <si>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</si>
  <si>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</si>
  <si>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</si>
  <si>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</si>
  <si>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</si>
  <si>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</si>
  <si>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</si>
  <si>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</si>
  <si>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</si>
  <si>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</si>
  <si>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</si>
  <si>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</si>
  <si>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</si>
  <si>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</si>
  <si>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</si>
  <si>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</si>
  <si>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</si>
  <si>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</si>
  <si>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</si>
  <si>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</si>
  <si>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</si>
  <si>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</si>
  <si>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</si>
  <si>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</si>
  <si>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</si>
  <si>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</si>
  <si>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</si>
  <si>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</si>
  <si>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</si>
  <si>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</si>
  <si>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</si>
  <si>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</si>
  <si>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</si>
  <si>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</si>
  <si>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</si>
  <si>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</si>
  <si>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</si>
  <si>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</si>
  <si>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</si>
  <si>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</si>
  <si>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</si>
  <si>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</si>
  <si>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</si>
  <si>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</si>
  <si>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</si>
  <si>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</si>
  <si>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</si>
  <si>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</si>
  <si>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</si>
  <si>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</si>
  <si>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</si>
  <si>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</si>
  <si>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</si>
  <si>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</si>
  <si>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</si>
  <si>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</si>
  <si>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</si>
  <si>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</si>
  <si>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</si>
  <si>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</si>
  <si>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</si>
  <si>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</si>
  <si>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</si>
  <si>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</si>
  <si>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</si>
  <si>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</si>
  <si>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</si>
  <si>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</si>
  <si>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</si>
  <si>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</si>
  <si>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</si>
  <si>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</si>
  <si>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</si>
  <si>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</si>
  <si>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</si>
  <si>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</si>
  <si>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</si>
  <si>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</si>
  <si>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</si>
  <si>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</si>
  <si>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</si>
  <si>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</si>
  <si>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</si>
  <si>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</si>
  <si>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</si>
  <si>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</si>
  <si>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</si>
  <si>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</si>
  <si>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</si>
  <si>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</si>
  <si>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</si>
  <si>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</si>
  <si>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</si>
  <si>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</si>
  <si>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</si>
  <si>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</si>
  <si>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</si>
  <si>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</si>
  <si>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</si>
  <si>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</si>
  <si>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</si>
  <si>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</si>
  <si>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</si>
  <si>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</si>
  <si>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</si>
  <si>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</si>
  <si>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</si>
  <si>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</si>
  <si>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</si>
  <si>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</si>
  <si>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</si>
  <si>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</si>
  <si>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</si>
  <si>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</si>
  <si>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</si>
  <si>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</si>
  <si>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</si>
  <si>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</si>
  <si>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</si>
  <si>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</si>
  <si>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</si>
  <si>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</si>
  <si>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</si>
  <si>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</si>
  <si>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</si>
  <si>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</si>
  <si>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</si>
  <si>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</si>
  <si>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</si>
  <si>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</si>
  <si>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</si>
  <si>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</si>
  <si>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</si>
  <si>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</si>
  <si>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</si>
  <si>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</si>
  <si>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</si>
  <si>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</si>
  <si>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</si>
  <si>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</si>
  <si>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</si>
  <si>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</si>
  <si>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</si>
  <si>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</si>
  <si>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</si>
  <si>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</si>
  <si>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</si>
  <si>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</si>
  <si>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</si>
  <si>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</si>
  <si>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</si>
  <si>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</si>
  <si>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</si>
  <si>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</si>
  <si>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</si>
  <si>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</si>
  <si>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</si>
  <si>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</si>
  <si>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</si>
  <si>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</si>
  <si>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</si>
  <si>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</si>
  <si>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</si>
  <si>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</si>
  <si>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</si>
  <si>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</si>
  <si>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</si>
  <si>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</si>
  <si>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</si>
  <si>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</si>
  <si>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</si>
  <si>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</si>
  <si>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</si>
  <si>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</si>
  <si>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</si>
  <si>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</si>
  <si>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</si>
  <si>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</si>
  <si>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</si>
  <si>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</si>
  <si>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</si>
  <si>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</si>
  <si>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</si>
  <si>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</si>
  <si>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</si>
  <si>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</si>
  <si>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</si>
  <si>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</si>
  <si>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</si>
  <si>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</si>
  <si>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</si>
  <si>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</si>
  <si>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</si>
  <si>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</si>
  <si>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</si>
  <si>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</si>
  <si>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</si>
  <si>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</si>
  <si>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</si>
  <si>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</si>
  <si>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</si>
  <si>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</si>
  <si>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</si>
  <si>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</si>
  <si>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</si>
  <si>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</si>
  <si>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</si>
  <si>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</si>
  <si>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</si>
  <si>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</si>
  <si>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</si>
  <si>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</si>
  <si>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</si>
  <si>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</si>
  <si>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</si>
  <si>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</si>
  <si>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</si>
  <si>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</si>
  <si>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</si>
  <si>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</si>
  <si>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</si>
  <si>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</si>
  <si>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</si>
  <si>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</si>
  <si>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</si>
  <si>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</si>
  <si>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</si>
  <si>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</si>
  <si>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</si>
  <si>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</si>
  <si>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</si>
  <si>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</si>
  <si>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</si>
  <si>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</si>
  <si>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</si>
  <si>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</si>
  <si>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</si>
  <si>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</si>
  <si>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</si>
  <si>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</si>
  <si>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</si>
  <si>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</si>
  <si>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</si>
  <si>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</si>
  <si>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</si>
  <si>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</si>
  <si>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</si>
  <si>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</si>
  <si>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</si>
  <si>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</si>
  <si>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</si>
  <si>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</si>
  <si>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</si>
  <si>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</si>
  <si>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</si>
  <si>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</si>
  <si>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</si>
  <si>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</si>
  <si>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</si>
  <si>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</si>
  <si>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</si>
  <si>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</si>
  <si>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</si>
  <si>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</si>
  <si>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</si>
  <si>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</si>
  <si>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</si>
  <si>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</si>
  <si>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</si>
  <si>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</si>
  <si>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</si>
  <si>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</si>
  <si>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</si>
  <si>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</si>
  <si>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</si>
  <si>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</si>
  <si>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</si>
  <si>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</si>
  <si>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</si>
  <si>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</si>
  <si>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</si>
  <si>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</si>
  <si>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</si>
  <si>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</si>
  <si>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</si>
  <si>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</si>
  <si>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</si>
  <si>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</si>
  <si>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</si>
  <si>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</si>
  <si>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</si>
  <si>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</si>
  <si>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</si>
  <si>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</si>
  <si>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</si>
  <si>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</si>
  <si>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</si>
  <si>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</si>
  <si>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</si>
  <si>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</si>
  <si>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</si>
  <si>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</si>
  <si>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</si>
  <si>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</si>
  <si>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</si>
  <si>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</si>
  <si>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</si>
  <si>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</si>
  <si>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</si>
  <si>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</si>
  <si>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</si>
  <si>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</si>
  <si>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</si>
  <si>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</si>
  <si>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</si>
  <si>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</si>
  <si>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</si>
  <si>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</si>
  <si>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</si>
  <si>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</si>
  <si>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</si>
  <si>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</si>
  <si>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</si>
  <si>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</si>
  <si>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</si>
  <si>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</si>
  <si>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</si>
  <si>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</si>
  <si>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</si>
  <si>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</si>
  <si>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</si>
  <si>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</si>
  <si>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</si>
  <si>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</si>
  <si>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</si>
  <si>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</si>
  <si>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</si>
  <si>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</si>
  <si>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</si>
  <si>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</si>
  <si>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</si>
  <si>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</si>
  <si>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</si>
  <si>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</si>
  <si>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</si>
  <si>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</si>
  <si>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</si>
  <si>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</si>
  <si>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</si>
  <si>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</si>
  <si>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</si>
  <si>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</si>
  <si>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</si>
  <si>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</si>
  <si>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</si>
  <si>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</si>
  <si>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</si>
  <si>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</si>
  <si>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</si>
  <si>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</si>
  <si>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</si>
  <si>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</si>
  <si>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</si>
  <si>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</si>
  <si>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</si>
  <si>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</si>
  <si>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</si>
  <si>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</si>
  <si>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</si>
  <si>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</si>
  <si>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</si>
  <si>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</si>
  <si>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</si>
  <si>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</si>
  <si>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</si>
  <si>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</si>
  <si>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</si>
  <si>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</si>
  <si>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</si>
  <si>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</si>
  <si>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</si>
  <si>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</si>
  <si>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</si>
  <si>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</si>
  <si>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</si>
  <si>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</si>
  <si>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</si>
  <si>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</si>
  <si>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</si>
  <si>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</si>
  <si>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</si>
  <si>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</si>
  <si>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</si>
  <si>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</si>
  <si>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</si>
  <si>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</si>
  <si>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</si>
  <si>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</si>
  <si>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</si>
  <si>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</si>
  <si>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</si>
  <si>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</si>
  <si>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</si>
  <si>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</si>
  <si>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</si>
  <si>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</si>
  <si>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</si>
  <si>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</si>
  <si>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</si>
  <si>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</si>
  <si>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</si>
  <si>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</si>
  <si>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</si>
  <si>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</si>
  <si>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</si>
  <si>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</si>
  <si>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</si>
  <si>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</si>
  <si>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</si>
  <si>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</si>
  <si>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</si>
  <si>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</si>
  <si>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</si>
  <si>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</si>
  <si>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</si>
  <si>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</si>
  <si>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</si>
  <si>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</si>
  <si>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</si>
  <si>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</si>
  <si>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</si>
  <si>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</si>
  <si>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</si>
  <si>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</si>
  <si>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</si>
  <si>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</si>
  <si>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</si>
  <si>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</si>
  <si>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</si>
  <si>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</si>
  <si>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</si>
  <si>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</si>
  <si>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</si>
  <si>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</si>
  <si>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</si>
  <si>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</si>
  <si>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</si>
  <si>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</si>
  <si>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</si>
  <si>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</si>
  <si>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</si>
  <si>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</si>
  <si>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</si>
  <si>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</si>
  <si>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</si>
  <si>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</si>
  <si>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</si>
  <si>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</si>
  <si>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</si>
  <si>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</si>
  <si>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</si>
  <si>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</si>
  <si>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</si>
  <si>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</si>
  <si>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</si>
  <si>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</si>
  <si>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</si>
  <si>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</si>
  <si>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</si>
  <si>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</si>
  <si>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</si>
  <si>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</si>
  <si>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</si>
  <si>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</si>
  <si>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</si>
  <si>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</si>
  <si>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</si>
  <si>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</si>
  <si>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</si>
  <si>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</si>
  <si>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</si>
  <si>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</si>
  <si>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</si>
  <si>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</si>
  <si>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</si>
  <si>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</si>
  <si>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</si>
  <si>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</si>
  <si>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</si>
  <si>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</si>
  <si>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</si>
  <si>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</si>
  <si>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</si>
  <si>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</si>
  <si>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</si>
  <si>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</si>
  <si>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</si>
  <si>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</si>
  <si>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</si>
  <si>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</si>
  <si>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</si>
  <si>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</si>
  <si>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</si>
  <si>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</si>
  <si>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</si>
  <si>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</si>
  <si>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</si>
  <si>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</si>
  <si>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</si>
  <si>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</si>
  <si>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</si>
  <si>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</si>
  <si>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</si>
  <si>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</si>
  <si>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</si>
  <si>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</si>
  <si>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</si>
  <si>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</si>
  <si>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</si>
  <si>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</si>
  <si>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</si>
  <si>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</si>
  <si>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</si>
  <si>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</si>
  <si>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</si>
  <si>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</si>
  <si>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</si>
  <si>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</si>
  <si>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</si>
  <si>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</si>
  <si>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</si>
  <si>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</si>
  <si>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</si>
  <si>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</si>
  <si>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</si>
  <si>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</si>
  <si>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</si>
  <si>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</si>
  <si>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</si>
  <si>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</si>
  <si>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</si>
  <si>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</si>
  <si>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</si>
  <si>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</si>
  <si>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</si>
  <si>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</si>
  <si>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</si>
  <si>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</si>
  <si>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</si>
  <si>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</si>
  <si>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</si>
  <si>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</si>
  <si>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</si>
  <si>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</si>
  <si>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</si>
  <si>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</si>
  <si>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</si>
  <si>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</si>
  <si>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</si>
  <si>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</si>
  <si>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</si>
  <si>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</si>
  <si>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</si>
  <si>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</si>
  <si>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</si>
  <si>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</si>
  <si>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</si>
  <si>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</si>
  <si>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</si>
  <si>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</si>
  <si>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</si>
  <si>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</si>
  <si>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</si>
  <si>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</si>
  <si>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</si>
  <si>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</si>
  <si>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</si>
  <si>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</si>
  <si>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</si>
  <si>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</si>
  <si>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</si>
  <si>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</si>
  <si>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</si>
  <si>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</si>
  <si>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</si>
  <si>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</si>
  <si>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</si>
  <si>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</si>
  <si>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</si>
  <si>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</si>
  <si>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</si>
  <si>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</si>
  <si>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</si>
  <si>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</si>
  <si>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</si>
  <si>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</si>
  <si>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</si>
  <si>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</si>
  <si>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</si>
  <si>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</si>
  <si>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</si>
  <si>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</si>
  <si>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</si>
  <si>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</si>
  <si>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</si>
  <si>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</si>
  <si>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</si>
  <si>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</si>
  <si>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</si>
  <si>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</si>
  <si>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</si>
  <si>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</si>
  <si>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</si>
  <si>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</si>
  <si>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</si>
  <si>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</si>
  <si>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</si>
  <si>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</si>
  <si>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</si>
  <si>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</si>
  <si>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</si>
  <si>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</si>
  <si>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</si>
  <si>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</si>
  <si>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</si>
  <si>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</si>
  <si>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</si>
  <si>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</si>
  <si>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</si>
  <si>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</si>
  <si>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</si>
  <si>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</si>
  <si>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</si>
  <si>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</si>
  <si>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</si>
  <si>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</si>
  <si>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</si>
  <si>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</si>
  <si>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</si>
  <si>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</si>
  <si>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</si>
  <si>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</si>
  <si>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</si>
  <si>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</si>
  <si>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</si>
  <si>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</si>
  <si>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</si>
  <si>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</si>
  <si>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</si>
  <si>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</si>
  <si>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</si>
  <si>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</si>
  <si>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</si>
  <si>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</si>
  <si>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</si>
  <si>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</si>
  <si>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</si>
  <si>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</si>
  <si>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</si>
  <si>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</si>
  <si>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</si>
  <si>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</si>
  <si>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</si>
  <si>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</si>
  <si>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</si>
  <si>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</si>
  <si>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</si>
  <si>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</si>
  <si>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</si>
  <si>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</si>
  <si>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</si>
  <si>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</si>
  <si>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</si>
  <si>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</si>
  <si>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</si>
  <si>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</si>
  <si>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</si>
  <si>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</si>
  <si>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</si>
  <si>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</si>
  <si>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</si>
  <si>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</si>
  <si>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</si>
  <si>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</si>
  <si>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</si>
  <si>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</si>
  <si>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</si>
  <si>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</si>
  <si>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</si>
  <si>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</si>
  <si>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</si>
  <si>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</si>
  <si>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</si>
  <si>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</si>
  <si>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</si>
  <si>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</si>
  <si>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</si>
  <si>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</si>
  <si>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</si>
  <si>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</si>
  <si>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</si>
  <si>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</si>
  <si>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</si>
  <si>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</si>
  <si>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</si>
  <si>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</si>
  <si>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</si>
  <si>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</si>
  <si>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</si>
  <si>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</si>
  <si>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</si>
  <si>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</si>
  <si>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</si>
  <si>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</si>
  <si>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</si>
  <si>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</si>
  <si>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</si>
  <si>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</si>
  <si>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</si>
  <si>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</si>
  <si>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</si>
  <si>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</si>
  <si>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</si>
  <si>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</si>
  <si>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</si>
  <si>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</si>
  <si>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</si>
  <si>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</si>
  <si>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</si>
  <si>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</si>
  <si>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</si>
  <si>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</si>
  <si>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</si>
  <si>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</si>
  <si>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</si>
  <si>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</si>
  <si>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</si>
  <si>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</si>
  <si>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</si>
  <si>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</si>
  <si>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</si>
  <si>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</si>
  <si>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</si>
  <si>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</si>
  <si>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</si>
  <si>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</si>
  <si>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</si>
  <si>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</si>
  <si>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</si>
  <si>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</si>
  <si>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</si>
  <si>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</si>
  <si>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</si>
  <si>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</si>
  <si>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</si>
  <si>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</si>
  <si>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</si>
  <si>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</si>
  <si>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</si>
  <si>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</si>
  <si>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</si>
  <si>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</si>
  <si>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</si>
  <si>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</si>
  <si>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</si>
  <si>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</si>
  <si>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</si>
  <si>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</si>
  <si>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</si>
  <si>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</si>
  <si>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</si>
  <si>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</si>
  <si>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</si>
  <si>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</si>
  <si>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</si>
  <si>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</si>
  <si>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</si>
  <si>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</si>
  <si>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</si>
  <si>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</si>
  <si>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</si>
  <si>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</si>
  <si>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</si>
  <si>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</si>
  <si>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</si>
  <si>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</si>
  <si>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</si>
  <si>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</si>
  <si>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</si>
  <si>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</si>
  <si>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</si>
  <si>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</si>
  <si>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</si>
  <si>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</si>
  <si>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</si>
  <si>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</si>
  <si>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</si>
  <si>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</si>
  <si>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</si>
  <si>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</si>
  <si>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</si>
  <si>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</si>
  <si>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</si>
  <si>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</si>
  <si>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</si>
  <si>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</si>
  <si>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</si>
  <si>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</si>
  <si>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</si>
  <si>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</si>
  <si>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</si>
  <si>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</si>
  <si>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</si>
  <si>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</si>
  <si>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</si>
  <si>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</si>
  <si>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</si>
  <si>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</si>
  <si>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</si>
  <si>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</si>
  <si>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</si>
  <si>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</si>
  <si>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</si>
  <si>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</si>
  <si>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</si>
  <si>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</si>
  <si>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</si>
  <si>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</si>
  <si>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</si>
  <si>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</si>
  <si>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</si>
  <si>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</si>
  <si>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</si>
  <si>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</si>
  <si>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</si>
  <si>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</si>
  <si>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</si>
  <si>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</si>
  <si>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</si>
  <si>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</si>
  <si>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</si>
  <si>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</si>
  <si>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</si>
  <si>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</si>
  <si>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</si>
  <si>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</si>
  <si>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</si>
  <si>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</si>
  <si>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</si>
  <si>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</si>
  <si>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</si>
  <si>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</si>
  <si>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</si>
  <si>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</si>
  <si>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</si>
  <si>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</si>
  <si>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</si>
  <si>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</si>
  <si>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</si>
  <si>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</si>
  <si>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</si>
  <si>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</si>
  <si>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</si>
  <si>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</si>
  <si>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</si>
  <si>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</si>
  <si>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</si>
  <si>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</si>
  <si>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</si>
  <si>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</si>
  <si>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</si>
  <si>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</si>
  <si>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</si>
  <si>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</si>
  <si>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</si>
  <si>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</si>
  <si>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</si>
  <si>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</si>
  <si>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</si>
  <si>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</si>
  <si>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</si>
  <si>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</si>
  <si>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</si>
  <si>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</si>
  <si>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</si>
  <si>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</si>
  <si>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</si>
  <si>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</si>
  <si>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</si>
  <si>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</si>
  <si>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</si>
  <si>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</si>
  <si>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</si>
  <si>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</si>
  <si>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</si>
  <si>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</si>
  <si>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</si>
  <si>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</si>
  <si>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</si>
  <si>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</si>
  <si>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</si>
  <si>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</si>
  <si>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</si>
  <si>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</si>
  <si>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</si>
  <si>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</si>
  <si>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</si>
  <si>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</si>
  <si>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</si>
  <si>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</si>
  <si>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</si>
  <si>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</si>
  <si>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</si>
  <si>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</si>
  <si>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</si>
  <si>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</si>
  <si>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</si>
  <si>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</si>
  <si>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</si>
  <si>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</si>
  <si>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</si>
  <si>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</si>
  <si>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</si>
  <si>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</si>
  <si>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</si>
  <si>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</si>
  <si>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</si>
  <si>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</si>
  <si>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</si>
  <si>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</si>
  <si>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</si>
  <si>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</si>
  <si>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</si>
  <si>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</si>
  <si>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</si>
  <si>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</si>
  <si>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</si>
  <si>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</si>
  <si>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</si>
  <si>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</si>
  <si>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</si>
  <si>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</si>
  <si>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</si>
  <si>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</si>
  <si>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</si>
  <si>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</si>
  <si>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</si>
  <si>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</si>
  <si>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</si>
  <si>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</si>
  <si>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</si>
  <si>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</si>
  <si>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</si>
  <si>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</si>
  <si>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</si>
  <si>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</si>
  <si>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</si>
  <si>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</si>
  <si>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</si>
  <si>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</si>
  <si>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</si>
  <si>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</si>
  <si>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</si>
  <si>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</si>
  <si>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</si>
  <si>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</si>
  <si>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</si>
  <si>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</si>
  <si>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</si>
  <si>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</si>
  <si>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</si>
  <si>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</si>
  <si>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</si>
  <si>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</si>
  <si>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</si>
  <si>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</si>
  <si>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</si>
  <si>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</si>
  <si>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</si>
  <si>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</si>
  <si>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</si>
  <si>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</si>
  <si>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</si>
  <si>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</si>
  <si>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</si>
  <si>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</si>
  <si>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</si>
  <si>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</si>
  <si>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</si>
  <si>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</si>
  <si>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</si>
  <si>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</si>
  <si>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</si>
  <si>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</si>
  <si>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</si>
  <si>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</si>
  <si>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</si>
  <si>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</si>
  <si>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</si>
  <si>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</si>
  <si>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</si>
  <si>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</si>
  <si>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</si>
  <si>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</si>
  <si>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</si>
  <si>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</si>
  <si>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</si>
  <si>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</si>
  <si>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</si>
  <si>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</si>
  <si>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</si>
  <si>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</si>
  <si>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</si>
  <si>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</si>
  <si>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</si>
  <si>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</si>
  <si>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</si>
  <si>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</si>
  <si>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</si>
  <si>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</si>
  <si>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</si>
  <si>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</si>
  <si>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</si>
  <si>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</si>
  <si>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</si>
  <si>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</si>
  <si>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</si>
  <si>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</si>
  <si>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</si>
  <si>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</si>
  <si>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</si>
  <si>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</si>
  <si>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</si>
  <si>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</si>
  <si>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</si>
  <si>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</si>
  <si>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</si>
  <si>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</si>
  <si>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</si>
  <si>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</si>
  <si>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</si>
  <si>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</si>
  <si>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</si>
  <si>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</si>
  <si>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</si>
  <si>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</si>
  <si>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</si>
  <si>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</si>
  <si>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</si>
  <si>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</si>
  <si>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</si>
  <si>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</si>
  <si>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</si>
  <si>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</si>
  <si>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</si>
  <si>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</si>
  <si>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</si>
  <si>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</si>
  <si>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</si>
  <si>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</si>
  <si>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</si>
  <si>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</si>
  <si>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</si>
  <si>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</si>
  <si>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</si>
  <si>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</si>
  <si>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</si>
  <si>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</si>
  <si>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</si>
  <si>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</si>
  <si>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</si>
  <si>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</si>
  <si>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</si>
  <si>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</si>
  <si>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</si>
  <si>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</si>
  <si>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</si>
  <si>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</si>
  <si>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</si>
  <si>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</si>
  <si>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</si>
  <si>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</si>
  <si>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</si>
  <si>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</si>
  <si>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</si>
  <si>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</si>
  <si>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</si>
  <si>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</si>
  <si>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</si>
  <si>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</si>
  <si>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</si>
  <si>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</si>
  <si>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</si>
  <si>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</si>
  <si>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</si>
  <si>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</si>
  <si>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</si>
  <si>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</si>
  <si>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</si>
  <si>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</si>
  <si>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</si>
  <si>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</si>
  <si>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</si>
  <si>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</si>
  <si>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</si>
  <si>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</si>
  <si>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</si>
  <si>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</si>
  <si>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</si>
  <si>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</si>
  <si>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</si>
  <si>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</si>
  <si>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</si>
  <si>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</si>
  <si>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</si>
  <si>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</si>
  <si>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</si>
  <si>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</si>
  <si>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</si>
  <si>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</si>
  <si>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</si>
  <si>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</si>
  <si>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</si>
  <si>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</si>
  <si>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</si>
  <si>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</si>
  <si>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</si>
  <si>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</si>
  <si>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</si>
  <si>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</si>
  <si>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</si>
  <si>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</si>
  <si>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</si>
  <si>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</si>
  <si>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</si>
  <si>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</si>
  <si>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</si>
  <si>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</si>
  <si>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</si>
  <si>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</si>
  <si>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</si>
  <si>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</si>
  <si>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</si>
  <si>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</si>
  <si>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</si>
  <si>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</si>
  <si>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</si>
  <si>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</si>
  <si>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</si>
  <si>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</si>
  <si>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</si>
  <si>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</si>
  <si>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</si>
  <si>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</si>
  <si>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</si>
  <si>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</si>
  <si>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</si>
  <si>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</si>
  <si>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</si>
  <si>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</si>
  <si>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</si>
  <si>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</si>
  <si>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</si>
  <si>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</si>
  <si>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</si>
  <si>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</si>
  <si>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</si>
  <si>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</si>
  <si>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</si>
  <si>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</si>
  <si>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</si>
  <si>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</si>
  <si>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</si>
  <si>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</si>
  <si>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</si>
  <si>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</si>
  <si>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</si>
  <si>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</si>
  <si>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</si>
  <si>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</si>
  <si>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</si>
  <si>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</si>
  <si>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</si>
  <si>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</si>
  <si>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</si>
  <si>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</si>
  <si>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</si>
  <si>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</si>
  <si>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</si>
  <si>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</si>
  <si>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</si>
  <si>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</si>
  <si>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</si>
  <si>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</si>
  <si>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</si>
  <si>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</si>
  <si>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</si>
  <si>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</si>
  <si>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</si>
  <si>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</si>
  <si>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</si>
  <si>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</si>
  <si>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</si>
  <si>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</si>
  <si>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</si>
  <si>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</si>
  <si>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</si>
  <si>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</si>
  <si>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</si>
  <si>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</si>
  <si>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</si>
  <si>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</si>
  <si>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</si>
  <si>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</si>
  <si>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</si>
  <si>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</si>
  <si>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</si>
  <si>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</si>
  <si>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</si>
  <si>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</si>
  <si>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</si>
  <si>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</si>
  <si>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</si>
  <si>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</si>
  <si>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</si>
  <si>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</si>
  <si>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</si>
  <si>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</si>
  <si>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</si>
  <si>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</si>
  <si>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</si>
  <si>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</si>
  <si>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</si>
  <si>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</si>
  <si>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</si>
  <si>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</si>
  <si>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</si>
  <si>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</si>
  <si>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</si>
  <si>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</si>
  <si>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</si>
  <si>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</si>
  <si>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</si>
  <si>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</si>
  <si>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</si>
  <si>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</si>
  <si>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</si>
  <si>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</si>
  <si>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</si>
  <si>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</si>
  <si>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</si>
  <si>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</si>
  <si>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</si>
  <si>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</si>
  <si>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</si>
  <si>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</si>
  <si>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</si>
  <si>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</si>
  <si>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</si>
  <si>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</si>
  <si>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</si>
  <si>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</si>
  <si>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</si>
  <si>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</si>
  <si>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</si>
  <si>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</si>
  <si>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</si>
  <si>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</si>
  <si>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</si>
  <si>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</si>
  <si>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</si>
  <si>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</si>
  <si>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</si>
  <si>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</si>
  <si>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</si>
  <si>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</si>
  <si>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</si>
  <si>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</si>
  <si>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</si>
  <si>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</si>
  <si>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</si>
  <si>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</si>
  <si>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</si>
  <si>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</si>
  <si>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</si>
  <si>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</si>
  <si>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</si>
  <si>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</si>
  <si>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</si>
  <si>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</si>
  <si>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</si>
  <si>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</si>
  <si>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</si>
  <si>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</si>
  <si>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</si>
  <si>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</si>
  <si>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</si>
  <si>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</si>
  <si>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</si>
  <si>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</si>
  <si>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</si>
  <si>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</si>
  <si>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</si>
  <si>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</si>
  <si>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</si>
  <si>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</si>
  <si>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</si>
  <si>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</si>
  <si>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</si>
  <si>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</si>
  <si>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</si>
  <si>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</si>
  <si>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</si>
  <si>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</si>
  <si>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</si>
  <si>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</si>
  <si>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</si>
  <si>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</si>
  <si>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</si>
  <si>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</si>
  <si>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</si>
  <si>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</si>
  <si>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</si>
  <si>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</si>
  <si>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</si>
  <si>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</si>
  <si>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</si>
  <si>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</si>
  <si>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</si>
  <si>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</si>
  <si>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</si>
  <si>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</si>
  <si>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</si>
  <si>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</si>
  <si>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</si>
  <si>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</si>
  <si>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</si>
  <si>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</si>
  <si>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</si>
  <si>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</si>
  <si>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</si>
  <si>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</si>
  <si>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</si>
  <si>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</si>
  <si>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</si>
  <si>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</si>
  <si>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</si>
  <si>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</si>
  <si>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</si>
  <si>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</si>
  <si>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</si>
  <si>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</si>
  <si>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</si>
  <si>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</si>
  <si>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</si>
  <si>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</si>
  <si>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</si>
  <si>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</si>
  <si>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</si>
  <si>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</si>
  <si>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</si>
  <si>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</si>
  <si>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</si>
  <si>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</si>
  <si>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</si>
  <si>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</si>
  <si>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</si>
  <si>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</si>
  <si>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</si>
  <si>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</si>
  <si>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</si>
  <si>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</si>
  <si>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</si>
  <si>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</si>
  <si>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</si>
  <si>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</si>
  <si>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</si>
  <si>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</si>
  <si>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</si>
  <si>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</si>
  <si>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</si>
  <si>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</si>
  <si>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</si>
  <si>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</si>
  <si>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</si>
  <si>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</si>
  <si>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</si>
  <si>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</si>
  <si>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</si>
  <si>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</si>
  <si>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</si>
  <si>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</si>
  <si>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</si>
  <si>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</si>
  <si>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</si>
  <si>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</si>
  <si>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</si>
  <si>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</si>
  <si>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</si>
  <si>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</si>
  <si>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</si>
  <si>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</si>
  <si>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</si>
  <si>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</si>
  <si>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</si>
  <si>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</si>
  <si>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</si>
  <si>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</si>
  <si>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</si>
  <si>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</si>
  <si>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</si>
  <si>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</si>
  <si>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</si>
  <si>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</si>
  <si>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</si>
  <si>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</si>
  <si>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</si>
  <si>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</si>
  <si>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</si>
  <si>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</si>
  <si>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</si>
  <si>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</si>
  <si>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</si>
  <si>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</si>
  <si>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</si>
  <si>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</si>
  <si>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</si>
  <si>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</si>
  <si>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</si>
  <si>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</si>
  <si>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</si>
  <si>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</si>
  <si>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</si>
  <si>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</si>
  <si>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</si>
  <si>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</si>
  <si>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</si>
  <si>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</si>
  <si>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</si>
  <si>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</si>
  <si>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</si>
  <si>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</si>
  <si>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</si>
  <si>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</si>
  <si>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</si>
  <si>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</si>
  <si>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</si>
  <si>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</si>
  <si>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</si>
  <si>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</si>
  <si>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</si>
  <si>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</si>
  <si>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</si>
  <si>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</si>
  <si>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</si>
  <si>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</si>
  <si>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</si>
  <si>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</si>
  <si>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</si>
  <si>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</si>
  <si>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</si>
  <si>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</si>
  <si>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</si>
  <si>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</si>
  <si>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</si>
  <si>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</si>
  <si>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</si>
  <si>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</si>
  <si>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</si>
  <si>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</si>
  <si>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</si>
  <si>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</si>
  <si>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</si>
  <si>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</si>
  <si>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</si>
  <si>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</si>
  <si>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</si>
  <si>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</si>
  <si>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</si>
  <si>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</si>
  <si>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</si>
  <si>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</si>
  <si>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</si>
  <si>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</si>
  <si>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</si>
  <si>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</si>
  <si>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</si>
  <si>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</si>
  <si>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</si>
  <si>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</si>
  <si>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</si>
  <si>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</si>
  <si>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</si>
  <si>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</si>
  <si>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</si>
  <si>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</si>
  <si>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</si>
  <si>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</si>
  <si>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</si>
  <si>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</si>
  <si>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</si>
  <si>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</si>
  <si>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</si>
  <si>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</si>
  <si>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</si>
  <si>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</si>
  <si>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</si>
  <si>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</si>
  <si>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</si>
  <si>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</si>
  <si>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</si>
  <si>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</si>
  <si>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</si>
  <si>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</si>
  <si>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</si>
  <si>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</si>
  <si>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</si>
  <si>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</si>
  <si>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</si>
  <si>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</si>
  <si>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</si>
  <si>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</si>
  <si>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</si>
  <si>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</si>
  <si>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</si>
  <si>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</si>
  <si>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</si>
  <si>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</si>
  <si>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</si>
  <si>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</si>
  <si>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</si>
  <si>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</si>
  <si>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</si>
  <si>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</si>
  <si>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</si>
  <si>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</si>
  <si>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</si>
  <si>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</si>
  <si>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</si>
  <si>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</si>
  <si>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</si>
  <si>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</si>
  <si>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</si>
  <si>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</si>
  <si>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</si>
  <si>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</si>
  <si>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</si>
  <si>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</si>
  <si>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</si>
  <si>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</si>
  <si>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</si>
  <si>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</si>
  <si>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</si>
  <si>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</si>
  <si>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</si>
  <si>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</si>
  <si>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</si>
  <si>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</si>
  <si>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</si>
  <si>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</si>
  <si>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</si>
  <si>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</si>
  <si>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</si>
  <si>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</si>
  <si>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</si>
  <si>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</si>
  <si>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</si>
  <si>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</si>
  <si>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</si>
  <si>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</si>
  <si>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</si>
  <si>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</si>
  <si>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</si>
  <si>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</si>
  <si>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</si>
  <si>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</si>
  <si>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</si>
  <si>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</si>
  <si>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</si>
  <si>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</si>
  <si>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</si>
  <si>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</si>
  <si>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</si>
  <si>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</si>
  <si>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</si>
  <si>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</si>
  <si>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</si>
  <si>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</si>
  <si>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</si>
  <si>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</si>
  <si>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</si>
  <si>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</si>
  <si>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</si>
  <si>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</si>
  <si>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</si>
  <si>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</si>
  <si>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</si>
  <si>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</si>
  <si>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</si>
  <si>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</si>
  <si>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</si>
  <si>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</si>
  <si>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</si>
  <si>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</si>
  <si>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</si>
  <si>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</si>
  <si>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</si>
  <si>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</si>
  <si>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</si>
  <si>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</si>
  <si>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</si>
  <si>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</si>
  <si>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</si>
  <si>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</si>
  <si>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</si>
  <si>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</si>
  <si>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</si>
  <si>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</si>
  <si>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</si>
  <si>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</si>
  <si>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</si>
  <si>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</si>
  <si>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</si>
  <si>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</si>
  <si>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</si>
  <si>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</si>
  <si>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</si>
  <si>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</si>
  <si>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</si>
  <si>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</si>
  <si>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</si>
  <si>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</si>
  <si>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</si>
  <si>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</si>
  <si>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</si>
  <si>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</si>
  <si>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</si>
  <si>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</si>
  <si>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</si>
  <si>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</si>
  <si>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</si>
  <si>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</si>
  <si>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</si>
  <si>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</si>
  <si>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</si>
  <si>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</si>
  <si>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</si>
  <si>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</si>
  <si>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</si>
  <si>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</si>
  <si>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</si>
  <si>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</si>
  <si>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</si>
  <si>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</si>
  <si>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</si>
  <si>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</si>
  <si>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</si>
  <si>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</si>
  <si>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</si>
  <si>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</si>
  <si>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</si>
  <si>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</si>
  <si>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</si>
  <si>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</si>
  <si>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</si>
  <si>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</si>
  <si>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</si>
  <si>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</si>
  <si>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</si>
  <si>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</si>
  <si>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</si>
  <si>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</si>
  <si>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</si>
  <si>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</si>
  <si>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</si>
  <si>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</si>
  <si>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</si>
  <si>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</si>
  <si>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</si>
  <si>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</si>
  <si>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</si>
  <si>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</si>
  <si>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</si>
  <si>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</si>
  <si>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</si>
  <si>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</si>
  <si>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</si>
  <si>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</si>
  <si>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</si>
  <si>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</si>
  <si>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</si>
  <si>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</si>
  <si>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</si>
  <si>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</si>
  <si>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</si>
  <si>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</si>
  <si>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</si>
  <si>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</si>
  <si>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</si>
  <si>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</si>
  <si>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</si>
  <si>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</si>
  <si>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</si>
  <si>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</si>
  <si>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</si>
  <si>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</si>
  <si>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</si>
  <si>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</si>
  <si>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</si>
  <si>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</si>
  <si>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</si>
  <si>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</si>
  <si>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</si>
  <si>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</si>
  <si>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</si>
  <si>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</si>
  <si>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</si>
  <si>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</si>
  <si>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</si>
  <si>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</si>
  <si>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</si>
  <si>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</si>
  <si>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</si>
  <si>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</si>
  <si>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</si>
  <si>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</si>
  <si>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</si>
  <si>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</si>
  <si>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</si>
  <si>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</si>
  <si>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</si>
  <si>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</si>
  <si>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</si>
  <si>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</si>
  <si>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</si>
  <si>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</si>
  <si>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</si>
  <si>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</si>
  <si>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</si>
  <si>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</si>
  <si>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</si>
  <si>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</si>
  <si>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</si>
  <si>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</si>
  <si>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</si>
  <si>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</si>
  <si>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</si>
  <si>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</si>
  <si>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</si>
  <si>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</si>
  <si>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</si>
  <si>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</si>
  <si>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</si>
  <si>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</si>
  <si>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</si>
  <si>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</si>
  <si>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</si>
  <si>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</si>
  <si>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</si>
  <si>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</si>
  <si>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</si>
  <si>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</si>
  <si>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</si>
  <si>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</si>
  <si>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</si>
  <si>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</si>
  <si>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</si>
  <si>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</si>
  <si>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</si>
  <si>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</si>
  <si>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</si>
  <si>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</si>
  <si>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</si>
  <si>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</si>
  <si>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</si>
  <si>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</si>
  <si>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</si>
  <si>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</si>
  <si>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</si>
  <si>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</si>
  <si>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</si>
  <si>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</si>
  <si>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</si>
  <si>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</si>
  <si>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</si>
  <si>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</si>
  <si>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</si>
  <si>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</si>
  <si>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</si>
  <si>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</si>
  <si>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</si>
  <si>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</si>
  <si>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</si>
  <si>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</si>
  <si>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</si>
  <si>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</si>
  <si>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</si>
  <si>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</si>
  <si>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</si>
  <si>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</si>
  <si>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</si>
  <si>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</si>
  <si>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</si>
  <si>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</si>
  <si>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</si>
  <si>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</si>
  <si>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</si>
  <si>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</si>
  <si>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</si>
  <si>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</si>
  <si>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</si>
  <si>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</si>
  <si>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</si>
  <si>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</si>
  <si>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</si>
  <si>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</si>
  <si>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</si>
  <si>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</si>
  <si>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</si>
  <si>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</si>
  <si>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</si>
  <si>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</si>
  <si>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</si>
  <si>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</si>
  <si>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</si>
  <si>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</si>
  <si>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</si>
  <si>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</si>
  <si>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</si>
  <si>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</si>
  <si>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</si>
  <si>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</si>
  <si>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</si>
  <si>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</si>
  <si>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</si>
  <si>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</si>
  <si>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</si>
  <si>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</si>
  <si>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</si>
  <si>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</si>
  <si>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</si>
  <si>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</si>
  <si>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</si>
  <si>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</si>
  <si>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</si>
  <si>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</si>
  <si>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</si>
  <si>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</si>
  <si>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</si>
  <si>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</si>
  <si>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</si>
  <si>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</si>
  <si>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</si>
  <si>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</si>
  <si>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</si>
  <si>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</si>
  <si>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</si>
  <si>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</si>
  <si>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</si>
  <si>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</si>
  <si>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</si>
  <si>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</si>
  <si>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</si>
  <si>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</si>
  <si>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</si>
  <si>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</si>
  <si>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</si>
  <si>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</si>
  <si>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</si>
  <si>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</si>
  <si>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</si>
  <si>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</si>
  <si>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</si>
  <si>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</si>
  <si>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</si>
  <si>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</si>
  <si>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</si>
  <si>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</si>
  <si>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</si>
  <si>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</si>
  <si>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</si>
  <si>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</si>
  <si>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</si>
  <si>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</si>
  <si>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</si>
  <si>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</si>
  <si>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</si>
  <si>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</si>
  <si>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</si>
  <si>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</si>
  <si>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</si>
  <si>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</si>
  <si>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</si>
  <si>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</si>
  <si>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</si>
  <si>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</si>
  <si>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</si>
  <si>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</si>
  <si>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</si>
  <si>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</si>
  <si>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</si>
  <si>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</si>
  <si>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</si>
  <si>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</si>
  <si>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</si>
  <si>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</si>
  <si>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</si>
  <si>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</si>
  <si>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</si>
  <si>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</si>
  <si>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</si>
  <si>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</si>
  <si>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</si>
  <si>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</si>
  <si>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</si>
  <si>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</si>
  <si>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</si>
  <si>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</si>
  <si>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</si>
  <si>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</si>
  <si>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</si>
  <si>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</si>
  <si>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</si>
  <si>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</si>
  <si>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</si>
  <si>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</si>
  <si>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</si>
  <si>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</si>
  <si>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</si>
  <si>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</si>
  <si>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</si>
  <si>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</si>
  <si>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</si>
  <si>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</si>
  <si>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</si>
  <si>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</si>
  <si>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</si>
  <si>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</si>
  <si>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</si>
  <si>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</si>
  <si>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</si>
  <si>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</si>
  <si>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</si>
  <si>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</si>
  <si>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</si>
  <si>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</si>
  <si>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</si>
  <si>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</si>
  <si>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</si>
  <si>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</si>
  <si>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</si>
  <si>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</si>
  <si>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</si>
  <si>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</si>
  <si>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</si>
  <si>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</si>
  <si>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</si>
  <si>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</si>
  <si>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</si>
  <si>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</si>
  <si>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</si>
  <si>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</si>
  <si>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</si>
  <si>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</si>
  <si>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</si>
  <si>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</si>
  <si>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</si>
  <si>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</si>
  <si>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</si>
  <si>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</si>
  <si>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</si>
  <si>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</si>
  <si>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</si>
  <si>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</si>
  <si>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</si>
  <si>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</si>
  <si>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</si>
  <si>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</si>
  <si>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</si>
  <si>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</si>
  <si>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</si>
  <si>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</si>
  <si>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</si>
  <si>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</si>
  <si>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</si>
  <si>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</si>
  <si>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</si>
  <si>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</si>
  <si>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</si>
  <si>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</si>
  <si>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</si>
  <si>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</si>
  <si>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</si>
  <si>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</si>
  <si>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</si>
  <si>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</si>
  <si>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</si>
  <si>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</si>
  <si>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</si>
  <si>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</si>
  <si>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</si>
  <si>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</si>
  <si>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</si>
  <si>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</si>
  <si>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</si>
  <si>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</si>
  <si>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</si>
  <si>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</si>
  <si>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</si>
  <si>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</si>
  <si>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</si>
  <si>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</si>
  <si>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</si>
  <si>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</si>
  <si>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</si>
  <si>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</si>
  <si>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</si>
  <si>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</si>
  <si>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</si>
  <si>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</si>
  <si>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</si>
  <si>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</si>
  <si>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</si>
  <si>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</si>
  <si>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</si>
  <si>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</si>
  <si>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</si>
  <si>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</si>
  <si>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</si>
  <si>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</si>
  <si>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</si>
  <si>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</si>
  <si>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</si>
  <si>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</si>
  <si>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</si>
  <si>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</si>
  <si>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</si>
  <si>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</si>
  <si>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</si>
  <si>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</si>
  <si>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</si>
  <si>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</si>
  <si>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</si>
  <si>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</si>
  <si>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</si>
  <si>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</si>
  <si>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</si>
  <si>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</si>
  <si>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</si>
  <si>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</si>
  <si>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</si>
  <si>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</si>
  <si>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</si>
  <si>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</si>
  <si>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</si>
  <si>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</si>
  <si>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</si>
  <si>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</si>
  <si>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</si>
  <si>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</si>
  <si>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</si>
  <si>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</si>
  <si>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</si>
  <si>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</si>
  <si>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</si>
  <si>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</si>
  <si>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</si>
  <si>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</si>
  <si>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</si>
  <si>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</si>
  <si>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</si>
  <si>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</si>
  <si>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</si>
  <si>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</si>
  <si>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</si>
  <si>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</si>
  <si>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</si>
  <si>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</si>
  <si>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</si>
  <si>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</si>
  <si>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</si>
  <si>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</si>
  <si>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</si>
  <si>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</si>
  <si>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</si>
  <si>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</si>
  <si>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</si>
  <si>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</si>
  <si>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</si>
  <si>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</si>
  <si>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</si>
  <si>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</si>
  <si>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</si>
  <si>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</si>
  <si>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</si>
  <si>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</si>
  <si>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</si>
  <si>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</si>
  <si>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</si>
  <si>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</si>
  <si>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</si>
  <si>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</si>
  <si>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</si>
  <si>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</si>
  <si>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</si>
  <si>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</si>
  <si>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</si>
  <si>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</si>
  <si>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</si>
  <si>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</si>
  <si>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</si>
  <si>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</si>
  <si>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</si>
  <si>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</si>
  <si>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</si>
  <si>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</si>
  <si>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</si>
  <si>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</si>
  <si>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</si>
  <si>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</si>
  <si>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</si>
  <si>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</si>
  <si>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</si>
  <si>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</si>
  <si>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</si>
  <si>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</si>
  <si>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</si>
  <si>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</si>
  <si>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</si>
  <si>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</si>
  <si>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</si>
  <si>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</si>
  <si>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</si>
  <si>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</si>
  <si>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</si>
  <si>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</si>
  <si>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</si>
  <si>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</si>
  <si>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</si>
  <si>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</si>
  <si>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</si>
  <si>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</si>
  <si>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</si>
  <si>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</si>
  <si>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</si>
  <si>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</si>
  <si>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</si>
  <si>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</si>
  <si>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</si>
  <si>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</si>
  <si>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</si>
  <si>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</si>
  <si>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</si>
  <si>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</si>
  <si>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</si>
  <si>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</si>
  <si>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</si>
  <si>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</si>
  <si>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</si>
  <si>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</si>
  <si>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</si>
  <si>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</si>
  <si>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</si>
  <si>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</si>
  <si>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</si>
  <si>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</si>
  <si>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</si>
  <si>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</si>
  <si>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</si>
  <si>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</si>
  <si>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</si>
  <si>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</si>
  <si>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</si>
  <si>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</si>
  <si>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</si>
  <si>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</si>
  <si>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</si>
  <si>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</si>
  <si>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</si>
  <si>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</si>
  <si>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</si>
  <si>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</si>
  <si>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</si>
  <si>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</si>
  <si>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</si>
  <si>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</si>
  <si>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</si>
  <si>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</si>
  <si>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</si>
  <si>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</si>
  <si>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</si>
  <si>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</si>
  <si>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</si>
  <si>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</si>
  <si>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</si>
  <si>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</si>
  <si>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</si>
  <si>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</si>
  <si>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</si>
  <si>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</si>
  <si>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</si>
  <si>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</si>
  <si>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</si>
  <si>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</si>
  <si>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</si>
  <si>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</si>
  <si>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</si>
  <si>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</si>
  <si>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</si>
  <si>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</si>
  <si>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</si>
  <si>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</si>
  <si>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</si>
  <si>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</si>
  <si>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</si>
  <si>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</si>
  <si>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</si>
  <si>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</si>
  <si>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</si>
  <si>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</si>
  <si>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</si>
  <si>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</si>
  <si>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</si>
  <si>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</si>
  <si>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</si>
  <si>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</si>
  <si>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</si>
  <si>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</si>
  <si>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</si>
  <si>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</si>
  <si>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</si>
  <si>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</si>
  <si>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</si>
  <si>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</si>
  <si>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</si>
  <si>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</si>
  <si>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</si>
  <si>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</si>
  <si>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</si>
  <si>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</si>
  <si>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</si>
  <si>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</si>
  <si>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</si>
  <si>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</si>
  <si>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</si>
  <si>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</si>
  <si>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</si>
  <si>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</si>
  <si>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</si>
  <si>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</si>
  <si>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</si>
  <si>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</si>
  <si>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</si>
  <si>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</si>
  <si>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</si>
  <si>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</si>
  <si>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</si>
  <si>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</si>
  <si>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</si>
  <si>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</si>
  <si>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</si>
  <si>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</si>
  <si>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</si>
  <si>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</si>
  <si>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</si>
  <si>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</si>
  <si>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</si>
  <si>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</si>
  <si>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</si>
  <si>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</si>
  <si>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</si>
  <si>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</si>
  <si>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</si>
  <si>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</si>
  <si>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</si>
  <si>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</si>
  <si>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</si>
  <si>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</si>
  <si>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</si>
  <si>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</si>
  <si>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</si>
  <si>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</si>
  <si>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</si>
  <si>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</si>
  <si>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</si>
  <si>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</si>
  <si>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</si>
  <si>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</si>
  <si>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</si>
  <si>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</si>
  <si>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</si>
  <si>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</si>
  <si>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</si>
  <si>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</si>
  <si>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</si>
  <si>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</si>
  <si>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</si>
  <si>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</si>
  <si>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</si>
  <si>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</si>
  <si>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</si>
  <si>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</si>
  <si>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</si>
  <si>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</si>
  <si>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</si>
  <si>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</si>
  <si>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</si>
  <si>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</si>
  <si>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</si>
  <si>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</si>
  <si>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</si>
  <si>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</si>
  <si>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</si>
  <si>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</si>
  <si>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</si>
  <si>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</si>
  <si>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</si>
  <si>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</si>
  <si>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</si>
  <si>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</si>
  <si>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</si>
  <si>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</si>
  <si>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</si>
  <si>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</si>
  <si>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</si>
  <si>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</si>
  <si>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</si>
  <si>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</si>
  <si>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</si>
  <si>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</si>
  <si>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</si>
  <si>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</si>
  <si>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</si>
  <si>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</si>
  <si>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</si>
  <si>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</si>
  <si>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</si>
  <si>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</si>
  <si>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</si>
  <si>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</si>
  <si>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</si>
  <si>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</si>
  <si>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</si>
  <si>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</si>
  <si>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</si>
  <si>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</si>
  <si>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</si>
  <si>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</si>
  <si>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</si>
  <si>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</si>
  <si>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</si>
  <si>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</si>
  <si>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</si>
  <si>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</si>
  <si>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</si>
  <si>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</si>
  <si>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</si>
  <si>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</si>
  <si>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</si>
  <si>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</si>
  <si>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</si>
  <si>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</si>
  <si>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</si>
  <si>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</si>
  <si>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</si>
  <si>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</si>
  <si>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</si>
  <si>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</si>
  <si>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</si>
  <si>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</si>
  <si>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</si>
  <si>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</si>
  <si>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</si>
  <si>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</si>
  <si>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</si>
  <si>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</si>
  <si>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</si>
  <si>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</si>
  <si>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</si>
  <si>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</si>
  <si>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</si>
  <si>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</si>
  <si>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</si>
  <si>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</si>
  <si>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</si>
  <si>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</si>
  <si>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</si>
  <si>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</si>
  <si>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</si>
  <si>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</si>
  <si>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</si>
  <si>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</si>
  <si>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</si>
  <si>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</si>
  <si>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</si>
  <si>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</si>
  <si>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</si>
  <si>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</si>
  <si>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</si>
  <si>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</si>
  <si>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</si>
  <si>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</si>
  <si>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</si>
  <si>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</si>
  <si>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</si>
  <si>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</si>
  <si>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</si>
  <si>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</si>
  <si>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</si>
  <si>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</si>
  <si>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</si>
  <si>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</si>
  <si>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</si>
  <si>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</si>
  <si>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</si>
  <si>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</si>
  <si>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</si>
  <si>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</si>
  <si>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</si>
  <si>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</si>
  <si>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</si>
  <si>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</si>
  <si>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</si>
  <si>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</si>
  <si>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</si>
  <si>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</si>
  <si>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</si>
  <si>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</si>
  <si>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</si>
  <si>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</si>
  <si>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</si>
  <si>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</si>
  <si>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</si>
  <si>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</si>
  <si>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</si>
  <si>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</si>
  <si>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</si>
  <si>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</si>
  <si>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</si>
  <si>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</si>
  <si>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</si>
  <si>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</si>
  <si>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</si>
  <si>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</si>
  <si>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</si>
  <si>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</si>
  <si>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</si>
  <si>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</si>
  <si>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</si>
  <si>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</si>
  <si>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</si>
  <si>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</si>
  <si>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</si>
  <si>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</si>
  <si>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</si>
  <si>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</si>
  <si>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</si>
  <si>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</si>
  <si>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</si>
  <si>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</si>
  <si>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</si>
  <si>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</si>
  <si>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</si>
  <si>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</si>
  <si>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</si>
  <si>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</si>
  <si>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</si>
  <si>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</si>
  <si>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</si>
  <si>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</si>
  <si>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</si>
  <si>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</si>
  <si>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</si>
  <si>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</si>
  <si>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</si>
  <si>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</si>
  <si>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</si>
  <si>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</si>
  <si>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</si>
  <si>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</si>
  <si>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</si>
  <si>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</si>
  <si>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</si>
  <si>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</si>
  <si>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</si>
  <si>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</si>
  <si>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</si>
  <si>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</si>
  <si>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</si>
  <si>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</si>
  <si>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</si>
  <si>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</si>
  <si>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</si>
  <si>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</si>
  <si>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</si>
  <si>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</si>
  <si>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</si>
  <si>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</si>
  <si>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</si>
  <si>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</si>
  <si>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</si>
  <si>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</si>
  <si>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</si>
  <si>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</si>
  <si>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</si>
  <si>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</si>
  <si>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</si>
  <si>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</si>
  <si>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</si>
  <si>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</si>
  <si>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</si>
  <si>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</si>
  <si>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</si>
  <si>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</si>
  <si>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</si>
  <si>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</si>
  <si>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</si>
  <si>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</si>
  <si>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</si>
  <si>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</si>
  <si>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</si>
  <si>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</si>
  <si>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</si>
  <si>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</si>
  <si>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</si>
  <si>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</si>
  <si>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</si>
  <si>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</si>
  <si>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</si>
  <si>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</si>
  <si>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</si>
  <si>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</si>
  <si>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</si>
  <si>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</si>
  <si>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</si>
  <si>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</si>
  <si>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</si>
  <si>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</si>
  <si>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</si>
  <si>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</si>
  <si>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</si>
  <si>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</si>
  <si>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</si>
  <si>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</si>
  <si>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</si>
  <si>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</si>
  <si>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</si>
  <si>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</si>
  <si>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</si>
  <si>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</si>
  <si>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</si>
  <si>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</si>
  <si>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</si>
  <si>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</si>
  <si>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</si>
  <si>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</si>
  <si>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</si>
  <si>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</si>
  <si>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</si>
  <si>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</si>
  <si>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</si>
  <si>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</si>
  <si>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</si>
  <si>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</si>
  <si>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</si>
  <si>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</si>
  <si>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</si>
  <si>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</si>
  <si>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</si>
  <si>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</si>
  <si>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</si>
  <si>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</si>
  <si>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</si>
  <si>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</si>
  <si>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</si>
  <si>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</si>
  <si>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</si>
  <si>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</si>
  <si>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</si>
  <si>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</si>
  <si>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</si>
  <si>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</si>
  <si>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</si>
  <si>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</si>
  <si>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</si>
  <si>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</si>
  <si>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</si>
  <si>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</si>
  <si>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</si>
  <si>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</si>
  <si>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</si>
  <si>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</si>
  <si>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</si>
  <si>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</si>
  <si>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</si>
  <si>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</si>
  <si>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</si>
  <si>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</si>
  <si>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</si>
  <si>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</si>
  <si>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</si>
  <si>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</si>
  <si>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</si>
  <si>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</si>
  <si>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</si>
  <si>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</si>
  <si>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</si>
  <si>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</si>
  <si>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</si>
  <si>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</si>
  <si>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</si>
  <si>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</si>
  <si>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</si>
  <si>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</si>
  <si>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</si>
  <si>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</si>
  <si>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</si>
  <si>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</si>
  <si>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</si>
  <si>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</si>
  <si>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</si>
  <si>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</si>
  <si>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</si>
  <si>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</si>
  <si>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</si>
  <si>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</si>
  <si>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</si>
  <si>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</si>
  <si>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</si>
  <si>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</si>
  <si>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</si>
  <si>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</si>
  <si>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</si>
  <si>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</si>
  <si>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</si>
  <si>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</si>
  <si>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</si>
  <si>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</si>
  <si>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</si>
  <si>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</si>
  <si>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</si>
  <si>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</si>
  <si>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</si>
  <si>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</si>
  <si>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</si>
  <si>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</si>
  <si>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</si>
  <si>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</si>
  <si>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</si>
  <si>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</si>
  <si>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</si>
  <si>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</si>
  <si>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</si>
  <si>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</si>
  <si>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</si>
  <si>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</si>
  <si>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</si>
  <si>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</si>
  <si>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</si>
  <si>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</si>
  <si>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</si>
  <si>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</si>
  <si>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</si>
  <si>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</si>
  <si>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</si>
  <si>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</si>
  <si>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</si>
  <si>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</si>
  <si>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</si>
  <si>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</si>
  <si>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</si>
  <si>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</si>
  <si>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</si>
  <si>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</si>
  <si>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</si>
  <si>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</si>
  <si>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</si>
  <si>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</si>
  <si>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</si>
  <si>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</si>
  <si>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</si>
  <si>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</si>
  <si>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</si>
  <si>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</si>
  <si>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</si>
  <si>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</si>
  <si>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</si>
  <si>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</si>
  <si>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</si>
  <si>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</si>
  <si>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</si>
  <si>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</si>
  <si>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</si>
  <si>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</si>
  <si>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</si>
  <si>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</si>
  <si>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</si>
  <si>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</si>
  <si>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</si>
  <si>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</si>
  <si>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</si>
  <si>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</si>
  <si>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</si>
  <si>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</si>
  <si>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</si>
  <si>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</si>
  <si>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</si>
  <si>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</si>
  <si>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</si>
  <si>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</si>
  <si>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</si>
  <si>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</si>
  <si>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</si>
  <si>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</si>
  <si>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</si>
  <si>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</si>
  <si>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</si>
  <si>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</si>
  <si>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</si>
  <si>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</si>
  <si>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</si>
  <si>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</si>
  <si>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</si>
  <si>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</si>
  <si>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</si>
  <si>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</si>
  <si>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</si>
  <si>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</si>
  <si>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</si>
  <si>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</si>
  <si>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</si>
  <si>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</si>
  <si>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</si>
  <si>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</si>
  <si>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</si>
  <si>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</si>
  <si>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</si>
  <si>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</si>
  <si>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</si>
  <si>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</si>
  <si>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</si>
  <si>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</si>
  <si>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</si>
  <si>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</si>
  <si>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</si>
  <si>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</si>
  <si>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</si>
  <si>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</si>
  <si>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</si>
  <si>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</si>
  <si>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</si>
  <si>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</si>
  <si>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</si>
  <si>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</si>
  <si>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</si>
  <si>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</si>
  <si>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</si>
  <si>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</si>
  <si>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</si>
  <si>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</si>
  <si>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</si>
  <si>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</si>
  <si>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</si>
  <si>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</si>
  <si>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</si>
  <si>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</si>
  <si>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</si>
  <si>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</si>
  <si>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</si>
  <si>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</si>
  <si>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</si>
  <si>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</si>
  <si>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</si>
  <si>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</si>
  <si>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</si>
  <si>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</si>
  <si>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</si>
  <si>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</si>
  <si>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</si>
  <si>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</si>
  <si>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</si>
  <si>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</si>
  <si>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</si>
  <si>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</si>
  <si>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</si>
  <si>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</si>
  <si>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</si>
  <si>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</si>
  <si>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</si>
  <si>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</si>
  <si>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</si>
  <si>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</si>
  <si>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</si>
  <si>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</si>
  <si>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</si>
  <si>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</si>
  <si>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</si>
  <si>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</si>
  <si>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</si>
  <si>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</si>
  <si>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</si>
  <si>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</si>
  <si>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</si>
  <si>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</si>
  <si>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</si>
  <si>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</si>
  <si>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</si>
  <si>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</si>
  <si>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</si>
  <si>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</si>
  <si>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</si>
  <si>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</si>
  <si>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</si>
  <si>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</si>
  <si>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</si>
  <si>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</si>
  <si>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</si>
  <si>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</si>
  <si>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</si>
  <si>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</si>
  <si>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</si>
  <si>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</si>
  <si>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</si>
  <si>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</si>
  <si>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</si>
  <si>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</si>
  <si>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</si>
  <si>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</si>
  <si>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</si>
  <si>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</si>
  <si>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</si>
  <si>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</si>
  <si>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</si>
  <si>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</si>
  <si>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</si>
  <si>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</si>
  <si>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</si>
  <si>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</si>
  <si>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</si>
  <si>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</si>
  <si>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</si>
  <si>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</si>
  <si>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</si>
  <si>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</si>
  <si>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</si>
  <si>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</si>
  <si>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</si>
  <si>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</si>
  <si>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</si>
  <si>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</si>
  <si>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</si>
  <si>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</si>
  <si>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</si>
  <si>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</si>
  <si>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</si>
  <si>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</si>
  <si>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</si>
  <si>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</si>
  <si>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</si>
  <si>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</si>
  <si>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</si>
  <si>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</si>
  <si>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</si>
  <si>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</si>
  <si>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</si>
  <si>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</si>
  <si>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</si>
  <si>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</si>
  <si>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</si>
  <si>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</si>
  <si>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</si>
  <si>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</si>
  <si>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</si>
  <si>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</si>
  <si>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</si>
  <si>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</si>
  <si>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</si>
  <si>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</si>
  <si>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</si>
  <si>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</si>
  <si>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</si>
  <si>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</si>
  <si>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</si>
  <si>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</si>
  <si>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</si>
  <si>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</si>
  <si>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</si>
  <si>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</si>
  <si>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</si>
  <si>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</si>
  <si>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</si>
  <si>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</si>
  <si>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</si>
  <si>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</si>
  <si>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</si>
  <si>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</si>
  <si>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</si>
  <si>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</si>
  <si>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</si>
  <si>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</si>
  <si>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</si>
  <si>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</si>
  <si>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</si>
  <si>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</si>
  <si>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</si>
  <si>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</si>
  <si>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</si>
  <si>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</si>
  <si>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</si>
  <si>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</si>
  <si>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</si>
  <si>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</si>
  <si>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</si>
  <si>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</si>
  <si>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</si>
  <si>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</si>
  <si>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</si>
  <si>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</si>
  <si>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</si>
  <si>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</si>
  <si>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</si>
  <si>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</si>
  <si>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</si>
  <si>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</si>
  <si>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</si>
  <si>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</si>
  <si>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</si>
  <si>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</si>
  <si>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</si>
  <si>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</si>
  <si>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</si>
  <si>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</si>
  <si>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</si>
  <si>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</si>
  <si>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</si>
  <si>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</si>
  <si>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</si>
  <si>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</si>
  <si>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</si>
  <si>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</si>
  <si>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</si>
  <si>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</si>
  <si>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</si>
  <si>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</si>
  <si>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</si>
  <si>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</si>
  <si>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</si>
  <si>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</si>
  <si>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</si>
  <si>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</si>
  <si>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</si>
  <si>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</si>
  <si>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</si>
  <si>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</si>
  <si>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</si>
  <si>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</si>
  <si>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</si>
  <si>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</si>
  <si>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</si>
  <si>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</si>
  <si>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</si>
  <si>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</si>
  <si>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</si>
  <si>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</si>
  <si>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</si>
  <si>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</si>
  <si>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</si>
  <si>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</si>
  <si>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</si>
  <si>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</si>
  <si>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</si>
  <si>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</si>
  <si>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</si>
  <si>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</si>
  <si>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</si>
  <si>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</si>
  <si>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</si>
  <si>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</si>
  <si>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</si>
  <si>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</si>
  <si>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</si>
  <si>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</si>
  <si>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</si>
  <si>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</si>
  <si>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</si>
  <si>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</si>
  <si>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</si>
  <si>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</si>
  <si>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</si>
  <si>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</si>
  <si>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</si>
  <si>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</si>
  <si>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</si>
  <si>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</si>
  <si>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</si>
  <si>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</si>
  <si>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</si>
  <si>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</si>
  <si>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</si>
  <si>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</si>
  <si>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</si>
  <si>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</si>
  <si>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</si>
  <si>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</si>
  <si>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</si>
  <si>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</si>
  <si>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</si>
  <si>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</si>
  <si>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</si>
  <si>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</si>
  <si>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</si>
  <si>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</si>
  <si>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</si>
  <si>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</si>
  <si>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</si>
  <si>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</si>
  <si>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</si>
  <si>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</si>
  <si>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</si>
  <si>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</si>
  <si>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</si>
  <si>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</si>
  <si>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</si>
  <si>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</si>
  <si>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</si>
  <si>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</si>
  <si>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</si>
  <si>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</si>
  <si>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</si>
  <si>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</si>
  <si>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</si>
  <si>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</si>
  <si>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</si>
  <si>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</si>
  <si>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</si>
  <si>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</si>
  <si>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</si>
  <si>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</si>
  <si>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</si>
  <si>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</si>
  <si>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</si>
  <si>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</si>
  <si>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</si>
  <si>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</si>
  <si>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</si>
  <si>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</si>
  <si>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</si>
  <si>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</si>
  <si>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</si>
  <si>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</si>
  <si>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</si>
  <si>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</si>
  <si>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</si>
  <si>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</si>
  <si>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</si>
  <si>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</si>
  <si>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</si>
  <si>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</si>
  <si>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</si>
  <si>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</si>
  <si>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</si>
  <si>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</si>
  <si>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</si>
  <si>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</si>
  <si>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</si>
  <si>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</si>
  <si>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</si>
  <si>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</si>
  <si>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</si>
  <si>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</si>
  <si>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</si>
  <si>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</si>
  <si>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</si>
  <si>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</si>
  <si>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</si>
  <si>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</si>
  <si>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</si>
  <si>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</si>
  <si>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</si>
  <si>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</si>
  <si>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</si>
  <si>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</si>
  <si>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</si>
  <si>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</si>
  <si>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</si>
  <si>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</si>
  <si>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</si>
  <si>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</si>
  <si>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</si>
  <si>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</si>
  <si>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</si>
  <si>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</si>
  <si>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</si>
  <si>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</si>
  <si>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</si>
  <si>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</si>
  <si>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</si>
  <si>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</si>
  <si>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</si>
  <si>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</si>
  <si>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</si>
  <si>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</si>
  <si>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</si>
  <si>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</si>
  <si>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</si>
  <si>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</si>
  <si>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</si>
  <si>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</si>
  <si>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</si>
  <si>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</si>
  <si>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</si>
  <si>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</si>
  <si>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</si>
  <si>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</si>
  <si>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</si>
  <si>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</si>
  <si>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</si>
  <si>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</si>
  <si>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</si>
  <si>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</si>
  <si>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</si>
  <si>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</si>
  <si>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</si>
  <si>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</si>
  <si>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</si>
  <si>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</si>
  <si>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</si>
  <si>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</si>
  <si>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</si>
  <si>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</si>
  <si>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</si>
  <si>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</si>
  <si>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</si>
  <si>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</si>
  <si>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</si>
  <si>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</si>
  <si>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</si>
  <si>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</si>
  <si>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</si>
  <si>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</si>
  <si>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</si>
  <si>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</si>
  <si>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</si>
  <si>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</si>
  <si>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</si>
  <si>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</si>
  <si>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</si>
  <si>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</si>
  <si>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</si>
  <si>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</si>
  <si>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</si>
  <si>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</si>
  <si>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</si>
  <si>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</si>
  <si>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</si>
  <si>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</si>
  <si>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</si>
  <si>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</si>
  <si>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</si>
  <si>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</si>
  <si>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</si>
  <si>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</si>
  <si>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</si>
  <si>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</si>
  <si>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</si>
  <si>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</si>
  <si>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</si>
  <si>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</si>
  <si>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</si>
  <si>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</si>
  <si>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</si>
  <si>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</si>
  <si>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</si>
  <si>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</si>
  <si>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</si>
  <si>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</si>
  <si>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</si>
  <si>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</si>
  <si>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</si>
  <si>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</si>
  <si>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</si>
  <si>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</si>
  <si>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</si>
  <si>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</si>
  <si>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</si>
  <si>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</si>
  <si>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</si>
  <si>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</si>
  <si>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</si>
  <si>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</si>
  <si>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</si>
  <si>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</si>
  <si>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</si>
  <si>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</si>
  <si>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</si>
  <si>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</si>
  <si>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</si>
  <si>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</si>
  <si>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</si>
  <si>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</si>
  <si>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</si>
  <si>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</si>
  <si>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</si>
  <si>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</si>
  <si>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</si>
  <si>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</si>
  <si>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</si>
  <si>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</si>
  <si>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</si>
  <si>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</si>
  <si>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</si>
  <si>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</si>
  <si>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</si>
  <si>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</si>
  <si>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</si>
  <si>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</si>
  <si>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</si>
  <si>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</si>
  <si>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</si>
  <si>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</si>
  <si>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</si>
  <si>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</si>
  <si>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</si>
  <si>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</si>
  <si>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</si>
  <si>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</si>
  <si>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</si>
  <si>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</si>
  <si>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</si>
  <si>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</si>
  <si>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</si>
  <si>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</si>
  <si>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</si>
  <si>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</si>
  <si>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</si>
  <si>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</si>
  <si>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</si>
  <si>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</si>
  <si>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</si>
  <si>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</si>
  <si>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</si>
  <si>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</si>
  <si>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</si>
  <si>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</si>
  <si>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</si>
  <si>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</si>
  <si>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</si>
  <si>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</si>
  <si>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</si>
  <si>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</si>
  <si>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</si>
  <si>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</si>
  <si>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</si>
  <si>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</si>
  <si>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</si>
  <si>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</si>
  <si>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</si>
  <si>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</si>
  <si>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</si>
  <si>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</si>
  <si>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</si>
  <si>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</si>
  <si>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</si>
  <si>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</si>
  <si>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</si>
  <si>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</si>
  <si>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</si>
  <si>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</si>
  <si>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</si>
  <si>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</si>
  <si>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</si>
  <si>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</si>
  <si>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</si>
  <si>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</si>
  <si>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</si>
  <si>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</si>
  <si>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</si>
  <si>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</si>
  <si>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</si>
  <si>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</si>
  <si>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</si>
  <si>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</si>
  <si>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</si>
  <si>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</si>
  <si>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</si>
  <si>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</si>
  <si>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</si>
  <si>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</si>
  <si>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</si>
  <si>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</si>
  <si>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</si>
  <si>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</si>
  <si>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</si>
  <si>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</si>
  <si>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</si>
  <si>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</si>
  <si>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</si>
  <si>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</si>
  <si>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</si>
  <si>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</si>
  <si>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</si>
  <si>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</si>
  <si>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</si>
  <si>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</si>
  <si>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</si>
  <si>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</si>
  <si>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</si>
  <si>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</si>
  <si>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</si>
  <si>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</si>
  <si>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</si>
  <si>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</si>
  <si>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</si>
  <si>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</si>
  <si>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</si>
  <si>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</si>
  <si>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</si>
  <si>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</si>
  <si>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</si>
  <si>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</si>
  <si>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</si>
  <si>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</si>
  <si>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</si>
  <si>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</si>
  <si>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</si>
  <si>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</si>
  <si>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</si>
  <si>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</si>
  <si>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</si>
  <si>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</si>
  <si>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</si>
  <si>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</si>
  <si>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</si>
  <si>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</si>
  <si>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</si>
  <si>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</si>
  <si>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</si>
  <si>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</si>
  <si>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</si>
  <si>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</si>
  <si>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</si>
  <si>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</si>
  <si>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</si>
  <si>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</si>
  <si>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</si>
  <si>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</si>
  <si>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</si>
  <si>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</si>
  <si>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</si>
  <si>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</si>
  <si>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</si>
  <si>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</si>
  <si>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</si>
  <si>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</si>
  <si>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</si>
  <si>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</si>
  <si>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</si>
  <si>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</si>
  <si>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</si>
  <si>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</si>
  <si>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</si>
  <si>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</si>
  <si>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</si>
  <si>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</si>
  <si>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</si>
  <si>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</si>
  <si>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</si>
  <si>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</si>
  <si>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</si>
  <si>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</si>
  <si>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</si>
  <si>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</si>
  <si>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</si>
  <si>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</si>
  <si>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</si>
  <si>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</si>
  <si>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</si>
  <si>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</si>
  <si>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</si>
  <si>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</si>
  <si>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</si>
  <si>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</si>
  <si>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</si>
  <si>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</si>
  <si>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</si>
  <si>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</si>
  <si>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</si>
  <si>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</si>
  <si>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</si>
  <si>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</si>
  <si>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</si>
  <si>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</si>
  <si>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</si>
  <si>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</si>
  <si>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</si>
  <si>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</si>
  <si>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</si>
  <si>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</si>
  <si>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</si>
  <si>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</si>
  <si>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</si>
  <si>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</si>
  <si>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</si>
  <si>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</si>
  <si>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</si>
  <si>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</si>
  <si>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</si>
  <si>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</si>
  <si>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</si>
  <si>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</si>
  <si>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</si>
  <si>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</si>
  <si>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</si>
  <si>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</si>
  <si>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</si>
  <si>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</si>
  <si>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</si>
  <si>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</si>
  <si>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</si>
  <si>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</si>
  <si>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</si>
  <si>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</si>
  <si>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</si>
  <si>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</si>
  <si>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</si>
  <si>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</si>
  <si>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</si>
  <si>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</si>
  <si>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</si>
  <si>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</si>
  <si>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</si>
  <si>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</si>
  <si>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</si>
  <si>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</si>
  <si>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</si>
  <si>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</si>
  <si>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</si>
  <si>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</si>
  <si>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</si>
  <si>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</si>
  <si>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</si>
  <si>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</si>
  <si>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</si>
  <si>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</si>
  <si>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</si>
  <si>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</si>
  <si>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</si>
  <si>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</si>
  <si>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</si>
  <si>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</si>
  <si>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</si>
  <si>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</si>
  <si>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</si>
  <si>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</si>
  <si>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</si>
  <si>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</si>
  <si>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</si>
  <si>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</si>
  <si>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</si>
  <si>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</si>
  <si>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</si>
  <si>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</si>
  <si>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</si>
  <si>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</si>
  <si>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</si>
  <si>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</si>
  <si>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</si>
  <si>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</si>
  <si>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</si>
  <si>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</si>
  <si>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</si>
  <si>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</si>
  <si>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</si>
  <si>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</si>
  <si>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</si>
  <si>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</si>
  <si>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</si>
  <si>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</si>
  <si>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</si>
  <si>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</si>
  <si>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</si>
  <si>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</si>
  <si>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</si>
  <si>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</si>
  <si>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</si>
  <si>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</si>
  <si>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</si>
  <si>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</si>
  <si>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</si>
  <si>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</si>
  <si>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</si>
  <si>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</si>
  <si>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</si>
  <si>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</si>
  <si>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</si>
  <si>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</si>
  <si>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</si>
  <si>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</si>
  <si>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</si>
  <si>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</si>
  <si>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</si>
  <si>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</si>
  <si>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</si>
  <si>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</si>
  <si>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</si>
  <si>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</si>
  <si>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</si>
  <si>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</si>
  <si>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</si>
  <si>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</si>
  <si>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</si>
  <si>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</si>
  <si>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</si>
  <si>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</si>
  <si>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</si>
  <si>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</si>
  <si>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</si>
  <si>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</si>
  <si>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</si>
  <si>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</si>
  <si>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</si>
  <si>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</si>
  <si>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</si>
  <si>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</si>
  <si>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</si>
  <si>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</si>
  <si>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</si>
  <si>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</si>
  <si>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</si>
  <si>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</si>
  <si>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</si>
  <si>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</si>
  <si>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</si>
  <si>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</si>
  <si>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</si>
  <si>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</si>
  <si>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</si>
  <si>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</si>
  <si>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</si>
  <si>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</si>
  <si>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</si>
  <si>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</si>
  <si>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</si>
  <si>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</si>
  <si>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</si>
  <si>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</si>
  <si>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</si>
  <si>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</si>
  <si>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</si>
  <si>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</si>
  <si>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</si>
  <si>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</si>
  <si>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</si>
  <si>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</si>
  <si>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</si>
  <si>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</si>
  <si>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</si>
  <si>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</si>
  <si>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</si>
  <si>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</si>
  <si>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</si>
  <si>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</si>
  <si>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</si>
  <si>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</si>
  <si>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</si>
  <si>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</si>
  <si>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</si>
  <si>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</si>
  <si>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</si>
  <si>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</si>
  <si>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</si>
  <si>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</si>
  <si>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</si>
  <si>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</si>
  <si>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</si>
  <si>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</si>
  <si>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</si>
  <si>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</si>
  <si>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</si>
  <si>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</si>
  <si>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</si>
  <si>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</si>
  <si>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</si>
  <si>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</si>
  <si>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</si>
  <si>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</si>
  <si>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</si>
  <si>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</si>
  <si>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</si>
  <si>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</si>
  <si>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</si>
  <si>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</si>
  <si>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</si>
  <si>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</si>
  <si>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</si>
  <si>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</si>
  <si>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</si>
  <si>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</si>
  <si>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</si>
  <si>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</si>
  <si>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</si>
  <si>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</si>
  <si>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</si>
  <si>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</si>
  <si>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</si>
  <si>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</si>
  <si>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</si>
  <si>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</si>
  <si>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</si>
  <si>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</si>
  <si>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</si>
  <si>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</si>
  <si>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</si>
  <si>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</si>
  <si>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</si>
  <si>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</si>
  <si>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</si>
  <si>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</si>
  <si>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</si>
  <si>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</si>
  <si>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</si>
  <si>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</si>
  <si>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</si>
  <si>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</si>
  <si>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</si>
  <si>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</si>
  <si>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</si>
  <si>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</si>
  <si>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</si>
  <si>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</si>
  <si>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</si>
  <si>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</si>
  <si>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</si>
  <si>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</si>
  <si>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</si>
  <si>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</si>
  <si>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</si>
  <si>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</si>
  <si>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</si>
  <si>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</si>
  <si>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</si>
  <si>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</si>
  <si>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</si>
  <si>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</si>
  <si>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</si>
  <si>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</si>
  <si>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</si>
  <si>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</si>
  <si>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</si>
  <si>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</si>
  <si>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</si>
  <si>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</si>
  <si>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</si>
  <si>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</si>
  <si>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</si>
  <si>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</si>
  <si>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</si>
  <si>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</si>
  <si>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</si>
  <si>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</si>
  <si>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</si>
  <si>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</si>
  <si>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</si>
  <si>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</si>
  <si>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</si>
  <si>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</si>
  <si>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</si>
  <si>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</si>
  <si>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</si>
  <si>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</si>
  <si>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</si>
  <si>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</si>
  <si>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</si>
  <si>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</si>
  <si>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</si>
  <si>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</si>
  <si>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比较法-办公（大宗）</t>
  </si>
  <si>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</si>
  <si>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</si>
  <si>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</si>
  <si>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</si>
  <si>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</si>
  <si>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</si>
  <si>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</si>
  <si>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</si>
  <si>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西城区西直门外大街南路甲28号</t>
    <phoneticPr fontId="134"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</si>
  <si>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</si>
  <si>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</si>
  <si>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</si>
  <si>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</si>
  <si>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</si>
  <si>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</si>
  <si>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</si>
  <si>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</si>
  <si>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</si>
  <si>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</si>
  <si>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</si>
  <si>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</si>
  <si>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</si>
  <si>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</si>
  <si>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</si>
  <si>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</si>
  <si>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</si>
  <si>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</si>
  <si>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</si>
  <si>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</si>
  <si>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</si>
  <si>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</si>
  <si>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</si>
  <si>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</si>
  <si>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</si>
  <si>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</si>
  <si>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</si>
  <si>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</si>
  <si>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</si>
  <si>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</si>
  <si>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</si>
  <si>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t>实际办公</t>
    <phoneticPr fontId="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</si>
  <si>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</si>
  <si>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</si>
  <si>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</si>
  <si>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</si>
  <si>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B座</t>
    <phoneticPr fontId="4" type="noConversion"/>
  </si>
  <si>
    <t>A座</t>
    <phoneticPr fontId="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</si>
  <si>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</si>
  <si>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</si>
  <si>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</si>
  <si>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</si>
  <si>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</si>
  <si>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</si>
  <si>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</si>
  <si>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</si>
  <si>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</si>
  <si>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</si>
  <si>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</si>
  <si>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</si>
  <si>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</si>
  <si>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</si>
  <si>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</si>
  <si>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</si>
  <si>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</si>
  <si>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</si>
  <si>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不动产权证证号</t>
  </si>
  <si>
    <t>坐落</t>
  </si>
  <si>
    <t>建筑面积</t>
  </si>
  <si>
    <t>房地产价值</t>
  </si>
  <si>
    <t>合计</t>
  </si>
  <si>
    <t>西城区西直门外大街南路甲28号1层等5套</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</si>
  <si>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4" type="noConversion"/>
  </si>
  <si>
    <t>西城区西直门外大街南路28号6层等19套</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</si>
  <si>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4" type="noConversion"/>
  </si>
  <si>
    <t>西城区西直门外大街南路28号、甲28号1幢-01层</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</si>
  <si>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4"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</si>
  <si>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</si>
  <si>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</si>
  <si>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</si>
  <si>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4" type="noConversion"/>
  </si>
  <si>
    <t>办公</t>
    <phoneticPr fontId="134" type="noConversion"/>
  </si>
  <si>
    <t>地下车库</t>
    <phoneticPr fontId="134" type="noConversion"/>
  </si>
  <si>
    <t>收益价值合计</t>
    <phoneticPr fontId="134" type="noConversion"/>
  </si>
  <si>
    <t>A座年收益</t>
    <phoneticPr fontId="4" type="noConversion"/>
  </si>
  <si>
    <t>B座年收益</t>
    <phoneticPr fontId="4" type="noConversion"/>
  </si>
  <si>
    <t>地下收益</t>
    <phoneticPr fontId="4" type="noConversion"/>
  </si>
  <si>
    <t>年收益</t>
    <phoneticPr fontId="4" type="noConversion"/>
  </si>
  <si>
    <t>收益法价值</t>
    <phoneticPr fontId="4" type="noConversion"/>
  </si>
  <si>
    <t>净值</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</si>
  <si>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4" type="noConversion"/>
  </si>
  <si>
    <t>土地</t>
    <phoneticPr fontId="134" type="noConversion"/>
  </si>
  <si>
    <t>建筑物</t>
    <phoneticPr fontId="134" type="noConversion"/>
  </si>
  <si>
    <t>建筑物价值</t>
    <phoneticPr fontId="4" type="noConversion"/>
  </si>
  <si>
    <t>二级05</t>
    <phoneticPr fontId="134" type="noConversion"/>
  </si>
  <si>
    <t>办公</t>
    <phoneticPr fontId="134" type="noConversion"/>
  </si>
  <si>
    <t>商业</t>
    <phoneticPr fontId="134" type="noConversion"/>
  </si>
  <si>
    <t>地下1层</t>
    <phoneticPr fontId="134" type="noConversion"/>
  </si>
  <si>
    <t>车库</t>
    <phoneticPr fontId="134" type="noConversion"/>
  </si>
  <si>
    <t>地价系数</t>
    <phoneticPr fontId="134" type="noConversion"/>
  </si>
  <si>
    <t>土地拆分</t>
    <phoneticPr fontId="4" type="noConversion"/>
  </si>
  <si>
    <t>商业</t>
    <phoneticPr fontId="4" type="noConversion"/>
  </si>
  <si>
    <t>6层以上</t>
    <phoneticPr fontId="134" type="noConversion"/>
  </si>
  <si>
    <t>房地产</t>
    <phoneticPr fontId="134" type="noConversion"/>
  </si>
  <si>
    <t>按合计拆分</t>
    <phoneticPr fontId="134" type="noConversion"/>
  </si>
  <si>
    <t>按土地拆分</t>
    <phoneticPr fontId="134" type="noConversion"/>
  </si>
  <si>
    <t>土地价值</t>
    <phoneticPr fontId="134" type="noConversion"/>
  </si>
  <si>
    <t>建筑物价值</t>
    <phoneticPr fontId="134" type="noConversion"/>
  </si>
  <si>
    <t>房地价值</t>
    <phoneticPr fontId="134" type="noConversion"/>
  </si>
  <si>
    <t>单价</t>
    <phoneticPr fontId="134" type="noConversion"/>
  </si>
  <si>
    <t>商业年收益</t>
    <phoneticPr fontId="134" type="noConversion"/>
  </si>
  <si>
    <t>地下商业</t>
    <phoneticPr fontId="4" type="noConversion"/>
  </si>
  <si>
    <t>等于重置成新价</t>
    <phoneticPr fontId="134" type="noConversion"/>
  </si>
  <si>
    <t>办公直接等于收益法结果，土地为倒减结果</t>
    <phoneticPr fontId="134" type="noConversion"/>
  </si>
  <si>
    <t>地下车库地价按毛地价计算，房地价值等于土地毛地价加建筑物重置成新价</t>
    <phoneticPr fontId="134" type="noConversion"/>
  </si>
  <si>
    <t>商业部分土地价值按收益价值拆分后，加建筑物重置成新价计算房地价值</t>
    <phoneticPr fontId="134" type="noConversion"/>
  </si>
  <si>
    <t>净值</t>
    <phoneticPr fontId="134" type="noConversion"/>
  </si>
  <si>
    <t>合计</t>
    <phoneticPr fontId="134" type="noConversion"/>
  </si>
  <si>
    <t>商业</t>
    <phoneticPr fontId="134" type="noConversion"/>
  </si>
  <si>
    <t>办公及车库</t>
    <phoneticPr fontId="134" type="noConversion"/>
  </si>
  <si>
    <t>合计</t>
    <phoneticPr fontId="134" type="noConversion"/>
  </si>
  <si>
    <t>地上</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</si>
</sst>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
      <patternFill patternType="solid">
        <fgColor theme="1" tint="0.49998474074526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1" fillId="0" borderId="0"/>
    <xf numFmtId="0" fontId="96" fillId="0" borderId="0">
      <alignment vertical="center"/>
    </xf>
    <xf numFmtId="0" fontId="221" fillId="0" borderId="0"/>
    <xf numFmtId="43" fontId="274" fillId="0" borderId="0" applyFont="0" applyFill="0" applyBorder="0" applyAlignment="0" applyProtection="0">
      <alignment vertical="center"/>
    </xf>
    <xf numFmtId="0" fontId="159" fillId="0" borderId="0"/>
  </cellStyleXfs>
  <cellXfs count="39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2" fillId="0" borderId="0" xfId="12" applyFont="1"/>
    <xf numFmtId="0" fontId="272" fillId="0" borderId="0" xfId="12" applyFont="1" applyAlignment="1">
      <alignment vertical="center"/>
    </xf>
    <xf numFmtId="0" fontId="272" fillId="0" borderId="1" xfId="12" applyFont="1" applyBorder="1" applyAlignment="1">
      <alignment horizontal="left" vertical="center"/>
    </xf>
    <xf numFmtId="0" fontId="272" fillId="0" borderId="0" xfId="12" applyFont="1" applyAlignment="1">
      <alignment horizontal="left" vertical="center"/>
    </xf>
    <xf numFmtId="0" fontId="272" fillId="0" borderId="0" xfId="12" applyFont="1" applyAlignment="1">
      <alignment horizontal="left"/>
    </xf>
    <xf numFmtId="0" fontId="273"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70"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70"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264" fillId="0" borderId="177" xfId="0" applyFont="1" applyBorder="1" applyAlignment="1">
      <alignment horizontal="justify" vertical="center"/>
    </xf>
    <xf numFmtId="0" fontId="264" fillId="0" borderId="178" xfId="0" applyFont="1" applyBorder="1" applyAlignment="1">
      <alignment horizontal="justify" vertical="center"/>
    </xf>
    <xf numFmtId="196" fontId="0" fillId="0" borderId="0" xfId="0" applyNumberFormat="1" applyAlignment="1">
      <alignment horizontal="left" vertical="center"/>
    </xf>
    <xf numFmtId="0" fontId="266" fillId="0" borderId="179" xfId="0" applyFont="1" applyFill="1" applyBorder="1" applyAlignment="1">
      <alignment horizontal="justify" vertical="center"/>
    </xf>
    <xf numFmtId="0" fontId="264" fillId="0" borderId="180" xfId="0" applyFont="1" applyFill="1" applyBorder="1" applyAlignment="1">
      <alignment horizontal="justify" vertical="center"/>
    </xf>
    <xf numFmtId="0" fontId="266" fillId="0" borderId="180" xfId="0" applyFont="1" applyFill="1" applyBorder="1">
      <alignment vertical="center"/>
    </xf>
    <xf numFmtId="0" fontId="266" fillId="0" borderId="181" xfId="0" applyFont="1" applyFill="1" applyBorder="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4" fillId="0" borderId="182" xfId="0" applyFont="1" applyFill="1" applyBorder="1" applyAlignment="1">
      <alignment horizontal="justify" vertical="center"/>
    </xf>
    <xf numFmtId="0" fontId="264" fillId="0" borderId="183" xfId="0" applyFont="1" applyFill="1" applyBorder="1" applyAlignment="1">
      <alignment horizontal="justify" vertical="center"/>
    </xf>
    <xf numFmtId="0" fontId="264" fillId="0" borderId="184" xfId="0" applyFont="1" applyFill="1" applyBorder="1" applyAlignment="1">
      <alignment horizontal="justify"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72" fillId="0" borderId="1" xfId="12" applyFont="1" applyBorder="1"/>
    <xf numFmtId="0" fontId="272" fillId="18" borderId="0" xfId="12" applyFont="1" applyFill="1"/>
    <xf numFmtId="0" fontId="53" fillId="18" borderId="2" xfId="0" applyFont="1" applyFill="1" applyBorder="1" applyAlignment="1" applyProtection="1">
      <alignment horizontal="left" vertical="center"/>
      <protection locked="0"/>
    </xf>
    <xf numFmtId="0" fontId="272" fillId="25" borderId="0" xfId="12" applyFont="1" applyFill="1"/>
    <xf numFmtId="0" fontId="272" fillId="13" borderId="1" xfId="12" applyFont="1" applyFill="1" applyBorder="1"/>
    <xf numFmtId="0" fontId="276" fillId="0" borderId="0" xfId="12" applyFont="1"/>
    <xf numFmtId="0" fontId="272" fillId="0" borderId="1" xfId="12" applyFont="1" applyFill="1" applyBorder="1"/>
    <xf numFmtId="0" fontId="273" fillId="0" borderId="1" xfId="12" applyFont="1" applyFill="1" applyBorder="1"/>
    <xf numFmtId="0" fontId="272" fillId="0" borderId="6" xfId="12" applyFont="1" applyFill="1" applyBorder="1"/>
    <xf numFmtId="0" fontId="272" fillId="0" borderId="9" xfId="12" applyFont="1" applyFill="1" applyBorder="1"/>
    <xf numFmtId="0" fontId="272" fillId="0" borderId="10" xfId="12" applyFont="1" applyFill="1" applyBorder="1"/>
    <xf numFmtId="0" fontId="272" fillId="0" borderId="23" xfId="12" applyFont="1" applyFill="1" applyBorder="1"/>
    <xf numFmtId="0" fontId="272" fillId="0" borderId="24" xfId="12" applyFont="1" applyFill="1" applyBorder="1"/>
    <xf numFmtId="0" fontId="273" fillId="0" borderId="24" xfId="12" applyFont="1" applyFill="1" applyBorder="1"/>
    <xf numFmtId="0" fontId="272" fillId="0" borderId="25" xfId="12" applyFont="1" applyFill="1" applyBorder="1"/>
    <xf numFmtId="0" fontId="272" fillId="0" borderId="32" xfId="12" applyFont="1" applyFill="1" applyBorder="1"/>
    <xf numFmtId="0" fontId="272" fillId="0" borderId="49" xfId="12" applyFont="1" applyFill="1" applyBorder="1"/>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9" customWidth="1"/>
    <col min="2" max="2" width="81" style="1206" customWidth="1"/>
    <col min="3" max="16384" width="9" style="1204"/>
  </cols>
  <sheetData>
    <row r="1" spans="1:2" s="1192" customFormat="1" ht="16.2" thickBot="1">
      <c r="A1" s="1191" t="s">
        <v>521</v>
      </c>
      <c r="B1" s="1190" t="s">
        <v>600</v>
      </c>
    </row>
    <row r="2" spans="1:2" s="1195" customFormat="1" ht="16.2"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6.2" thickBot="1">
      <c r="A5" s="1199" t="s">
        <v>525</v>
      </c>
      <c r="B5" s="1200" t="str">
        <f>'预评函-封皮'!B49</f>
        <v>康正预评字号</v>
      </c>
    </row>
    <row r="6" spans="1:2" s="1195" customFormat="1" ht="16.2"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2024年1月18日（评估专业人员实地查勘之日）</v>
      </c>
    </row>
    <row r="13" spans="1:2" s="1198" customFormat="1">
      <c r="A13" s="1196" t="s">
        <v>529</v>
      </c>
      <c r="B13" s="1197" t="str">
        <f>'预评函-1'!A18</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6.2" thickBot="1">
      <c r="A18" s="1199" t="s">
        <v>534</v>
      </c>
      <c r="B18" s="1200" t="str">
        <f>'预评函-1'!A24</f>
        <v>本次评估采用的主估价方法为比较法和收益法。</v>
      </c>
    </row>
    <row r="19" spans="1:2" s="1195" customFormat="1" ht="16.2"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560936</v>
      </c>
    </row>
    <row r="21" spans="1:2" s="1198" customFormat="1">
      <c r="A21" s="1196" t="s">
        <v>537</v>
      </c>
      <c r="B21" s="1197">
        <f ca="1">'预评函-2'!D7</f>
        <v>66483</v>
      </c>
    </row>
    <row r="22" spans="1:2" s="1198" customFormat="1">
      <c r="A22" s="1196" t="s">
        <v>538</v>
      </c>
      <c r="B22" s="1197" t="str">
        <f ca="1">'预评函-2'!D6</f>
        <v>伍拾陆亿零玖佰叁拾陆万元整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560936</v>
      </c>
    </row>
    <row r="31" spans="1:2" s="1198" customFormat="1">
      <c r="A31" s="1196" t="s">
        <v>576</v>
      </c>
      <c r="B31" s="1197">
        <f ca="1">'预评函-2'!D15</f>
        <v>66483</v>
      </c>
    </row>
    <row r="32" spans="1:2" s="1198" customFormat="1">
      <c r="A32" s="1196" t="s">
        <v>543</v>
      </c>
      <c r="B32" s="1197" t="str">
        <f ca="1">'预评函-2'!D14</f>
        <v>伍拾陆亿零玖佰叁拾陆万元整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504028</v>
      </c>
    </row>
    <row r="39" spans="1:2" s="1198" customFormat="1">
      <c r="A39" s="1196" t="s">
        <v>545</v>
      </c>
      <c r="B39" s="1197">
        <f ca="1">'预评函-2'!D21</f>
        <v>59738</v>
      </c>
    </row>
    <row r="40" spans="1:2" s="1198" customFormat="1">
      <c r="A40" s="1196" t="s">
        <v>546</v>
      </c>
      <c r="B40" s="1197" t="str">
        <f ca="1">'预评函-2'!D20</f>
        <v>伍拾亿肆仟零贰拾捌万元整</v>
      </c>
    </row>
    <row r="41" spans="1:2" s="1198" customFormat="1">
      <c r="A41" s="1196" t="s">
        <v>592</v>
      </c>
      <c r="B41" s="1197" t="str">
        <f>'预评函-3'!A4</f>
        <v>北京市西城区西直门外大街南路甲28号房地产</v>
      </c>
    </row>
    <row r="42" spans="1:2" s="1198" customFormat="1" ht="31.2">
      <c r="A42" s="1196" t="s">
        <v>590</v>
      </c>
      <c r="B42" s="1197" t="str">
        <f>'预评函-3'!B2</f>
        <v>建筑面积</v>
      </c>
    </row>
    <row r="43" spans="1:2" s="1198" customFormat="1">
      <c r="A43" s="1196" t="s">
        <v>591</v>
      </c>
      <c r="B43" s="1197">
        <f>'预评函-3'!B4</f>
        <v>84373.10000000002</v>
      </c>
    </row>
    <row r="44" spans="1:2" s="1198" customFormat="1" ht="31.2">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466699</v>
      </c>
    </row>
    <row r="48" spans="1:2" s="1198" customFormat="1">
      <c r="A48" s="1196" t="s">
        <v>549</v>
      </c>
      <c r="B48" s="1197">
        <f ca="1">'预评函-3'!E4</f>
        <v>55314</v>
      </c>
    </row>
    <row r="49" spans="1:2" s="1198" customFormat="1">
      <c r="A49" s="1196" t="s">
        <v>550</v>
      </c>
      <c r="B49" s="1197" t="str">
        <f ca="1">'预评函-3'!D5</f>
        <v>肆拾陆亿陆仟陆佰玖拾玖万元整</v>
      </c>
    </row>
    <row r="50" spans="1:2" s="1198" customFormat="1">
      <c r="A50" s="1196" t="s">
        <v>574</v>
      </c>
      <c r="B50" s="1197" t="str">
        <f>'预评函-3'!F2</f>
        <v>在建建筑物价值</v>
      </c>
    </row>
    <row r="51" spans="1:2" s="1198" customFormat="1">
      <c r="A51" s="1196" t="s">
        <v>551</v>
      </c>
      <c r="B51" s="1197">
        <f ca="1">'预评函-3'!F4</f>
        <v>94237</v>
      </c>
    </row>
    <row r="52" spans="1:2" s="1198" customFormat="1">
      <c r="A52" s="1196" t="s">
        <v>552</v>
      </c>
      <c r="B52" s="1197">
        <f ca="1">'预评函-3'!G4</f>
        <v>11169</v>
      </c>
    </row>
    <row r="53" spans="1:2" s="1198" customFormat="1">
      <c r="A53" s="1196" t="s">
        <v>580</v>
      </c>
      <c r="B53" s="1197" t="str">
        <f ca="1">'预评函-3'!F5</f>
        <v>玖亿肆仟贰佰叁拾柒万元整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6.2" thickBot="1">
      <c r="A57" s="1199" t="s">
        <v>599</v>
      </c>
      <c r="B57" s="1200" t="str">
        <f>'预评函-3'!A6</f>
        <v/>
      </c>
    </row>
    <row r="58" spans="1:2" s="1195" customFormat="1" ht="16.2"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6.2" thickBot="1">
      <c r="A69" s="1199" t="s">
        <v>561</v>
      </c>
      <c r="B69" s="1201">
        <f>'预评函-4'!C31</f>
        <v>42551</v>
      </c>
    </row>
    <row r="70" spans="1:2" ht="16.2"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6.2" thickBot="1">
      <c r="A73" s="1199" t="s">
        <v>565</v>
      </c>
      <c r="B73" s="1200">
        <f ca="1">'预评函-4'!B5</f>
        <v>1120070131</v>
      </c>
    </row>
    <row r="74" spans="1:2" ht="16.2"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4.4"/>
  <cols>
    <col min="1" max="1" width="13.44140625" style="1551" customWidth="1"/>
    <col min="2" max="2" width="23.21875" style="1502" customWidth="1"/>
    <col min="3" max="3" width="13" style="1546" customWidth="1"/>
    <col min="4" max="4" width="5.77734375" style="1543" customWidth="1"/>
    <col min="5" max="5" width="7.109375" style="1543" customWidth="1"/>
    <col min="6" max="6" width="10.6640625" style="1543" customWidth="1"/>
    <col min="7" max="7" width="7.44140625" style="1543" customWidth="1"/>
    <col min="8" max="8" width="11.88671875" style="1546" customWidth="1"/>
    <col min="9" max="9" width="11.6640625" style="1546" customWidth="1"/>
    <col min="10" max="10" width="9" style="1546" customWidth="1"/>
    <col min="11" max="19" width="9" style="1543" customWidth="1"/>
    <col min="20" max="23" width="9" style="1546" customWidth="1"/>
    <col min="24" max="24" width="21.109375" style="1502" customWidth="1"/>
    <col min="25" max="16384" width="9" style="1502"/>
  </cols>
  <sheetData>
    <row r="1" spans="1:23" s="1540" customFormat="1" ht="43.2">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10"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0"/>
      <c r="B54" s="1549" t="s">
        <v>385</v>
      </c>
      <c r="C54" s="1546" t="s">
        <v>583</v>
      </c>
    </row>
    <row r="55" spans="1:4">
      <c r="A55" s="3610"/>
      <c r="B55" s="1549" t="s">
        <v>386</v>
      </c>
      <c r="C55" s="1546" t="s">
        <v>584</v>
      </c>
    </row>
    <row r="56" spans="1:4">
      <c r="A56" s="3610"/>
      <c r="B56" s="1549" t="s">
        <v>387</v>
      </c>
      <c r="C56" s="1546" t="s">
        <v>588</v>
      </c>
    </row>
    <row r="57" spans="1:4">
      <c r="A57" s="3610"/>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987"/>
    <col min="8" max="8" width="5.44140625" style="2987" customWidth="1"/>
    <col min="9" max="13" width="9.44140625" style="3029" customWidth="1"/>
    <col min="14" max="18" width="9.44140625" style="2987" customWidth="1"/>
    <col min="19" max="16384" width="15.2187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11" t="s">
        <v>2562</v>
      </c>
      <c r="J2" s="3611"/>
      <c r="K2" s="3611"/>
      <c r="L2" s="3611"/>
      <c r="M2" s="3611"/>
      <c r="N2" s="3611"/>
      <c r="O2" s="3611"/>
      <c r="P2" s="3611"/>
      <c r="Q2" s="3611"/>
      <c r="R2" s="3611"/>
    </row>
    <row r="3" spans="1:18">
      <c r="A3" s="2991" t="s">
        <v>2483</v>
      </c>
      <c r="B3" s="2992">
        <f>项目基本情况!D3</f>
        <v>45309</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2.92</v>
      </c>
      <c r="D5" s="2996">
        <f>IF(ISERROR(ROUND(POWER(1+E5,A5-C5)*(POWER(1+E5,C5)-1)/(POWER(1+E5,A5)-1),3)),0,ROUND(POWER(1+E5,A5-C5)*(POWER(1+E5,C5)-1)/(POWER(1+E5,A5)-1),4))</f>
        <v>0.13669999999999999</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12.92</v>
      </c>
      <c r="D6" s="2996">
        <f>IF(ISERROR(ROUND(POWER(1+E6,A6-C6)*(POWER(1+E6,C6)-1)/(POWER(1+E6,A6)-1),3)),0,ROUND(POWER(1+E6,A6-C6)*(POWER(1+E6,C6)-1)/(POWER(1+E6,A6)-1),4))</f>
        <v>0.46260000000000001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32.94</v>
      </c>
      <c r="D7" s="2996">
        <f>IF(ISERROR(ROUND(POWER(1+E7,A7-C7)*(POWER(1+E7,C7)-1)/(POWER(1+E7,A7)-1),3)),0,ROUND(POWER(1+E7,A7-C7)*(POWER(1+E7,C7)-1)/(POWER(1+E7,A7)-1),4))</f>
        <v>0.77500000000000002</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5" thickBot="1">
      <c r="A18" s="3002" t="s">
        <v>2498</v>
      </c>
      <c r="B18" s="3003">
        <f>ROUND(B17*F11/F12,2)</f>
        <v>5541.87</v>
      </c>
      <c r="C18" s="3003">
        <f>ROUND(F11/F12,4)</f>
        <v>1.1521999999999999</v>
      </c>
      <c r="D18" s="3004"/>
      <c r="E18" s="3004"/>
      <c r="F18" s="3005"/>
    </row>
    <row r="19" spans="1:13" ht="15" thickBot="1"/>
    <row r="20" spans="1:13" s="3040" customFormat="1" ht="1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zoomScaleSheetLayoutView="115" workbookViewId="0">
      <selection activeCell="F52" sqref="F52"/>
    </sheetView>
  </sheetViews>
  <sheetFormatPr defaultColWidth="10" defaultRowHeight="13.2"/>
  <cols>
    <col min="1" max="1" width="16.88671875" style="1740" customWidth="1"/>
    <col min="2" max="2" width="10" style="1740" customWidth="1"/>
    <col min="3" max="3" width="11.44140625" style="1740" customWidth="1"/>
    <col min="4" max="4" width="10" style="1740" customWidth="1"/>
    <col min="5" max="5" width="12.6640625" style="1740" customWidth="1"/>
    <col min="6" max="6" width="10" style="1740" customWidth="1"/>
    <col min="7" max="7" width="10.77734375" style="1740" customWidth="1"/>
    <col min="8" max="8" width="10" style="1740" customWidth="1"/>
    <col min="9" max="9" width="11.10937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8" thickBot="1">
      <c r="A1" s="2361" t="s">
        <v>2150</v>
      </c>
      <c r="B1" s="3620" t="str">
        <f>IF(B10="北京市","北京市",C10)&amp;F10&amp;IF(结果表!G1="在建","出让国有建设用地使用权及在建建筑物",IF(结果表!G1="土地","出让国有建设用地使用权",))&amp;B9&amp;"预评估"</f>
        <v>北京市西城区西直门外大街南路甲28号房地产市场价值预评估</v>
      </c>
      <c r="C1" s="3621"/>
      <c r="D1" s="3621"/>
      <c r="E1" s="3621"/>
      <c r="F1" s="3621"/>
      <c r="G1" s="3621"/>
      <c r="H1" s="3621"/>
      <c r="I1" s="3622"/>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f>B3</f>
        <v>45309</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8"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8"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23" t="s">
        <v>2159</v>
      </c>
      <c r="E8" s="2386" t="s">
        <v>3364</v>
      </c>
      <c r="F8" s="2387"/>
      <c r="G8" s="2635"/>
      <c r="H8" s="2635"/>
      <c r="I8" s="2635"/>
      <c r="J8" s="2433"/>
      <c r="K8" s="2586"/>
      <c r="L8" s="2585"/>
      <c r="M8" s="2585"/>
      <c r="N8" s="2433"/>
      <c r="O8" s="2444"/>
      <c r="P8" s="2433"/>
      <c r="Q8" s="2433"/>
      <c r="R8" s="2433"/>
    </row>
    <row r="9" spans="1:30" ht="13.8" thickBot="1">
      <c r="A9" s="2388" t="s">
        <v>2160</v>
      </c>
      <c r="B9" s="2389" t="s">
        <v>3363</v>
      </c>
      <c r="C9" s="2390"/>
      <c r="D9" s="3624"/>
      <c r="E9" s="2389" t="s">
        <v>587</v>
      </c>
      <c r="F9" s="2391"/>
      <c r="G9" s="2637"/>
      <c r="H9" s="2637"/>
      <c r="I9" s="2637"/>
      <c r="J9" s="2433"/>
      <c r="K9" s="2588"/>
      <c r="L9" s="2585"/>
      <c r="M9" s="2585"/>
      <c r="N9" s="2433"/>
      <c r="O9" s="2444"/>
      <c r="P9" s="2433"/>
      <c r="Q9" s="2433"/>
      <c r="R9" s="2433"/>
    </row>
    <row r="10" spans="1:30" ht="13.8" thickTop="1">
      <c r="A10" s="2392" t="s">
        <v>2161</v>
      </c>
      <c r="B10" s="2393" t="s">
        <v>3365</v>
      </c>
      <c r="C10" s="2394"/>
      <c r="D10" s="2377"/>
      <c r="E10" s="2395" t="s">
        <v>2162</v>
      </c>
      <c r="F10" s="3455" t="s">
        <v>4319</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20.64</v>
      </c>
      <c r="E15" s="2404">
        <f>IF(A13="出让",IF(E13="","",ROUNDDOWN(MIN((E13-$D$3)/365,E14),2)),E14)</f>
        <v>30.64</v>
      </c>
      <c r="F15" s="2404">
        <f>IF(A13="出让",IF(F13="","",ROUNDDOWN(MIN((F13-$D$3)/365,F14),2)),F14)</f>
        <v>30.64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30"/>
      <c r="C16" s="3631"/>
      <c r="D16" s="3632"/>
      <c r="E16" s="2407" t="s">
        <v>2176</v>
      </c>
      <c r="F16" s="3633"/>
      <c r="G16" s="3634"/>
      <c r="H16" s="3634"/>
      <c r="I16" s="3635"/>
      <c r="J16" s="2433"/>
      <c r="K16" s="2589"/>
      <c r="L16" s="2445"/>
      <c r="M16" s="2445"/>
      <c r="N16" s="2501"/>
      <c r="O16" s="2445"/>
      <c r="P16" s="2501"/>
      <c r="Q16" s="2433"/>
      <c r="R16" s="2433"/>
    </row>
    <row r="17" spans="1:28">
      <c r="A17" s="313" t="s">
        <v>2177</v>
      </c>
      <c r="B17" s="302" t="s">
        <v>2178</v>
      </c>
      <c r="C17" s="8">
        <f>'数据-汇总表'!E3</f>
        <v>84373.10000000002</v>
      </c>
      <c r="D17" s="2317" t="s">
        <v>2179</v>
      </c>
      <c r="E17" s="3636" t="s">
        <v>2180</v>
      </c>
      <c r="F17" s="3637"/>
      <c r="G17" s="3637"/>
      <c r="H17" s="3637"/>
      <c r="I17" s="3638"/>
      <c r="J17" s="2433"/>
      <c r="K17" s="2590"/>
      <c r="L17" s="2445"/>
      <c r="M17" s="2445"/>
      <c r="N17" s="2501"/>
      <c r="O17" s="2445"/>
      <c r="P17" s="2501"/>
      <c r="Q17" s="2433"/>
      <c r="R17" s="2433"/>
      <c r="S17" s="2433"/>
      <c r="T17" s="2433"/>
      <c r="U17" s="2433"/>
      <c r="V17" s="2433"/>
    </row>
    <row r="18" spans="1:28" ht="24.6" thickBot="1">
      <c r="A18" s="2408" t="s">
        <v>2181</v>
      </c>
      <c r="B18" s="1086" t="s">
        <v>2182</v>
      </c>
      <c r="C18" s="2409">
        <f>'数据-汇总表'!D3</f>
        <v>10591.91</v>
      </c>
      <c r="D18" s="1088" t="s">
        <v>2183</v>
      </c>
      <c r="E18" s="3639" t="s">
        <v>2184</v>
      </c>
      <c r="F18" s="3640"/>
      <c r="G18" s="3640"/>
      <c r="H18" s="3640"/>
      <c r="I18" s="3641"/>
      <c r="J18" s="2433"/>
      <c r="K18" s="2590"/>
      <c r="L18" s="2445"/>
      <c r="M18" s="2445"/>
      <c r="N18" s="2501"/>
      <c r="O18" s="2445"/>
      <c r="P18" s="2501"/>
      <c r="Q18" s="2433"/>
      <c r="R18" s="2433"/>
      <c r="S18" s="2433"/>
      <c r="T18" s="2433"/>
      <c r="U18" s="2433"/>
      <c r="V18" s="2433"/>
    </row>
    <row r="19" spans="1:28" ht="37.200000000000003"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26" t="s">
        <v>2188</v>
      </c>
      <c r="C20" s="3627"/>
      <c r="D20" s="3628" t="s">
        <v>2189</v>
      </c>
      <c r="E20" s="3629"/>
      <c r="F20" s="2619" t="s">
        <v>1056</v>
      </c>
      <c r="G20" s="2636"/>
      <c r="H20" s="2636"/>
      <c r="I20" s="2636"/>
      <c r="J20" s="2433"/>
      <c r="K20" s="3625"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36.6" thickBot="1">
      <c r="A21" s="2604"/>
      <c r="B21" s="2605" t="s">
        <v>2191</v>
      </c>
      <c r="C21" s="2606" t="s">
        <v>1057</v>
      </c>
      <c r="D21" s="1563" t="s">
        <v>2192</v>
      </c>
      <c r="E21" s="2607" t="s">
        <v>1057</v>
      </c>
      <c r="F21" s="2620"/>
      <c r="G21" s="2636"/>
      <c r="H21" s="2636"/>
      <c r="I21" s="2636"/>
      <c r="J21" s="2433"/>
      <c r="K21" s="362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36.6" thickBot="1">
      <c r="A22" s="2604"/>
      <c r="B22" s="2608" t="s">
        <v>2193</v>
      </c>
      <c r="C22" s="2606" t="s">
        <v>1058</v>
      </c>
      <c r="D22" s="2635"/>
      <c r="E22" s="2635"/>
      <c r="F22" s="2635"/>
      <c r="G22" s="2636"/>
      <c r="H22" s="2636"/>
      <c r="I22" s="2636"/>
      <c r="J22" s="2433"/>
      <c r="K22" s="362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8"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8" thickTop="1">
      <c r="A27" s="3613"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13"/>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13"/>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14"/>
      <c r="B30" s="302" t="s">
        <v>2200</v>
      </c>
      <c r="C30" s="3615"/>
      <c r="D30" s="3616"/>
      <c r="E30" s="2636"/>
      <c r="F30" s="2636"/>
      <c r="G30" s="2636"/>
      <c r="H30" s="2636"/>
      <c r="I30" s="2636"/>
      <c r="J30" s="2433"/>
      <c r="K30" s="2588"/>
      <c r="L30" s="2585"/>
      <c r="M30" s="2585"/>
      <c r="N30" s="2433"/>
      <c r="O30" s="2444"/>
      <c r="P30" s="2433"/>
      <c r="Q30" s="2433"/>
      <c r="R30" s="2433"/>
      <c r="S30" s="2433"/>
      <c r="T30" s="2433"/>
      <c r="U30" s="2433"/>
      <c r="V30" s="2433"/>
    </row>
    <row r="31" spans="1:28">
      <c r="A31" s="3617"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18"/>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18"/>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12" t="s">
        <v>2210</v>
      </c>
      <c r="T34" s="2422" t="str">
        <f>NUMBERSTRING(7-K34,1)&amp;"通"</f>
        <v>七通</v>
      </c>
      <c r="U34" s="2433"/>
      <c r="V34" s="2433"/>
    </row>
    <row r="35" spans="1:30">
      <c r="A35" s="2423"/>
      <c r="B35" s="3619" t="s">
        <v>2211</v>
      </c>
      <c r="C35" s="3619"/>
      <c r="D35" s="3619"/>
      <c r="E35" s="3619"/>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2"/>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8"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4"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2">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P48"/>
  <sheetViews>
    <sheetView topLeftCell="A7" workbookViewId="0">
      <selection activeCell="E25" sqref="E25"/>
    </sheetView>
  </sheetViews>
  <sheetFormatPr defaultRowHeight="14.4"/>
  <cols>
    <col min="8" max="8" width="12.77734375" bestFit="1" customWidth="1"/>
    <col min="11" max="11" width="10.44140625" bestFit="1" customWidth="1"/>
    <col min="12" max="12" width="9.554687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4313</v>
      </c>
      <c r="H15" s="3523" t="s">
        <v>4294</v>
      </c>
    </row>
    <row r="16" spans="2:8">
      <c r="B16" s="3524" t="s">
        <v>4289</v>
      </c>
      <c r="C16" s="3525">
        <v>2009</v>
      </c>
      <c r="D16" s="3525">
        <v>2024</v>
      </c>
      <c r="E16" s="3525">
        <v>50</v>
      </c>
      <c r="F16" s="3521">
        <v>60</v>
      </c>
      <c r="G16" s="3521">
        <v>0</v>
      </c>
      <c r="H16" s="3528">
        <f>ROUND((1-G16)-(D16-C16)/F16,2)</f>
        <v>0.75</v>
      </c>
    </row>
    <row r="17" spans="2:16">
      <c r="B17" s="3522" t="s">
        <v>4293</v>
      </c>
      <c r="C17" s="3527"/>
      <c r="D17" s="3521"/>
      <c r="E17" s="3521"/>
      <c r="F17" s="3521"/>
      <c r="G17" s="3521"/>
      <c r="H17" s="3526">
        <v>1</v>
      </c>
    </row>
    <row r="18" spans="2:16">
      <c r="B18" s="3522"/>
      <c r="C18" s="3521"/>
      <c r="D18" s="3521"/>
      <c r="E18" s="3521"/>
      <c r="F18" s="3521"/>
      <c r="G18" s="3521"/>
      <c r="H18" s="3529">
        <f>ROUND((H17+H16)/2,2)</f>
        <v>0.88</v>
      </c>
    </row>
    <row r="21" spans="2:16">
      <c r="B21" s="3490" t="s">
        <v>4295</v>
      </c>
      <c r="D21" s="3490" t="s">
        <v>4356</v>
      </c>
      <c r="F21" s="3490" t="s">
        <v>4357</v>
      </c>
    </row>
    <row r="22" spans="2:16">
      <c r="B22" s="3522" t="s">
        <v>4296</v>
      </c>
      <c r="C22" s="3530" t="s">
        <v>4299</v>
      </c>
      <c r="D22" s="3522" t="s">
        <v>4276</v>
      </c>
      <c r="E22" s="3522" t="s">
        <v>4300</v>
      </c>
      <c r="F22" s="3522" t="s">
        <v>2310</v>
      </c>
      <c r="G22" s="3522" t="s">
        <v>4300</v>
      </c>
      <c r="M22">
        <f ca="1">'收益法（汇总）'!B6</f>
        <v>191813</v>
      </c>
      <c r="N22" s="3490" t="s">
        <v>4398</v>
      </c>
      <c r="P22" s="3490" t="s">
        <v>4403</v>
      </c>
    </row>
    <row r="23" spans="2:16">
      <c r="B23" s="3522">
        <v>1</v>
      </c>
      <c r="C23" s="3521">
        <v>1</v>
      </c>
      <c r="D23" s="3521">
        <f>面积表!C12</f>
        <v>3343.12</v>
      </c>
      <c r="E23" s="3521">
        <v>18</v>
      </c>
      <c r="F23" s="3521">
        <f>面积表!C4</f>
        <v>1818.27</v>
      </c>
      <c r="G23" s="3521">
        <f>E23</f>
        <v>18</v>
      </c>
      <c r="J23" s="3490" t="s">
        <v>4394</v>
      </c>
      <c r="K23">
        <f>L37</f>
        <v>47901853.575000003</v>
      </c>
      <c r="M23">
        <f ca="1">ROUND(K23/$K$26*$M$22,0)</f>
        <v>57122</v>
      </c>
    </row>
    <row r="24" spans="2:16">
      <c r="B24" s="3522">
        <v>2</v>
      </c>
      <c r="C24" s="3527">
        <v>0.75</v>
      </c>
      <c r="D24" s="3521">
        <f>面积表!C13</f>
        <v>3244.08</v>
      </c>
      <c r="E24" s="3521">
        <v>14</v>
      </c>
      <c r="F24" s="3521">
        <f>面积表!C5</f>
        <v>1675.48</v>
      </c>
      <c r="G24" s="3521">
        <v>13.5</v>
      </c>
      <c r="J24" s="3490" t="s">
        <v>4395</v>
      </c>
      <c r="K24">
        <f>L46</f>
        <v>97135533.749999985</v>
      </c>
      <c r="M24">
        <f t="shared" ref="M24:M25" ca="1" si="1">ROUND(K24/$K$26*$M$22,0)</f>
        <v>115832</v>
      </c>
    </row>
    <row r="25" spans="2:16">
      <c r="B25" s="3522">
        <v>3</v>
      </c>
      <c r="C25" s="3521">
        <v>0.65</v>
      </c>
      <c r="D25" s="3521">
        <f>面积表!C14</f>
        <v>3963.74</v>
      </c>
      <c r="E25" s="3521">
        <v>13.5</v>
      </c>
      <c r="F25" s="3521">
        <f>面积表!C6</f>
        <v>1873.83</v>
      </c>
      <c r="G25" s="3521">
        <f>G24</f>
        <v>13.5</v>
      </c>
      <c r="H25" s="3490" t="s">
        <v>4351</v>
      </c>
      <c r="J25" s="3490" t="s">
        <v>4396</v>
      </c>
      <c r="K25">
        <f>D28*E28*365</f>
        <v>15814834.245000001</v>
      </c>
      <c r="M25">
        <f t="shared" ca="1" si="1"/>
        <v>18859</v>
      </c>
    </row>
    <row r="26" spans="2:16">
      <c r="B26" s="3522">
        <v>4</v>
      </c>
      <c r="C26" s="3527">
        <v>0.55000000000000004</v>
      </c>
      <c r="D26" s="3521">
        <f>面积表!C15</f>
        <v>3963.74</v>
      </c>
      <c r="E26" s="3521">
        <f>E25</f>
        <v>13.5</v>
      </c>
      <c r="F26" s="3521">
        <f>面积表!C7</f>
        <v>1873.83</v>
      </c>
      <c r="G26" s="3521">
        <f>G25</f>
        <v>13.5</v>
      </c>
      <c r="H26" s="3490" t="s">
        <v>4351</v>
      </c>
      <c r="K26">
        <f>SUM(K23:K25)</f>
        <v>160852221.56999999</v>
      </c>
      <c r="M26">
        <f ca="1">SUM(M23:M25)</f>
        <v>191813</v>
      </c>
    </row>
    <row r="27" spans="2:16">
      <c r="B27" s="3522">
        <v>5</v>
      </c>
      <c r="C27" s="3521">
        <v>0.5</v>
      </c>
      <c r="D27" s="3521">
        <f>面积表!C16</f>
        <v>3963.74</v>
      </c>
      <c r="E27" s="3521">
        <f>E26</f>
        <v>13.5</v>
      </c>
      <c r="F27" s="3521">
        <f>面积表!C8</f>
        <v>1873.83</v>
      </c>
      <c r="G27" s="3521">
        <f>G26</f>
        <v>13.5</v>
      </c>
      <c r="H27" t="str">
        <f>H26</f>
        <v>实际办公</v>
      </c>
    </row>
    <row r="28" spans="2:16">
      <c r="B28" s="3522" t="s">
        <v>4297</v>
      </c>
      <c r="C28" s="3521">
        <v>0.35</v>
      </c>
      <c r="D28" s="3521">
        <f>基准地价修正!D37</f>
        <v>6877.51</v>
      </c>
      <c r="E28" s="3521">
        <f>$E$23*C28</f>
        <v>6.3</v>
      </c>
      <c r="F28" s="3521">
        <f>基准地价修正!F37</f>
        <v>0.7</v>
      </c>
      <c r="G28" s="3521">
        <f t="shared" ref="G28" si="2">$E$23*E28</f>
        <v>113.39999999999999</v>
      </c>
    </row>
    <row r="29" spans="2:16">
      <c r="B29" s="3522" t="s">
        <v>4298</v>
      </c>
      <c r="C29" s="3521">
        <v>0.3</v>
      </c>
      <c r="D29" s="3521">
        <v>0</v>
      </c>
      <c r="E29" s="3521">
        <v>0</v>
      </c>
      <c r="F29" s="3521">
        <v>0</v>
      </c>
      <c r="G29" s="3521">
        <v>0</v>
      </c>
    </row>
    <row r="30" spans="2:16">
      <c r="B30" s="3522"/>
      <c r="C30" s="3521"/>
      <c r="D30" s="3521">
        <f>SUM(D23:D29)</f>
        <v>25355.93</v>
      </c>
      <c r="E30" s="3533">
        <f>SUMPRODUCT(E23:E28,D23:D28)/D30</f>
        <v>12.204366513079979</v>
      </c>
      <c r="F30" s="3521">
        <f>SUM(F23:F29)</f>
        <v>9115.94</v>
      </c>
      <c r="G30" s="3533">
        <f>SUMPRODUCT(G23:G28,F23:F28)/F30</f>
        <v>14.405243452677396</v>
      </c>
      <c r="H30" s="3565">
        <f>(D30*E30+F30*G30)/(D30+F30)</f>
        <v>12.786379096927437</v>
      </c>
      <c r="J30" s="3490" t="s">
        <v>4357</v>
      </c>
      <c r="K30" s="3490" t="s">
        <v>4411</v>
      </c>
      <c r="N30" s="3490" t="s">
        <v>4410</v>
      </c>
    </row>
    <row r="31" spans="2:16">
      <c r="B31" s="3522"/>
      <c r="C31" s="3521"/>
      <c r="D31" s="3521"/>
      <c r="E31" s="3521"/>
      <c r="F31" s="3521"/>
      <c r="G31" s="3521"/>
      <c r="J31" s="3522" t="s">
        <v>2310</v>
      </c>
      <c r="K31" s="3522" t="s">
        <v>4300</v>
      </c>
      <c r="L31" s="3522" t="s">
        <v>4397</v>
      </c>
    </row>
    <row r="32" spans="2:16">
      <c r="J32" s="3521">
        <f>F23</f>
        <v>1818.27</v>
      </c>
      <c r="K32" s="3521">
        <f>G23</f>
        <v>18</v>
      </c>
      <c r="L32" s="3521">
        <f>K32*J32*365</f>
        <v>11946033.9</v>
      </c>
      <c r="N32">
        <f ca="1">ROUND($M$22*L32/$K$26,0)</f>
        <v>14245</v>
      </c>
    </row>
    <row r="33" spans="10:14">
      <c r="J33" s="3521">
        <f>F24</f>
        <v>1675.48</v>
      </c>
      <c r="K33" s="3521">
        <f>G24</f>
        <v>13.5</v>
      </c>
      <c r="L33" s="3521">
        <f t="shared" ref="L33:L36" si="3">K33*J33*365</f>
        <v>8255927.7000000002</v>
      </c>
      <c r="N33">
        <f t="shared" ref="N33:N36" ca="1" si="4">ROUND($M$22*L33/$K$26,0)</f>
        <v>9845</v>
      </c>
    </row>
    <row r="34" spans="10:14">
      <c r="J34" s="3521">
        <f>F25</f>
        <v>1873.83</v>
      </c>
      <c r="K34" s="3521">
        <f>G25</f>
        <v>13.5</v>
      </c>
      <c r="L34" s="3521">
        <f t="shared" si="3"/>
        <v>9233297.3249999993</v>
      </c>
      <c r="N34">
        <f t="shared" ca="1" si="4"/>
        <v>11011</v>
      </c>
    </row>
    <row r="35" spans="10:14">
      <c r="J35" s="3521">
        <f>F26</f>
        <v>1873.83</v>
      </c>
      <c r="K35" s="3521">
        <f>G26</f>
        <v>13.5</v>
      </c>
      <c r="L35" s="3521">
        <f t="shared" si="3"/>
        <v>9233297.3249999993</v>
      </c>
      <c r="N35">
        <f t="shared" ca="1" si="4"/>
        <v>11011</v>
      </c>
    </row>
    <row r="36" spans="10:14">
      <c r="J36" s="3521">
        <f>F27</f>
        <v>1873.83</v>
      </c>
      <c r="K36" s="3521">
        <f>G27</f>
        <v>13.5</v>
      </c>
      <c r="L36" s="3521">
        <f t="shared" si="3"/>
        <v>9233297.3249999993</v>
      </c>
      <c r="N36">
        <f t="shared" ca="1" si="4"/>
        <v>11011</v>
      </c>
    </row>
    <row r="37" spans="10:14">
      <c r="J37" s="3916">
        <f>SUM(J32:J36)</f>
        <v>9115.24</v>
      </c>
      <c r="K37" s="3916"/>
      <c r="L37" s="3916">
        <f t="shared" ref="L37:N37" si="5">SUM(L32:L36)</f>
        <v>47901853.575000003</v>
      </c>
      <c r="N37" s="3916">
        <f t="shared" ca="1" si="5"/>
        <v>57123</v>
      </c>
    </row>
    <row r="39" spans="10:14">
      <c r="J39" s="3490" t="str">
        <f>D21</f>
        <v>B座</v>
      </c>
    </row>
    <row r="40" spans="10:14">
      <c r="J40" s="3522" t="s">
        <v>2310</v>
      </c>
      <c r="K40" s="3522" t="s">
        <v>4300</v>
      </c>
      <c r="L40" s="3522" t="s">
        <v>4397</v>
      </c>
    </row>
    <row r="41" spans="10:14">
      <c r="J41" s="3521">
        <f>D23</f>
        <v>3343.12</v>
      </c>
      <c r="K41" s="3521">
        <f>E23</f>
        <v>18</v>
      </c>
      <c r="L41" s="3521">
        <f>K41*J41*365</f>
        <v>21964298.399999999</v>
      </c>
      <c r="N41">
        <f t="shared" ref="N41:N45" ca="1" si="6">ROUND($M$22*L41/$K$26,0)</f>
        <v>26192</v>
      </c>
    </row>
    <row r="42" spans="10:14">
      <c r="J42" s="3521">
        <f t="shared" ref="J42:J45" si="7">D24</f>
        <v>3244.08</v>
      </c>
      <c r="K42" s="3521">
        <f>E24</f>
        <v>14</v>
      </c>
      <c r="L42" s="3521">
        <f t="shared" ref="L42:L45" si="8">K42*J42*365</f>
        <v>16577248.799999999</v>
      </c>
      <c r="N42">
        <f t="shared" ca="1" si="6"/>
        <v>19768</v>
      </c>
    </row>
    <row r="43" spans="10:14">
      <c r="J43" s="3521">
        <f t="shared" si="7"/>
        <v>3963.74</v>
      </c>
      <c r="K43" s="3521">
        <f>E25</f>
        <v>13.5</v>
      </c>
      <c r="L43" s="3521">
        <f t="shared" si="8"/>
        <v>19531328.849999998</v>
      </c>
      <c r="N43">
        <f t="shared" ca="1" si="6"/>
        <v>23291</v>
      </c>
    </row>
    <row r="44" spans="10:14">
      <c r="J44" s="3521">
        <f t="shared" si="7"/>
        <v>3963.74</v>
      </c>
      <c r="K44" s="3521">
        <f>E26</f>
        <v>13.5</v>
      </c>
      <c r="L44" s="3521">
        <f t="shared" si="8"/>
        <v>19531328.849999998</v>
      </c>
      <c r="N44">
        <f t="shared" ca="1" si="6"/>
        <v>23291</v>
      </c>
    </row>
    <row r="45" spans="10:14">
      <c r="J45" s="3521">
        <f t="shared" si="7"/>
        <v>3963.74</v>
      </c>
      <c r="K45" s="3521">
        <f>E27</f>
        <v>13.5</v>
      </c>
      <c r="L45" s="3521">
        <f t="shared" si="8"/>
        <v>19531328.849999998</v>
      </c>
      <c r="N45">
        <f t="shared" ca="1" si="6"/>
        <v>23291</v>
      </c>
    </row>
    <row r="46" spans="10:14">
      <c r="J46" s="3916">
        <f>SUM(J41:J45)</f>
        <v>18478.419999999998</v>
      </c>
      <c r="K46" s="3916"/>
      <c r="L46" s="3916">
        <f>SUM(L41:L45)</f>
        <v>97135533.749999985</v>
      </c>
      <c r="N46" s="3916">
        <f ca="1">SUM(N41:N45)</f>
        <v>115833</v>
      </c>
    </row>
    <row r="48" spans="10:14">
      <c r="J48" s="3490" t="s">
        <v>4421</v>
      </c>
      <c r="K48">
        <f>E28</f>
        <v>6.3</v>
      </c>
      <c r="L48">
        <f>K25</f>
        <v>15814834.245000001</v>
      </c>
      <c r="N48">
        <f ca="1">M22-N37-N46</f>
        <v>18857</v>
      </c>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10.6640625" style="1568" customWidth="1"/>
    <col min="2" max="2" width="11" style="1568" customWidth="1"/>
    <col min="3" max="3" width="10.33203125" style="1568" customWidth="1"/>
    <col min="4" max="4" width="9.109375" style="1568" customWidth="1"/>
    <col min="5" max="6" width="10" style="1629" customWidth="1"/>
    <col min="7" max="8" width="10" style="1568" customWidth="1"/>
    <col min="9" max="9" width="10.6640625" style="1568" customWidth="1"/>
    <col min="10" max="10" width="9.44140625" style="1568" customWidth="1"/>
    <col min="11" max="11" width="11" style="1568" customWidth="1"/>
    <col min="12" max="14" width="9.44140625" style="1568" customWidth="1"/>
    <col min="15" max="15" width="9.88671875" style="1568" customWidth="1"/>
    <col min="16" max="16" width="9.77734375" style="1568" customWidth="1"/>
    <col min="17" max="17" width="9.33203125" style="1568" customWidth="1"/>
    <col min="18" max="18" width="9.21875" style="1568" customWidth="1"/>
    <col min="19" max="19" width="10.88671875" style="1568" customWidth="1"/>
    <col min="20" max="21" width="10.77734375" style="1568" customWidth="1"/>
    <col min="22" max="22" width="10.88671875" style="1568" customWidth="1"/>
    <col min="23" max="27" width="10.77734375" style="1568" customWidth="1"/>
    <col min="28" max="28" width="10.88671875" style="1568" customWidth="1"/>
    <col min="29" max="29" width="11" style="1568" bestFit="1" customWidth="1"/>
    <col min="30" max="30" width="10" style="1568" bestFit="1" customWidth="1"/>
    <col min="31" max="31" width="9.77734375" style="1568" customWidth="1"/>
    <col min="32" max="46" width="9.44140625" style="1568" customWidth="1"/>
    <col min="47" max="47" width="18.109375" style="1568" customWidth="1"/>
    <col min="48" max="50" width="9.77734375" style="1568" customWidth="1"/>
    <col min="51" max="55" width="10.44140625" style="1568" bestFit="1" customWidth="1"/>
    <col min="56" max="56" width="9.44140625" style="1568" bestFit="1" customWidth="1"/>
    <col min="57" max="63" width="9.109375" style="1568" bestFit="1" customWidth="1"/>
    <col min="64" max="64" width="9.44140625" style="1568" bestFit="1" customWidth="1"/>
    <col min="65" max="65" width="9.109375" style="1568" bestFit="1" customWidth="1"/>
    <col min="66" max="66" width="9.44140625" style="1568" bestFit="1" customWidth="1"/>
    <col min="67" max="69" width="9.109375" style="1568" bestFit="1" customWidth="1"/>
    <col min="70" max="70" width="9.44140625" style="1568" bestFit="1" customWidth="1"/>
    <col min="71" max="71" width="9" style="1568" customWidth="1"/>
    <col min="72" max="72" width="9.109375" style="1568" bestFit="1" customWidth="1"/>
    <col min="73" max="16384" width="8.88671875" style="1568"/>
  </cols>
  <sheetData>
    <row r="1" spans="1:72" ht="21">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3.2">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3.2">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3.2">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5.2">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3.2">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3.2">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3.2">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3.2">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3.2">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3.2">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3.2">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3.2">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3.2">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F20" sqref="F20"/>
    </sheetView>
  </sheetViews>
  <sheetFormatPr defaultColWidth="9.21875" defaultRowHeight="13.8"/>
  <cols>
    <col min="1" max="1" width="12.109375" style="1633" customWidth="1"/>
    <col min="2" max="2" width="10.21875" style="1633" customWidth="1"/>
    <col min="3" max="3" width="18.44140625" style="1633" customWidth="1"/>
    <col min="4" max="4" width="11.6640625" style="1633" customWidth="1"/>
    <col min="5" max="5" width="13.33203125" style="1633" customWidth="1"/>
    <col min="6" max="8" width="11.44140625" style="1633" customWidth="1"/>
    <col min="9" max="9" width="11.109375" style="1633" customWidth="1"/>
    <col min="10" max="10" width="3.109375" style="2621" customWidth="1"/>
    <col min="11" max="16" width="10" style="1633" customWidth="1"/>
    <col min="17" max="17" width="2.6640625" style="1633" customWidth="1"/>
    <col min="18" max="18" width="9.33203125" style="1633" bestFit="1" customWidth="1"/>
    <col min="19" max="19" width="10.44140625" style="1633" bestFit="1" customWidth="1"/>
    <col min="20" max="16384" width="9.21875" style="1633"/>
  </cols>
  <sheetData>
    <row r="1" spans="1:16" ht="18" thickBot="1">
      <c r="A1" s="1632" t="s">
        <v>1130</v>
      </c>
      <c r="B1" s="1135"/>
      <c r="C1" s="1135"/>
      <c r="D1" s="1135"/>
      <c r="E1" s="1135"/>
      <c r="F1" s="1135"/>
      <c r="G1" s="1135"/>
      <c r="H1" s="1135"/>
      <c r="I1" s="1135"/>
      <c r="J1" s="1135"/>
      <c r="K1" s="1135"/>
      <c r="L1" s="1135"/>
      <c r="M1" s="1135"/>
      <c r="N1" s="1135"/>
      <c r="O1" s="1135"/>
      <c r="P1" s="1135"/>
    </row>
    <row r="2" spans="1:16" ht="14.4">
      <c r="A2" s="3654" t="s">
        <v>1131</v>
      </c>
      <c r="B2" s="3654"/>
      <c r="C2" s="3654"/>
      <c r="D2" s="792" t="s">
        <v>1107</v>
      </c>
      <c r="E2" s="1634" t="s">
        <v>1108</v>
      </c>
      <c r="F2" s="2631"/>
      <c r="G2" s="2622"/>
      <c r="H2" s="2623"/>
      <c r="I2" s="2320" t="s">
        <v>1132</v>
      </c>
      <c r="J2" s="2631"/>
      <c r="K2" s="2631"/>
      <c r="L2" s="2631"/>
      <c r="M2" s="2631"/>
      <c r="N2" s="2633"/>
      <c r="O2" s="2631"/>
      <c r="P2" s="2631"/>
    </row>
    <row r="3" spans="1:16" ht="15" thickBot="1">
      <c r="A3" s="3655" t="s">
        <v>1105</v>
      </c>
      <c r="B3" s="3655"/>
      <c r="C3" s="3655"/>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4.4">
      <c r="A4" s="3656"/>
      <c r="B4" s="3657"/>
      <c r="C4" s="3658"/>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ht="14.4">
      <c r="A5" s="44" t="s">
        <v>1109</v>
      </c>
      <c r="B5" s="3659" t="s">
        <v>1110</v>
      </c>
      <c r="C5" s="3659"/>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59" t="s">
        <v>1111</v>
      </c>
      <c r="C6" s="3659"/>
      <c r="D6" s="45">
        <f>ROUND($D$3*E6/$E$3,2)</f>
        <v>10591.91</v>
      </c>
      <c r="E6" s="46">
        <f>E3-E5</f>
        <v>84373.10000000002</v>
      </c>
      <c r="F6" s="2631"/>
      <c r="G6" s="2625" t="s">
        <v>1112</v>
      </c>
      <c r="H6" s="1142" t="s">
        <v>1113</v>
      </c>
      <c r="I6" s="2626">
        <f>ROUND(F31/D31,2)</f>
        <v>5.94</v>
      </c>
      <c r="J6" s="2631"/>
      <c r="K6" s="2631"/>
      <c r="L6" s="2631"/>
      <c r="M6" s="2631"/>
      <c r="N6" s="2631"/>
      <c r="O6" s="2631"/>
      <c r="P6" s="2631"/>
    </row>
    <row r="7" spans="1:16" ht="15" thickBot="1">
      <c r="A7" s="3651"/>
      <c r="B7" s="3652"/>
      <c r="C7" s="3653"/>
      <c r="D7" s="1636" t="s">
        <v>1107</v>
      </c>
      <c r="E7" s="1640" t="s">
        <v>1114</v>
      </c>
      <c r="F7" s="2631"/>
      <c r="G7" s="2627" t="s">
        <v>1115</v>
      </c>
      <c r="H7" s="2628"/>
      <c r="I7" s="2629">
        <f>I6</f>
        <v>5.94</v>
      </c>
      <c r="J7" s="2631"/>
      <c r="K7" s="2631"/>
      <c r="L7" s="2631"/>
      <c r="M7" s="2631"/>
      <c r="N7" s="2631"/>
      <c r="O7" s="2631"/>
      <c r="P7" s="2631"/>
    </row>
    <row r="8" spans="1:16" ht="14.4">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ht="14.4">
      <c r="A9" s="1641"/>
      <c r="B9" s="1642"/>
      <c r="C9" s="45" t="s">
        <v>1119</v>
      </c>
      <c r="D9" s="45">
        <f t="shared" si="0"/>
        <v>0</v>
      </c>
      <c r="E9" s="49">
        <v>0</v>
      </c>
      <c r="F9" s="2631"/>
      <c r="G9" s="2632"/>
      <c r="H9" s="2632"/>
      <c r="I9" s="2631"/>
      <c r="J9" s="2631"/>
      <c r="K9" s="2631"/>
      <c r="L9" s="2631"/>
      <c r="M9" s="2631"/>
      <c r="N9" s="2631"/>
      <c r="O9" s="2631"/>
      <c r="P9" s="2631"/>
    </row>
    <row r="10" spans="1:16" ht="14.4">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ht="14.4">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ht="14.4">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ht="14.4">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ht="14.4">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 thickBot="1">
      <c r="A16" s="1639"/>
      <c r="B16" s="1642"/>
      <c r="C16" s="47" t="s">
        <v>1123</v>
      </c>
      <c r="D16" s="47">
        <f>SUM(D8:D15)</f>
        <v>10591.91</v>
      </c>
      <c r="E16" s="50">
        <f>SUM(E8:E15)</f>
        <v>84373.1</v>
      </c>
      <c r="F16" s="2631"/>
      <c r="G16" s="2632"/>
      <c r="H16" s="1643" t="s">
        <v>1135</v>
      </c>
      <c r="I16" s="1644"/>
      <c r="J16" s="1135"/>
      <c r="K16" s="3648" t="s">
        <v>1135</v>
      </c>
      <c r="L16" s="3649"/>
      <c r="M16" s="3649"/>
      <c r="N16" s="3649"/>
      <c r="O16" s="3649"/>
      <c r="P16" s="3650"/>
    </row>
    <row r="17" spans="1:19" ht="14.4">
      <c r="A17" s="1645" t="s">
        <v>1136</v>
      </c>
      <c r="B17" s="1646" t="s">
        <v>1137</v>
      </c>
      <c r="C17" s="1647" t="s">
        <v>1138</v>
      </c>
      <c r="D17" s="1648" t="s">
        <v>1126</v>
      </c>
      <c r="E17" s="1649" t="s">
        <v>1127</v>
      </c>
      <c r="F17" s="1650"/>
      <c r="G17" s="1651"/>
      <c r="H17" s="1652" t="s">
        <v>1139</v>
      </c>
      <c r="I17" s="1653" t="s">
        <v>1124</v>
      </c>
      <c r="J17" s="1135"/>
      <c r="K17" s="3645" t="s">
        <v>1140</v>
      </c>
      <c r="L17" s="3646"/>
      <c r="M17" s="3647"/>
      <c r="N17" s="3645" t="s">
        <v>1141</v>
      </c>
      <c r="O17" s="3646"/>
      <c r="P17" s="3647"/>
      <c r="R17" s="1635" t="s">
        <v>1142</v>
      </c>
      <c r="S17" s="56"/>
    </row>
    <row r="18" spans="1:19" ht="14.4">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ht="14.4">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ht="14.4">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ht="14.4">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ht="14.4">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ht="14.4">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ht="14.4">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ht="14.4">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ht="14.4">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ht="14.4">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ht="14.4">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4.4">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ht="14.4">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ht="14.4">
      <c r="E38" s="3538" t="s">
        <v>4316</v>
      </c>
      <c r="F38" s="3534">
        <f>F31</f>
        <v>62894.500000000007</v>
      </c>
      <c r="G38" s="3535">
        <f>(580000-(F39*G39+F40*G40)/10000)/'数据-汇总表'!F38*10000</f>
        <v>86069.151515633319</v>
      </c>
      <c r="H38" s="1633">
        <f>580000/E31</f>
        <v>6.8742288715242177</v>
      </c>
      <c r="K38" s="1633">
        <f>F27*90000/10000</f>
        <v>566050.50000000012</v>
      </c>
    </row>
    <row r="39" spans="4:11" ht="14.4">
      <c r="E39" s="3538" t="s">
        <v>4317</v>
      </c>
      <c r="F39" s="3534">
        <f>G19</f>
        <v>6877.51</v>
      </c>
      <c r="G39" s="1633">
        <v>35000</v>
      </c>
    </row>
    <row r="40" spans="4:11" ht="14.4">
      <c r="E40" s="3538" t="s">
        <v>4318</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0" customWidth="1"/>
    <col min="2" max="2" width="12" style="1677" customWidth="1"/>
    <col min="3" max="3" width="12.77734375" style="1677" customWidth="1"/>
    <col min="4" max="4" width="9.109375" style="1741" customWidth="1"/>
    <col min="5" max="5" width="15" style="1677" bestFit="1" customWidth="1"/>
    <col min="6" max="10" width="8.88671875" style="1677" customWidth="1"/>
    <col min="11" max="12" width="12.33203125" style="1596" customWidth="1"/>
    <col min="13" max="13" width="8.6640625" style="1677" customWidth="1"/>
    <col min="14" max="14" width="11.88671875" style="1677" customWidth="1"/>
    <col min="15" max="15" width="8.44140625" style="1677" customWidth="1"/>
    <col min="16" max="17" width="10.88671875" style="1677" customWidth="1"/>
    <col min="18" max="19" width="12.44140625" style="1677" customWidth="1"/>
    <col min="20" max="20" width="12.109375" style="1677" customWidth="1"/>
    <col min="21" max="21" width="9.21875" style="1677" customWidth="1"/>
    <col min="22" max="22" width="6.33203125" style="1677" customWidth="1"/>
    <col min="23" max="30" width="6.77734375" style="1677" customWidth="1"/>
    <col min="31" max="31" width="8" style="1677" customWidth="1"/>
    <col min="32" max="34" width="7.21875" style="1677" customWidth="1"/>
    <col min="35" max="39" width="8" style="1677" customWidth="1"/>
    <col min="40" max="40" width="13.77734375" style="1676"/>
    <col min="41" max="41" width="11.6640625" style="1676" customWidth="1"/>
    <col min="42" max="42" width="9.77734375" style="1676" customWidth="1"/>
    <col min="43" max="67" width="13.77734375" style="1676"/>
    <col min="68" max="16384" width="13.77734375" style="1677"/>
  </cols>
  <sheetData>
    <row r="1" spans="1:67" ht="18"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 thickBot="1">
      <c r="A2" s="1678" t="s">
        <v>1161</v>
      </c>
      <c r="B2" s="1041">
        <f>项目基本情况!D3</f>
        <v>45309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4.4"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57.6">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3.8">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20.64</v>
      </c>
      <c r="G6" s="65">
        <f>IF(ISERROR(ROUND(POWER(1+H6,D6-F6)*(POWER(1+H6,F6)-1)/(POWER(1+H6,D6)-1),3)),0,ROUND(POWER(1+H6,D6-F6)*(POWER(1+H6,F6)-1)/(POWER(1+H6,D6)-1),3))</f>
        <v>0.74</v>
      </c>
      <c r="H6" s="731">
        <v>0.05</v>
      </c>
      <c r="I6" s="731">
        <v>5.5E-2</v>
      </c>
      <c r="J6" s="66">
        <v>7.0000000000000007E-2</v>
      </c>
      <c r="K6" s="1026">
        <f>SUMIF('数据-汇总表'!C$19:C$33,A6,'数据-汇总表'!E$19:E$33)</f>
        <v>34471.17</v>
      </c>
      <c r="L6" s="3559">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13</v>
      </c>
      <c r="V6" s="70">
        <v>0.03</v>
      </c>
      <c r="W6" s="70">
        <v>0.1</v>
      </c>
      <c r="X6" s="1036"/>
      <c r="Y6" s="71">
        <f>N6</f>
        <v>0.98</v>
      </c>
      <c r="Z6" s="72"/>
      <c r="AA6" s="66"/>
      <c r="AB6" s="66"/>
      <c r="AC6" s="1036"/>
      <c r="AD6" s="73"/>
      <c r="AE6" s="1037">
        <f ca="1">IF(AN6="",0,SUMIF(INDIRECT("'"&amp;AN6&amp;"'"&amp;"!E:E"),$AE$5,INDIRECT("'"&amp;AN6&amp;"'"&amp;"!F:F")))</f>
        <v>20.64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191813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3.8">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30.64</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3559">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15</v>
      </c>
      <c r="V7" s="734">
        <v>0.03</v>
      </c>
      <c r="W7" s="734">
        <f>W6</f>
        <v>0.1</v>
      </c>
      <c r="X7" s="1036"/>
      <c r="Y7" s="71">
        <f t="shared" ref="Y7:Y8" si="6">N7</f>
        <v>0.98</v>
      </c>
      <c r="Z7" s="72"/>
      <c r="AA7" s="66"/>
      <c r="AB7" s="66"/>
      <c r="AC7" s="1036"/>
      <c r="AD7" s="73"/>
      <c r="AE7" s="1037">
        <f t="shared" ref="AE7:AE13" ca="1" si="7">IF(AN7="",0,SUMIF(INDIRECT("'"&amp;AN7&amp;"'"&amp;"!E:E"),$AE$5,INDIRECT("'"&amp;AN7&amp;"'"&amp;"!F:F")))</f>
        <v>30.64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297620</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3.8">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30.64</v>
      </c>
      <c r="G8" s="65">
        <f t="shared" si="2"/>
        <v>0.83299999999999996</v>
      </c>
      <c r="H8" s="731">
        <v>4.4999999999999998E-2</v>
      </c>
      <c r="I8" s="731">
        <v>0.05</v>
      </c>
      <c r="J8" s="66">
        <v>7.0000000000000007E-2</v>
      </c>
      <c r="K8" s="1026">
        <f>SUMIF('数据-汇总表'!C$19:C$33,A8,'数据-汇总表'!E$19:E$33)</f>
        <v>14601.09</v>
      </c>
      <c r="L8" s="3559">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1500</v>
      </c>
      <c r="V8" s="734">
        <v>2.5000000000000001E-2</v>
      </c>
      <c r="W8" s="734">
        <f>W7</f>
        <v>0.1</v>
      </c>
      <c r="X8" s="1036"/>
      <c r="Y8" s="71">
        <f t="shared" si="6"/>
        <v>0.98</v>
      </c>
      <c r="Z8" s="72"/>
      <c r="AA8" s="66"/>
      <c r="AB8" s="66"/>
      <c r="AC8" s="1036"/>
      <c r="AD8" s="73"/>
      <c r="AE8" s="1037">
        <f t="shared" ca="1" si="7"/>
        <v>30.64</v>
      </c>
      <c r="AF8" s="1343"/>
      <c r="AG8" s="138">
        <f t="shared" si="8"/>
        <v>0</v>
      </c>
      <c r="AH8" s="735">
        <v>287</v>
      </c>
      <c r="AI8" s="76">
        <v>12</v>
      </c>
      <c r="AJ8" s="77"/>
      <c r="AK8" s="78">
        <f>AK6</f>
        <v>5.0000000000000001E-3</v>
      </c>
      <c r="AL8" s="79">
        <v>1E-3</v>
      </c>
      <c r="AM8" s="80">
        <v>5.0000000000000001E-3</v>
      </c>
      <c r="AN8" s="1710" t="s">
        <v>4307</v>
      </c>
      <c r="AO8" s="52">
        <f t="shared" ca="1" si="9"/>
        <v>7103</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3.8">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3.8">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3.8">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3.8">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3.8">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4">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8.8">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8"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4">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4">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4">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4">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4">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4.4"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8.8">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8.8">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9.4"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8.8">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8.8">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9.4"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4">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4">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4">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4">
      <c r="A37" s="1726" t="s">
        <v>1230</v>
      </c>
      <c r="B37" s="115">
        <v>1.4999999999999999E-2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4">
      <c r="A38" s="1724" t="s">
        <v>1231</v>
      </c>
      <c r="B38" s="113">
        <v>1.4999999999999999E-2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4">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4.4"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4">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4">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4">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4">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4">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4">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4">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4">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4">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8.8">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4">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4">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4">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4">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4">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4">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4">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4">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4">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681" customWidth="1"/>
    <col min="2" max="2" width="24.44140625" style="1567" customWidth="1"/>
    <col min="3" max="3" width="24.44140625" style="2502" customWidth="1"/>
    <col min="4" max="4" width="2.6640625" style="2502" customWidth="1"/>
    <col min="5" max="5" width="5.88671875" style="2502" customWidth="1"/>
    <col min="6" max="6" width="27" style="1567" customWidth="1"/>
    <col min="7" max="7" width="27" style="2503" customWidth="1"/>
    <col min="8" max="8" width="11.88671875" style="2483" customWidth="1"/>
    <col min="9" max="9" width="16.77734375" style="2484" customWidth="1"/>
    <col min="10" max="10" width="2.6640625" style="2483" customWidth="1"/>
    <col min="11" max="11" width="11.88671875" style="2483" customWidth="1"/>
    <col min="12" max="12" width="16.77734375" style="2484" customWidth="1"/>
    <col min="13" max="13" width="2.6640625" style="2483" customWidth="1"/>
    <col min="14" max="14" width="11.88671875" style="2483" customWidth="1"/>
    <col min="15" max="15" width="16.77734375" style="2484" customWidth="1"/>
    <col min="16" max="16" width="2.6640625" style="2483" customWidth="1"/>
    <col min="17" max="17" width="11.88671875" style="2483" customWidth="1"/>
    <col min="18" max="18" width="16.77734375" style="2485" customWidth="1"/>
    <col min="19" max="29" width="9" style="795"/>
    <col min="30" max="16384" width="9" style="1681"/>
  </cols>
  <sheetData>
    <row r="1" spans="1:29" s="2451" customFormat="1" ht="18" thickBot="1">
      <c r="A1" s="3660" t="s">
        <v>2264</v>
      </c>
      <c r="B1" s="3661"/>
      <c r="C1" s="3661"/>
      <c r="D1" s="3661"/>
      <c r="E1" s="3661"/>
      <c r="F1" s="3661"/>
      <c r="G1" s="366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2260</v>
      </c>
      <c r="D2" s="2455"/>
      <c r="E2" s="2452"/>
      <c r="F2" s="2456"/>
      <c r="G2" s="2454" t="s">
        <v>2261</v>
      </c>
      <c r="H2" s="795"/>
      <c r="I2" s="795"/>
      <c r="J2" s="795"/>
      <c r="K2" s="795"/>
      <c r="L2" s="795"/>
      <c r="M2" s="795"/>
      <c r="N2" s="795"/>
      <c r="O2" s="795"/>
      <c r="P2" s="795"/>
      <c r="Q2" s="795"/>
      <c r="R2" s="795"/>
    </row>
    <row r="3" spans="1:29" ht="39.6">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ht="24">
      <c r="A6" s="2436"/>
      <c r="B6" s="323" t="s">
        <v>2242</v>
      </c>
      <c r="C6" s="3435" t="s">
        <v>3397</v>
      </c>
      <c r="D6" s="2458"/>
      <c r="E6" s="2461"/>
      <c r="F6" s="323" t="s">
        <v>2243</v>
      </c>
      <c r="G6" s="2462" t="s">
        <v>2244</v>
      </c>
      <c r="H6" s="795"/>
      <c r="I6" s="795"/>
      <c r="J6" s="795"/>
      <c r="K6" s="795"/>
      <c r="L6" s="795"/>
      <c r="M6" s="795"/>
      <c r="N6" s="795"/>
      <c r="O6" s="795"/>
      <c r="P6" s="795"/>
      <c r="Q6" s="795"/>
      <c r="R6" s="795"/>
    </row>
    <row r="7" spans="1:29" ht="36.6"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4.4"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7.399999999999999">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 thickBot="1">
      <c r="A13" s="2482" t="s">
        <v>2265</v>
      </c>
      <c r="B13" s="2476"/>
      <c r="C13" s="2476"/>
      <c r="D13" s="2474"/>
      <c r="E13" s="2476"/>
      <c r="F13" s="2476"/>
      <c r="G13" s="2476"/>
    </row>
    <row r="14" spans="1:29" ht="14.4" thickBot="1">
      <c r="A14" s="2486"/>
      <c r="B14" s="2486"/>
      <c r="C14" s="2487" t="s">
        <v>2249</v>
      </c>
      <c r="D14" s="2458"/>
      <c r="E14" s="2488"/>
      <c r="F14" s="2488"/>
      <c r="G14" s="2454" t="s">
        <v>2250</v>
      </c>
    </row>
    <row r="15" spans="1:29" ht="39.6">
      <c r="A15" s="2438" t="s">
        <v>2251</v>
      </c>
      <c r="B15" s="2489" t="s">
        <v>2234</v>
      </c>
      <c r="C15" s="2490" t="str">
        <f>C3</f>
        <v>较好</v>
      </c>
      <c r="D15" s="2458"/>
      <c r="E15" s="2439" t="s">
        <v>2252</v>
      </c>
      <c r="F15" s="2489" t="s">
        <v>2253</v>
      </c>
      <c r="G15" s="2491" t="str">
        <f>G3</f>
        <v>估价对象位于XX开发区，园区建设成熟度XX，产业集聚程度XX</v>
      </c>
    </row>
    <row r="16" spans="1:29" ht="39.6">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39.6">
      <c r="A18" s="2440"/>
      <c r="B18" s="2494" t="s">
        <v>2242</v>
      </c>
      <c r="C18" s="2495" t="str">
        <f>C6</f>
        <v>较好</v>
      </c>
      <c r="D18" s="2463"/>
      <c r="E18" s="2441"/>
      <c r="F18" s="2494" t="s">
        <v>2245</v>
      </c>
      <c r="G18" s="2495" t="str">
        <f>G7</f>
        <v>该园区内是否有污染型企业，绿化情况，卫生条件，整体环境状况判断</v>
      </c>
    </row>
    <row r="19" spans="1:18" ht="26.4">
      <c r="A19" s="2440"/>
      <c r="B19" s="2494" t="s">
        <v>2255</v>
      </c>
      <c r="C19" s="2496"/>
      <c r="D19" s="2458"/>
      <c r="E19" s="2441"/>
      <c r="F19" s="323" t="s">
        <v>2240</v>
      </c>
      <c r="G19" s="2495" t="str">
        <f>G5</f>
        <v>估价对象所在区域公共配套设施齐备情况</v>
      </c>
    </row>
    <row r="20" spans="1:18" ht="26.4">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4.4"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4.4"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61"/>
  <sheetViews>
    <sheetView tabSelected="1" topLeftCell="W34" workbookViewId="0">
      <selection activeCell="AI61" sqref="AI61"/>
    </sheetView>
  </sheetViews>
  <sheetFormatPr defaultColWidth="9" defaultRowHeight="15.6"/>
  <cols>
    <col min="1" max="2" width="9" style="3515"/>
    <col min="3" max="3" width="11.21875" style="3515" customWidth="1"/>
    <col min="4" max="4" width="11.109375" style="3515" customWidth="1"/>
    <col min="5" max="5" width="9" style="3515"/>
    <col min="6" max="6" width="4.44140625" style="3515" bestFit="1" customWidth="1"/>
    <col min="7" max="7" width="19.33203125" style="3515" bestFit="1" customWidth="1"/>
    <col min="8" max="8" width="23.33203125" style="3515" customWidth="1"/>
    <col min="9" max="14" width="9" style="3515"/>
    <col min="15" max="15" width="10.77734375" style="3515" customWidth="1"/>
    <col min="16" max="29" width="9" style="3515"/>
    <col min="30" max="31" width="19.77734375" style="3515" customWidth="1"/>
    <col min="32" max="32" width="18.109375" style="3515" customWidth="1"/>
    <col min="33" max="33" width="18.33203125" style="3515" customWidth="1"/>
    <col min="34" max="35" width="12.77734375" style="3515" customWidth="1"/>
    <col min="36" max="36" width="14.21875" style="3515" customWidth="1"/>
    <col min="37" max="16384" width="9" style="3515"/>
  </cols>
  <sheetData>
    <row r="1" spans="2:15">
      <c r="B1" s="3515" t="s">
        <v>4208</v>
      </c>
      <c r="F1" s="3516"/>
      <c r="G1" s="3516"/>
      <c r="H1" s="3516"/>
    </row>
    <row r="2" spans="2:15">
      <c r="F2" s="3516"/>
      <c r="G2" s="3516"/>
      <c r="H2" s="3516"/>
    </row>
    <row r="3" spans="2:15" ht="15" customHeight="1">
      <c r="B3" s="3516" t="s">
        <v>4209</v>
      </c>
      <c r="C3" s="3516"/>
      <c r="D3" s="3516"/>
      <c r="E3" s="3516"/>
      <c r="F3" s="3516"/>
      <c r="G3" s="3516"/>
      <c r="H3" s="3516"/>
      <c r="I3" s="3516"/>
      <c r="J3" s="3516"/>
      <c r="K3" s="3516"/>
      <c r="L3" s="3516"/>
      <c r="M3" s="3516"/>
      <c r="N3" s="3516"/>
    </row>
    <row r="4" spans="2:15">
      <c r="B4" s="3517" t="s">
        <v>4211</v>
      </c>
      <c r="C4" s="3517">
        <v>1818.27</v>
      </c>
      <c r="D4" s="3517" t="s">
        <v>4210</v>
      </c>
      <c r="E4" s="3516"/>
      <c r="F4" s="3516"/>
      <c r="G4" s="3516"/>
      <c r="H4" s="3516"/>
      <c r="I4" s="3516"/>
      <c r="J4" s="3516"/>
      <c r="K4" s="3516"/>
      <c r="L4" s="3516"/>
      <c r="M4" s="3516"/>
      <c r="N4" s="3516"/>
    </row>
    <row r="5" spans="2:15">
      <c r="B5" s="3517" t="s">
        <v>4212</v>
      </c>
      <c r="C5" s="3517">
        <v>1675.48</v>
      </c>
      <c r="D5" s="3517" t="s">
        <v>4210</v>
      </c>
      <c r="E5" s="3516"/>
      <c r="F5" s="3516"/>
      <c r="G5" s="3516"/>
      <c r="H5" s="3516"/>
      <c r="I5" s="3516"/>
      <c r="J5" s="3516"/>
      <c r="K5" s="3516"/>
      <c r="L5" s="3516"/>
      <c r="M5" s="3516"/>
      <c r="N5" s="3516"/>
    </row>
    <row r="6" spans="2:15">
      <c r="B6" s="3517" t="s">
        <v>4213</v>
      </c>
      <c r="C6" s="3517">
        <v>1873.83</v>
      </c>
      <c r="D6" s="3517" t="s">
        <v>4214</v>
      </c>
      <c r="E6" s="3516"/>
      <c r="F6" s="3516"/>
      <c r="G6" s="3516"/>
      <c r="H6" s="3516"/>
      <c r="I6" s="3516"/>
      <c r="J6" s="3516"/>
      <c r="K6" s="3516"/>
      <c r="L6" s="3516"/>
      <c r="M6" s="3516"/>
      <c r="N6" s="3516"/>
    </row>
    <row r="7" spans="2:15">
      <c r="B7" s="3517" t="s">
        <v>4215</v>
      </c>
      <c r="C7" s="3517">
        <v>1873.83</v>
      </c>
      <c r="D7" s="3517" t="s">
        <v>4214</v>
      </c>
      <c r="E7" s="3516"/>
      <c r="F7" s="3516"/>
      <c r="G7" s="3516"/>
      <c r="H7" s="3516"/>
      <c r="I7" s="3516"/>
      <c r="J7" s="3516"/>
      <c r="K7" s="3516"/>
      <c r="L7" s="3516"/>
      <c r="M7" s="3516"/>
      <c r="N7" s="3516"/>
    </row>
    <row r="8" spans="2:15">
      <c r="B8" s="3517" t="s">
        <v>4216</v>
      </c>
      <c r="C8" s="3517">
        <v>1873.83</v>
      </c>
      <c r="D8" s="3517" t="s">
        <v>4214</v>
      </c>
      <c r="E8" s="3516"/>
      <c r="F8" s="3516"/>
      <c r="G8" s="3516"/>
      <c r="H8" s="3516"/>
      <c r="I8" s="3516"/>
      <c r="J8" s="3516"/>
      <c r="K8" s="3516"/>
      <c r="L8" s="3516"/>
      <c r="M8" s="3516"/>
      <c r="N8" s="3516"/>
    </row>
    <row r="9" spans="2:15">
      <c r="B9" s="3517" t="s">
        <v>4205</v>
      </c>
      <c r="C9" s="3517">
        <f>SUM(C4:C8)</f>
        <v>9115.24</v>
      </c>
      <c r="D9" s="3517"/>
      <c r="E9" s="3516"/>
      <c r="F9" s="3516"/>
      <c r="G9" s="3516"/>
      <c r="H9" s="3516"/>
      <c r="I9" s="3516"/>
      <c r="J9" s="3516"/>
      <c r="K9" s="3516"/>
      <c r="L9" s="3516"/>
      <c r="M9" s="3516"/>
      <c r="N9" s="3516"/>
    </row>
    <row r="10" spans="2:15" ht="16.2" thickBot="1">
      <c r="B10" s="3518"/>
      <c r="C10" s="3518"/>
      <c r="D10" s="3518"/>
      <c r="E10" s="3516"/>
      <c r="F10" s="3516"/>
      <c r="G10" s="3516"/>
      <c r="H10" s="3516"/>
      <c r="I10" s="3516"/>
      <c r="J10" s="3516">
        <f ca="1">结果表!H118</f>
        <v>560936</v>
      </c>
      <c r="K10" s="3516">
        <f ca="1">结果表!N59</f>
        <v>504028</v>
      </c>
      <c r="L10" s="3516"/>
      <c r="M10" s="3516"/>
      <c r="N10" s="3516"/>
    </row>
    <row r="11" spans="2:15" ht="16.2" thickTop="1">
      <c r="B11" s="3518" t="s">
        <v>4217</v>
      </c>
      <c r="C11" s="3518"/>
      <c r="D11" s="3518"/>
      <c r="E11" s="3516"/>
      <c r="F11" s="3563" t="s">
        <v>3443</v>
      </c>
      <c r="G11" s="3564" t="s">
        <v>4376</v>
      </c>
      <c r="H11" s="3564" t="s">
        <v>4377</v>
      </c>
      <c r="I11" s="3564" t="s">
        <v>4378</v>
      </c>
      <c r="J11" s="3564" t="s">
        <v>4379</v>
      </c>
      <c r="K11" s="3564" t="s">
        <v>4399</v>
      </c>
      <c r="L11" s="3564" t="s">
        <v>4390</v>
      </c>
      <c r="M11" s="3564" t="s">
        <v>4391</v>
      </c>
      <c r="N11" s="3564" t="s">
        <v>4392</v>
      </c>
      <c r="O11" s="3564" t="s">
        <v>4393</v>
      </c>
    </row>
    <row r="12" spans="2:15" ht="25.2">
      <c r="B12" s="3517" t="s">
        <v>4218</v>
      </c>
      <c r="C12" s="3517">
        <v>3343.12</v>
      </c>
      <c r="D12" s="3517" t="s">
        <v>4219</v>
      </c>
      <c r="E12" s="3516"/>
      <c r="F12" s="3566">
        <v>1</v>
      </c>
      <c r="G12" s="3567" t="s">
        <v>4400</v>
      </c>
      <c r="H12" s="3567" t="s">
        <v>4381</v>
      </c>
      <c r="I12" s="3568">
        <f>C9</f>
        <v>9115.24</v>
      </c>
      <c r="J12" s="3568">
        <f ca="1">ROUND(O12/$O$18*$J$10,0)</f>
        <v>64531</v>
      </c>
      <c r="K12" s="3568">
        <f ca="1">ROUND(J12/$J$18*$K$10,0)</f>
        <v>57984</v>
      </c>
      <c r="L12" s="3568">
        <f ca="1">取值过程!M23</f>
        <v>57122</v>
      </c>
      <c r="M12" s="3568"/>
      <c r="N12" s="3568"/>
      <c r="O12" s="3568">
        <f ca="1">SUM(L12:N12)</f>
        <v>57122</v>
      </c>
    </row>
    <row r="13" spans="2:15" ht="25.2">
      <c r="B13" s="3517" t="s">
        <v>4220</v>
      </c>
      <c r="C13" s="3517">
        <v>3244.08</v>
      </c>
      <c r="D13" s="3517" t="s">
        <v>4219</v>
      </c>
      <c r="E13" s="3516"/>
      <c r="F13" s="3566">
        <v>2</v>
      </c>
      <c r="G13" s="3567" t="s">
        <v>4382</v>
      </c>
      <c r="H13" s="3567" t="s">
        <v>4383</v>
      </c>
      <c r="I13" s="3568">
        <f>C31</f>
        <v>53779.260000000024</v>
      </c>
      <c r="J13" s="3568">
        <f t="shared" ref="J13:J16" ca="1" si="0">ROUND(O13/$O$18*$J$10,0)</f>
        <v>467076</v>
      </c>
      <c r="K13" s="3568">
        <f t="shared" ref="K13:K16" ca="1" si="1">ROUND(J13/$J$18*$K$10,0)</f>
        <v>419690</v>
      </c>
      <c r="L13" s="3568">
        <f ca="1">取值过程!M24</f>
        <v>115832</v>
      </c>
      <c r="M13" s="3568">
        <f ca="1">'收益法（汇总）'!B7</f>
        <v>297620</v>
      </c>
      <c r="N13" s="3568"/>
      <c r="O13" s="3568">
        <f t="shared" ref="O13:O16" ca="1" si="2">SUM(L13:N13)</f>
        <v>413452</v>
      </c>
    </row>
    <row r="14" spans="2:15" ht="25.2">
      <c r="B14" s="3517" t="s">
        <v>4221</v>
      </c>
      <c r="C14" s="3517">
        <v>3963.74</v>
      </c>
      <c r="D14" s="3517" t="s">
        <v>4219</v>
      </c>
      <c r="E14" s="3516"/>
      <c r="F14" s="3566">
        <v>3</v>
      </c>
      <c r="G14" s="3567" t="s">
        <v>4384</v>
      </c>
      <c r="H14" s="3567" t="s">
        <v>4385</v>
      </c>
      <c r="I14" s="3568">
        <f>C33</f>
        <v>6877.51</v>
      </c>
      <c r="J14" s="3568">
        <f t="shared" ca="1" si="0"/>
        <v>21305</v>
      </c>
      <c r="K14" s="3568">
        <f t="shared" ca="1" si="1"/>
        <v>19144</v>
      </c>
      <c r="L14" s="3568">
        <f ca="1">取值过程!M25</f>
        <v>18859</v>
      </c>
      <c r="M14" s="3568"/>
      <c r="N14" s="3568"/>
      <c r="O14" s="3568">
        <f t="shared" ca="1" si="2"/>
        <v>18859</v>
      </c>
    </row>
    <row r="15" spans="2:15" ht="25.2">
      <c r="B15" s="3517" t="s">
        <v>4222</v>
      </c>
      <c r="C15" s="3517">
        <v>3963.74</v>
      </c>
      <c r="D15" s="3517" t="s">
        <v>4219</v>
      </c>
      <c r="E15" s="3516"/>
      <c r="F15" s="3566">
        <v>4</v>
      </c>
      <c r="G15" s="3567" t="s">
        <v>4386</v>
      </c>
      <c r="H15" s="3567" t="s">
        <v>4387</v>
      </c>
      <c r="I15" s="3568">
        <f>C34</f>
        <v>7475.14</v>
      </c>
      <c r="J15" s="3568">
        <f t="shared" ca="1" si="0"/>
        <v>4108</v>
      </c>
      <c r="K15" s="3568">
        <f t="shared" ca="1" si="1"/>
        <v>3691</v>
      </c>
      <c r="L15" s="3568"/>
      <c r="M15" s="3568"/>
      <c r="N15" s="3568">
        <f ca="1">ROUND(I15/(I15+I16)*'收益法（汇总）'!B8,0)</f>
        <v>3636</v>
      </c>
      <c r="O15" s="3568">
        <f t="shared" ca="1" si="2"/>
        <v>3636</v>
      </c>
    </row>
    <row r="16" spans="2:15" ht="25.2">
      <c r="B16" s="3517" t="s">
        <v>4223</v>
      </c>
      <c r="C16" s="3517">
        <v>3963.74</v>
      </c>
      <c r="D16" s="3517" t="s">
        <v>4219</v>
      </c>
      <c r="E16" s="3516"/>
      <c r="F16" s="3566">
        <v>5</v>
      </c>
      <c r="G16" s="3567" t="s">
        <v>4389</v>
      </c>
      <c r="H16" s="3567" t="s">
        <v>4388</v>
      </c>
      <c r="I16" s="3568">
        <f>C35</f>
        <v>7125.95</v>
      </c>
      <c r="J16" s="3568">
        <f t="shared" ca="1" si="0"/>
        <v>3917</v>
      </c>
      <c r="K16" s="3568">
        <f t="shared" ca="1" si="1"/>
        <v>3520</v>
      </c>
      <c r="L16" s="3568"/>
      <c r="M16" s="3568"/>
      <c r="N16" s="3568">
        <f ca="1">'收益法（汇总）'!B8-面积表!N15</f>
        <v>3467</v>
      </c>
      <c r="O16" s="3568">
        <f t="shared" ca="1" si="2"/>
        <v>3467</v>
      </c>
    </row>
    <row r="17" spans="2:19">
      <c r="B17" s="3517" t="s">
        <v>4224</v>
      </c>
      <c r="C17" s="3517">
        <v>2413.5100000000002</v>
      </c>
      <c r="D17" s="3517" t="s">
        <v>4225</v>
      </c>
      <c r="E17" s="3516"/>
      <c r="F17" s="3566"/>
      <c r="G17" s="3567"/>
      <c r="H17" s="3567"/>
      <c r="I17" s="3568"/>
      <c r="J17" s="3568"/>
      <c r="K17" s="3568"/>
      <c r="L17" s="3568"/>
      <c r="M17" s="3568"/>
      <c r="N17" s="3568"/>
      <c r="O17" s="3568"/>
    </row>
    <row r="18" spans="2:19" ht="16.2" thickBot="1">
      <c r="B18" s="3517" t="s">
        <v>4226</v>
      </c>
      <c r="C18" s="3517">
        <v>2413.5100000000002</v>
      </c>
      <c r="D18" s="3517" t="s">
        <v>4225</v>
      </c>
      <c r="E18" s="3516"/>
      <c r="F18" s="3642" t="s">
        <v>4380</v>
      </c>
      <c r="G18" s="3643"/>
      <c r="H18" s="3644"/>
      <c r="I18" s="3569">
        <f>SUM(I12:I17)</f>
        <v>84373.10000000002</v>
      </c>
      <c r="J18" s="3569">
        <f ca="1">SUM(J12:J17)</f>
        <v>560937</v>
      </c>
      <c r="K18" s="3569">
        <f ca="1">SUM(K12:K17)</f>
        <v>504029</v>
      </c>
      <c r="L18" s="3569"/>
      <c r="M18" s="3569"/>
      <c r="N18" s="3569"/>
      <c r="O18" s="3569">
        <f ca="1">SUM(O12:O16)</f>
        <v>496536</v>
      </c>
    </row>
    <row r="19" spans="2:19" ht="16.2" thickTop="1">
      <c r="B19" s="3517" t="s">
        <v>4227</v>
      </c>
      <c r="C19" s="3517">
        <v>2413.5100000000002</v>
      </c>
      <c r="D19" s="3517" t="s">
        <v>4225</v>
      </c>
      <c r="E19" s="3516"/>
      <c r="F19" s="3516"/>
      <c r="G19" s="3516"/>
      <c r="H19" s="3516"/>
      <c r="I19" s="3516"/>
      <c r="J19" s="3516"/>
      <c r="K19" s="3516"/>
      <c r="L19" s="3516"/>
      <c r="M19" s="3516"/>
      <c r="N19" s="3516"/>
      <c r="O19" s="3515">
        <f ca="1">O18-'收益法（汇总）'!B2</f>
        <v>0</v>
      </c>
    </row>
    <row r="20" spans="2:19">
      <c r="B20" s="3517" t="s">
        <v>4228</v>
      </c>
      <c r="C20" s="3517">
        <v>2413.5100000000002</v>
      </c>
      <c r="D20" s="3517" t="s">
        <v>4225</v>
      </c>
      <c r="E20" s="3516"/>
      <c r="F20" s="3516"/>
      <c r="G20" s="3516"/>
      <c r="H20" s="3516"/>
      <c r="I20" s="3516"/>
      <c r="J20" s="3516"/>
      <c r="K20" s="3516"/>
      <c r="L20" s="3516"/>
      <c r="M20" s="3516"/>
      <c r="N20" s="3516"/>
    </row>
    <row r="21" spans="2:19">
      <c r="B21" s="3517" t="s">
        <v>4229</v>
      </c>
      <c r="C21" s="3517">
        <v>2413.5100000000002</v>
      </c>
      <c r="D21" s="3517" t="s">
        <v>4225</v>
      </c>
      <c r="E21" s="3516"/>
      <c r="F21" s="3516"/>
      <c r="G21" s="3516"/>
      <c r="H21" s="3516"/>
      <c r="I21" s="3516"/>
      <c r="J21" s="3516"/>
      <c r="K21" s="3516"/>
      <c r="L21" s="3516"/>
      <c r="M21" s="3516"/>
      <c r="N21" s="3516"/>
    </row>
    <row r="22" spans="2:19">
      <c r="B22" s="3517" t="s">
        <v>4230</v>
      </c>
      <c r="C22" s="3517">
        <v>2413.5100000000002</v>
      </c>
      <c r="D22" s="3517" t="s">
        <v>4225</v>
      </c>
      <c r="E22" s="3516"/>
      <c r="F22" s="3516"/>
      <c r="G22" s="3516"/>
      <c r="H22" s="3516"/>
      <c r="I22" s="3516"/>
      <c r="J22" s="3516"/>
      <c r="K22" s="3516"/>
      <c r="L22" s="3516"/>
      <c r="M22" s="3516"/>
      <c r="N22" s="3516"/>
    </row>
    <row r="23" spans="2:19">
      <c r="B23" s="3517" t="s">
        <v>4231</v>
      </c>
      <c r="C23" s="3517">
        <v>2413.5100000000002</v>
      </c>
      <c r="D23" s="3517" t="s">
        <v>4225</v>
      </c>
      <c r="E23" s="3516"/>
      <c r="F23" s="3516"/>
      <c r="G23" s="3516"/>
      <c r="H23" s="3516"/>
      <c r="I23" s="3516"/>
      <c r="J23" s="3516"/>
      <c r="K23" s="3516"/>
      <c r="L23" s="3516"/>
      <c r="M23" s="3516"/>
      <c r="N23" s="3516"/>
    </row>
    <row r="24" spans="2:19">
      <c r="B24" s="3517" t="s">
        <v>4232</v>
      </c>
      <c r="C24" s="3517">
        <v>2413.5100000000002</v>
      </c>
      <c r="D24" s="3517" t="s">
        <v>4225</v>
      </c>
      <c r="E24" s="3516"/>
      <c r="F24" s="3516"/>
      <c r="G24" s="3516"/>
      <c r="H24" s="3516"/>
      <c r="I24" s="3516"/>
      <c r="J24" s="3516"/>
      <c r="K24" s="3516"/>
      <c r="L24" s="3516"/>
      <c r="M24" s="3516"/>
      <c r="N24" s="3516"/>
      <c r="Q24" s="3515" t="s">
        <v>4404</v>
      </c>
      <c r="R24" s="3515" t="s">
        <v>4409</v>
      </c>
    </row>
    <row r="25" spans="2:19">
      <c r="B25" s="3517" t="s">
        <v>4233</v>
      </c>
      <c r="C25" s="3517">
        <v>2413.5100000000002</v>
      </c>
      <c r="D25" s="3517" t="s">
        <v>4225</v>
      </c>
      <c r="E25" s="3516"/>
      <c r="F25" s="3516"/>
      <c r="G25" s="3516"/>
      <c r="H25" s="3516"/>
      <c r="I25" s="3516"/>
      <c r="J25" s="3516"/>
      <c r="K25" s="3516"/>
      <c r="L25" s="3516"/>
      <c r="M25" s="3516"/>
      <c r="N25" s="3516"/>
      <c r="P25" s="3515" t="s">
        <v>4405</v>
      </c>
      <c r="Q25" s="3515">
        <f>基准地价修正办!C33</f>
        <v>24728</v>
      </c>
    </row>
    <row r="26" spans="2:19">
      <c r="B26" s="3517" t="s">
        <v>4234</v>
      </c>
      <c r="C26" s="3517">
        <v>2413.5100000000002</v>
      </c>
      <c r="D26" s="3517" t="s">
        <v>4225</v>
      </c>
      <c r="E26" s="3516"/>
      <c r="F26" s="3516"/>
      <c r="G26" s="3516"/>
      <c r="H26" s="3516"/>
      <c r="I26" s="3516"/>
      <c r="J26" s="3516"/>
      <c r="K26" s="3516"/>
      <c r="L26" s="3516"/>
      <c r="M26" s="3516"/>
      <c r="N26" s="3516"/>
      <c r="P26" s="3515" t="s">
        <v>4406</v>
      </c>
      <c r="Q26" s="3515">
        <v>30520</v>
      </c>
    </row>
    <row r="27" spans="2:19">
      <c r="B27" s="3517" t="s">
        <v>4235</v>
      </c>
      <c r="C27" s="3517">
        <v>2413.5100000000002</v>
      </c>
      <c r="D27" s="3517" t="s">
        <v>4225</v>
      </c>
      <c r="E27" s="3516"/>
      <c r="F27" s="3516"/>
      <c r="G27" s="3516"/>
      <c r="H27" s="3516"/>
      <c r="I27" s="3516"/>
      <c r="J27" s="3516"/>
      <c r="K27" s="3516"/>
      <c r="L27" s="3516"/>
      <c r="M27" s="3516"/>
      <c r="N27" s="3516"/>
      <c r="P27" s="3515">
        <v>1</v>
      </c>
      <c r="Q27" s="3515">
        <f>基准地价修正!T2</f>
        <v>38647</v>
      </c>
      <c r="R27" s="3515">
        <v>1.5206</v>
      </c>
    </row>
    <row r="28" spans="2:19">
      <c r="B28" s="3517" t="s">
        <v>4236</v>
      </c>
      <c r="C28" s="3517">
        <v>2413.5100000000002</v>
      </c>
      <c r="D28" s="3517" t="s">
        <v>4225</v>
      </c>
      <c r="E28" s="3516"/>
      <c r="F28" s="3516"/>
      <c r="G28" s="3516"/>
      <c r="H28" s="3516"/>
      <c r="I28" s="3516"/>
      <c r="J28" s="3516"/>
      <c r="K28" s="3516"/>
      <c r="L28" s="3516"/>
      <c r="M28" s="3516"/>
      <c r="N28" s="3516"/>
      <c r="P28" s="3515">
        <v>2</v>
      </c>
      <c r="Q28" s="3515">
        <f>基准地价修正!T3</f>
        <v>30682</v>
      </c>
      <c r="R28" s="3515">
        <v>1.2072000000000001</v>
      </c>
    </row>
    <row r="29" spans="2:19">
      <c r="B29" s="3517" t="s">
        <v>4237</v>
      </c>
      <c r="C29" s="3517">
        <v>2413.5100000000002</v>
      </c>
      <c r="D29" s="3517" t="s">
        <v>4225</v>
      </c>
      <c r="E29" s="3516"/>
      <c r="F29" s="3516"/>
      <c r="G29" s="3516"/>
      <c r="H29" s="3516"/>
      <c r="I29" s="3516"/>
      <c r="J29" s="3516"/>
      <c r="K29" s="3516"/>
      <c r="L29" s="3516"/>
      <c r="M29" s="3516"/>
      <c r="N29" s="3516"/>
      <c r="P29" s="3515">
        <v>3</v>
      </c>
      <c r="Q29" s="3515">
        <f>基准地价修正!T4</f>
        <v>26511</v>
      </c>
      <c r="R29" s="3515">
        <v>1.0430999999999999</v>
      </c>
    </row>
    <row r="30" spans="2:19">
      <c r="B30" s="3517" t="s">
        <v>4238</v>
      </c>
      <c r="C30" s="3517">
        <v>3925.21</v>
      </c>
      <c r="D30" s="3517" t="s">
        <v>4225</v>
      </c>
      <c r="E30" s="3516"/>
      <c r="F30" s="3516"/>
      <c r="G30" s="3516"/>
      <c r="H30" s="3516"/>
      <c r="I30" s="3516"/>
      <c r="J30" s="3516"/>
      <c r="K30" s="3516"/>
      <c r="L30" s="3516"/>
      <c r="M30" s="3516"/>
      <c r="N30" s="3516"/>
      <c r="P30" s="3515">
        <v>4</v>
      </c>
      <c r="Q30" s="3515">
        <f>基准地价修正!T5</f>
        <v>23990</v>
      </c>
      <c r="R30" s="3515">
        <v>0.94389999999999996</v>
      </c>
    </row>
    <row r="31" spans="2:19">
      <c r="B31" s="3517" t="s">
        <v>4239</v>
      </c>
      <c r="C31" s="3517">
        <f>SUM(C12:C30)</f>
        <v>53779.260000000024</v>
      </c>
      <c r="D31" s="3517"/>
      <c r="E31" s="3516"/>
      <c r="F31" s="3516"/>
      <c r="G31" s="3516"/>
      <c r="H31" s="3516"/>
      <c r="I31" s="3516"/>
      <c r="J31" s="3516"/>
      <c r="K31" s="3516"/>
      <c r="L31" s="3516"/>
      <c r="M31" s="3516"/>
      <c r="N31" s="3516"/>
      <c r="P31" s="3515">
        <v>5</v>
      </c>
      <c r="Q31" s="3515">
        <f>基准地价修正!T6</f>
        <v>22864</v>
      </c>
      <c r="R31" s="3515">
        <v>0.89959999999999996</v>
      </c>
    </row>
    <row r="32" spans="2:19">
      <c r="B32" s="3518"/>
      <c r="C32" s="3518"/>
      <c r="D32" s="3518"/>
      <c r="E32" s="3516"/>
      <c r="F32" s="3516"/>
      <c r="G32" s="3516"/>
      <c r="H32" s="3516"/>
      <c r="I32" s="3516"/>
      <c r="J32" s="3516"/>
      <c r="K32" s="3516"/>
      <c r="L32" s="3516"/>
      <c r="M32" s="3516"/>
      <c r="N32" s="3516"/>
      <c r="P32" s="3515" t="s">
        <v>4407</v>
      </c>
      <c r="Q32" s="3515">
        <f>基准地价修正!C37</f>
        <v>17791</v>
      </c>
      <c r="R32" s="3515">
        <v>0.7</v>
      </c>
      <c r="S32" s="3915">
        <v>1</v>
      </c>
    </row>
    <row r="33" spans="2:37">
      <c r="B33" s="3517" t="s">
        <v>4240</v>
      </c>
      <c r="C33" s="3517">
        <v>6877.51</v>
      </c>
      <c r="D33" s="3517" t="s">
        <v>4241</v>
      </c>
      <c r="E33" s="3516"/>
      <c r="F33" s="3516"/>
      <c r="G33" s="3516"/>
      <c r="H33" s="3516"/>
      <c r="I33" s="3516"/>
      <c r="J33" s="3516"/>
      <c r="K33" s="3516"/>
      <c r="L33" s="3516"/>
      <c r="M33" s="3516"/>
      <c r="N33" s="3516"/>
      <c r="P33" s="3515" t="s">
        <v>4408</v>
      </c>
      <c r="Q33" s="3515">
        <f>基准地价修正办!G42</f>
        <v>1313</v>
      </c>
      <c r="R33" s="3515">
        <v>0.2</v>
      </c>
      <c r="S33" s="3915">
        <v>1</v>
      </c>
    </row>
    <row r="34" spans="2:37" ht="16.2" thickBot="1">
      <c r="B34" s="3517" t="s">
        <v>4242</v>
      </c>
      <c r="C34" s="3517">
        <v>7475.14</v>
      </c>
      <c r="D34" s="3517" t="s">
        <v>4243</v>
      </c>
      <c r="E34" s="3516"/>
      <c r="F34" s="3516"/>
      <c r="G34" s="3516"/>
      <c r="H34" s="3516"/>
      <c r="I34" s="3516"/>
      <c r="J34" s="3516"/>
      <c r="K34" s="3516"/>
      <c r="L34" s="3516"/>
      <c r="M34" s="3516"/>
      <c r="N34" s="3516"/>
    </row>
    <row r="35" spans="2:37">
      <c r="B35" s="3517" t="s">
        <v>4244</v>
      </c>
      <c r="C35" s="3517">
        <v>7125.95</v>
      </c>
      <c r="D35" s="3517" t="s">
        <v>4243</v>
      </c>
      <c r="E35" s="3516"/>
      <c r="F35" s="3516"/>
      <c r="G35" s="3516"/>
      <c r="H35" s="3516"/>
      <c r="I35" s="3516"/>
      <c r="J35" s="3516"/>
      <c r="K35" s="3516"/>
      <c r="L35" s="3516"/>
      <c r="M35" s="3516"/>
      <c r="N35" s="3516"/>
      <c r="X35" s="3515">
        <f ca="1">系统读取表!D14</f>
        <v>560936</v>
      </c>
      <c r="AD35" s="3922" t="s">
        <v>4420</v>
      </c>
      <c r="AE35" s="3923"/>
      <c r="AF35" s="3923"/>
      <c r="AG35" s="3923" t="s">
        <v>4422</v>
      </c>
      <c r="AH35" s="3923"/>
      <c r="AI35" s="3923"/>
      <c r="AJ35" s="3924"/>
    </row>
    <row r="36" spans="2:37">
      <c r="B36" s="3518" t="s">
        <v>4245</v>
      </c>
      <c r="C36" s="3518">
        <f>SUM(C33:C35)</f>
        <v>21478.600000000002</v>
      </c>
      <c r="D36" s="3518"/>
      <c r="E36" s="3516"/>
      <c r="F36" s="3516"/>
      <c r="G36" s="3516"/>
      <c r="H36" s="3516"/>
      <c r="I36" s="3516"/>
      <c r="J36" s="3516"/>
      <c r="K36" s="3516"/>
      <c r="L36" s="3516"/>
      <c r="M36" s="3516"/>
      <c r="N36" s="3516"/>
      <c r="P36" s="3516" t="s">
        <v>4209</v>
      </c>
      <c r="Q36" s="3516"/>
      <c r="R36" s="3516"/>
      <c r="S36" s="3917" t="s">
        <v>4401</v>
      </c>
      <c r="T36" s="3917"/>
      <c r="U36" s="3917" t="s">
        <v>4402</v>
      </c>
      <c r="V36" s="3917"/>
      <c r="W36" s="3917" t="s">
        <v>4413</v>
      </c>
      <c r="X36" s="3917" t="s">
        <v>4414</v>
      </c>
      <c r="Y36" s="3917"/>
      <c r="Z36" s="3917"/>
      <c r="AA36" s="3917" t="s">
        <v>4415</v>
      </c>
      <c r="AB36" s="3917"/>
      <c r="AD36" s="3925"/>
      <c r="AE36" s="3920"/>
      <c r="AF36" s="3920" t="s">
        <v>4416</v>
      </c>
      <c r="AG36" s="3920" t="s">
        <v>4417</v>
      </c>
      <c r="AH36" s="3920" t="s">
        <v>4418</v>
      </c>
      <c r="AI36" s="3920" t="s">
        <v>4419</v>
      </c>
      <c r="AJ36" s="3926" t="s">
        <v>4426</v>
      </c>
    </row>
    <row r="37" spans="2:37">
      <c r="B37" s="3518"/>
      <c r="C37" s="3519"/>
      <c r="D37" s="3518"/>
      <c r="E37" s="3516"/>
      <c r="F37" s="3516"/>
      <c r="G37" s="3516"/>
      <c r="H37" s="3516"/>
      <c r="I37" s="3516"/>
      <c r="J37" s="3516"/>
      <c r="K37" s="3516"/>
      <c r="L37" s="3516"/>
      <c r="M37" s="3516"/>
      <c r="N37" s="3516"/>
      <c r="P37" s="3517" t="s">
        <v>4211</v>
      </c>
      <c r="Q37" s="3517">
        <v>1818.27</v>
      </c>
      <c r="R37" s="3517" t="s">
        <v>4210</v>
      </c>
      <c r="S37" s="3917">
        <f>ROUND(Q37*T37/10000,0)</f>
        <v>7027</v>
      </c>
      <c r="T37" s="3917">
        <f>Q27</f>
        <v>38647</v>
      </c>
      <c r="U37" s="3917">
        <f ca="1">ROUND(V37*Q37/10000,0)</f>
        <v>1520</v>
      </c>
      <c r="V37" s="3917">
        <f ca="1">收益法!I35</f>
        <v>8359.1592626534002</v>
      </c>
      <c r="W37" s="3917">
        <f ca="1">S37+U37</f>
        <v>8547</v>
      </c>
      <c r="X37" s="3917">
        <f ca="1">ROUND($X$35*W37/$W$56,0)</f>
        <v>19271</v>
      </c>
      <c r="Y37" s="3917">
        <f ca="1">X37*10000/Q37</f>
        <v>105985.35971005406</v>
      </c>
      <c r="Z37" s="3917"/>
      <c r="AA37" s="3917">
        <f ca="1">$X$35*S37/$S$56</f>
        <v>21982.339564557864</v>
      </c>
      <c r="AB37" s="3917">
        <f ca="1">AA37*10000/Q37</f>
        <v>120897.00410036939</v>
      </c>
      <c r="AD37" s="3925">
        <f ca="1">取值过程!N32</f>
        <v>14245</v>
      </c>
      <c r="AE37" s="3920"/>
      <c r="AF37" s="3920">
        <f ca="1">ROUND($AF$58*AD37/$AD$57,0)</f>
        <v>16445</v>
      </c>
      <c r="AG37" s="3920">
        <f ca="1">U37</f>
        <v>1520</v>
      </c>
      <c r="AH37" s="3920">
        <f ca="1">AG37+AF37</f>
        <v>17965</v>
      </c>
      <c r="AI37" s="3920">
        <f ca="1">ROUND(AH37*10000/Q37,0)</f>
        <v>98803</v>
      </c>
      <c r="AJ37" s="3926">
        <f ca="1">ROUND($AJ$58*AH37/$AH$55,0)</f>
        <v>16142</v>
      </c>
    </row>
    <row r="38" spans="2:37">
      <c r="B38" s="3520" t="s">
        <v>4246</v>
      </c>
      <c r="C38" s="3520">
        <f>SUM(C9,C31,C36)</f>
        <v>84373.10000000002</v>
      </c>
      <c r="D38" s="3520"/>
      <c r="E38" s="3516"/>
      <c r="F38" s="3516"/>
      <c r="G38" s="3516"/>
      <c r="H38" s="3516"/>
      <c r="I38" s="3516"/>
      <c r="J38" s="3516"/>
      <c r="K38" s="3516"/>
      <c r="L38" s="3516"/>
      <c r="M38" s="3516"/>
      <c r="N38" s="3516"/>
      <c r="P38" s="3517" t="s">
        <v>4212</v>
      </c>
      <c r="Q38" s="3517">
        <v>1675.48</v>
      </c>
      <c r="R38" s="3517" t="s">
        <v>4210</v>
      </c>
      <c r="S38" s="3917">
        <f>ROUND(Q38*T38/10000,0)</f>
        <v>5141</v>
      </c>
      <c r="T38" s="3917">
        <f t="shared" ref="T38:T41" si="3">Q28</f>
        <v>30682</v>
      </c>
      <c r="U38" s="3917">
        <f ca="1">ROUND(V38*Q38/10000,0)</f>
        <v>1401</v>
      </c>
      <c r="V38" s="3917">
        <f ca="1">V37</f>
        <v>8359.1592626534002</v>
      </c>
      <c r="W38" s="3917">
        <f t="shared" ref="W38:W41" ca="1" si="4">S38+U38</f>
        <v>6542</v>
      </c>
      <c r="X38" s="3917">
        <f ca="1">ROUND($X$35*W38/$W$56,0)</f>
        <v>14750</v>
      </c>
      <c r="Y38" s="3917">
        <f t="shared" ref="Y38:Y41" ca="1" si="5">X38*10000/Q38</f>
        <v>88034.473703058233</v>
      </c>
      <c r="Z38" s="3917"/>
      <c r="AA38" s="3917">
        <f ca="1">$X$35*S38/$S$56</f>
        <v>16082.426028375123</v>
      </c>
      <c r="AB38" s="3917">
        <f t="shared" ref="AB38:AB41" ca="1" si="6">AA38*10000/Q38</f>
        <v>95986.977035686024</v>
      </c>
      <c r="AD38" s="3925">
        <f ca="1">取值过程!N33</f>
        <v>9845</v>
      </c>
      <c r="AE38" s="3920"/>
      <c r="AF38" s="3920">
        <f t="shared" ref="AF38:AF41" ca="1" si="7">ROUND($AF$58*AD38/$AD$57,0)</f>
        <v>11365</v>
      </c>
      <c r="AG38" s="3920">
        <f t="shared" ref="AG38:AG41" ca="1" si="8">U38</f>
        <v>1401</v>
      </c>
      <c r="AH38" s="3920">
        <f t="shared" ref="AH38:AH41" ca="1" si="9">AG38+AF38</f>
        <v>12766</v>
      </c>
      <c r="AI38" s="3920">
        <f ca="1">ROUND(AH38*10000/Q38,0)</f>
        <v>76193</v>
      </c>
      <c r="AJ38" s="3926">
        <f ca="1">ROUND($AJ$58*AH38/$AH$55,0)</f>
        <v>11471</v>
      </c>
    </row>
    <row r="39" spans="2:37">
      <c r="P39" s="3517" t="s">
        <v>4213</v>
      </c>
      <c r="Q39" s="3517">
        <v>1873.83</v>
      </c>
      <c r="R39" s="3517" t="s">
        <v>4210</v>
      </c>
      <c r="S39" s="3917">
        <f>ROUND(Q39*T39/10000,0)</f>
        <v>4968</v>
      </c>
      <c r="T39" s="3917">
        <f t="shared" si="3"/>
        <v>26511</v>
      </c>
      <c r="U39" s="3917">
        <f ca="1">ROUND(V39*Q39/10000,0)</f>
        <v>1566</v>
      </c>
      <c r="V39" s="3917">
        <f t="shared" ref="V39:V41" ca="1" si="10">V38</f>
        <v>8359.1592626534002</v>
      </c>
      <c r="W39" s="3917">
        <f t="shared" ca="1" si="4"/>
        <v>6534</v>
      </c>
      <c r="X39" s="3917">
        <f ca="1">ROUND($X$35*W39/$W$56,0)</f>
        <v>14732</v>
      </c>
      <c r="Y39" s="3917">
        <f t="shared" ca="1" si="5"/>
        <v>78619.725375300855</v>
      </c>
      <c r="Z39" s="3917"/>
      <c r="AA39" s="3917">
        <f ca="1">$X$35*S39/$S$56</f>
        <v>15541.23565628625</v>
      </c>
      <c r="AB39" s="3917">
        <f t="shared" ca="1" si="6"/>
        <v>82938.343693324627</v>
      </c>
      <c r="AD39" s="3925">
        <f ca="1">取值过程!N34</f>
        <v>11011</v>
      </c>
      <c r="AE39" s="3920"/>
      <c r="AF39" s="3920">
        <f t="shared" ca="1" si="7"/>
        <v>12711</v>
      </c>
      <c r="AG39" s="3920">
        <f t="shared" ca="1" si="8"/>
        <v>1566</v>
      </c>
      <c r="AH39" s="3920">
        <f t="shared" ca="1" si="9"/>
        <v>14277</v>
      </c>
      <c r="AI39" s="3920">
        <f ca="1">ROUND(AH39*10000/Q39,0)</f>
        <v>76192</v>
      </c>
      <c r="AJ39" s="3926">
        <f ca="1">ROUND($AJ$58*AH39/$AH$55,0)</f>
        <v>12829</v>
      </c>
    </row>
    <row r="40" spans="2:37">
      <c r="P40" s="3517" t="s">
        <v>4215</v>
      </c>
      <c r="Q40" s="3517">
        <v>1873.83</v>
      </c>
      <c r="R40" s="3517" t="s">
        <v>4210</v>
      </c>
      <c r="S40" s="3917">
        <f>ROUND(Q40*T40/10000,0)</f>
        <v>4495</v>
      </c>
      <c r="T40" s="3917">
        <f t="shared" si="3"/>
        <v>23990</v>
      </c>
      <c r="U40" s="3917">
        <f ca="1">ROUND(V40*Q40/10000,0)</f>
        <v>1566</v>
      </c>
      <c r="V40" s="3917">
        <f t="shared" ca="1" si="10"/>
        <v>8359.1592626534002</v>
      </c>
      <c r="W40" s="3917">
        <f t="shared" ca="1" si="4"/>
        <v>6061</v>
      </c>
      <c r="X40" s="3917">
        <f ca="1">ROUND($X$35*W40/$W$56,0)</f>
        <v>13665</v>
      </c>
      <c r="Y40" s="3917">
        <f t="shared" ca="1" si="5"/>
        <v>72925.505515441633</v>
      </c>
      <c r="Z40" s="3917"/>
      <c r="AA40" s="3917">
        <f ca="1">$X$35*S40/$S$56</f>
        <v>14061.564870170429</v>
      </c>
      <c r="AB40" s="3917">
        <f t="shared" ca="1" si="6"/>
        <v>75041.83874828789</v>
      </c>
      <c r="AD40" s="3925">
        <f ca="1">取值过程!N35</f>
        <v>11011</v>
      </c>
      <c r="AE40" s="3920"/>
      <c r="AF40" s="3920">
        <f t="shared" ca="1" si="7"/>
        <v>12711</v>
      </c>
      <c r="AG40" s="3920">
        <f t="shared" ca="1" si="8"/>
        <v>1566</v>
      </c>
      <c r="AH40" s="3920">
        <f t="shared" ca="1" si="9"/>
        <v>14277</v>
      </c>
      <c r="AI40" s="3920">
        <f ca="1">ROUND(AH40*10000/Q40,0)</f>
        <v>76192</v>
      </c>
      <c r="AJ40" s="3926">
        <f ca="1">ROUND($AJ$58*AH40/$AH$55,0)</f>
        <v>12829</v>
      </c>
    </row>
    <row r="41" spans="2:37">
      <c r="P41" s="3517" t="s">
        <v>4216</v>
      </c>
      <c r="Q41" s="3517">
        <v>1873.83</v>
      </c>
      <c r="R41" s="3517" t="s">
        <v>4210</v>
      </c>
      <c r="S41" s="3917">
        <f>ROUND(Q41*T41/10000,0)</f>
        <v>4284</v>
      </c>
      <c r="T41" s="3917">
        <f t="shared" si="3"/>
        <v>22864</v>
      </c>
      <c r="U41" s="3917">
        <f ca="1">ROUND(V41*Q41/10000,0)</f>
        <v>1566</v>
      </c>
      <c r="V41" s="3917">
        <f t="shared" ca="1" si="10"/>
        <v>8359.1592626534002</v>
      </c>
      <c r="W41" s="3917">
        <f t="shared" ca="1" si="4"/>
        <v>5850</v>
      </c>
      <c r="X41" s="3917">
        <f ca="1">ROUND($X$35*W41/$W$56,0)</f>
        <v>13190</v>
      </c>
      <c r="Y41" s="3917">
        <f t="shared" ca="1" si="5"/>
        <v>70390.590395073188</v>
      </c>
      <c r="Z41" s="3917"/>
      <c r="AA41" s="3917">
        <f ca="1">$X$35*S41/$S$56</f>
        <v>13401.50031230481</v>
      </c>
      <c r="AB41" s="3917">
        <f t="shared" ca="1" si="6"/>
        <v>71519.296373229212</v>
      </c>
      <c r="AD41" s="3925">
        <f ca="1">取值过程!N36</f>
        <v>11011</v>
      </c>
      <c r="AE41" s="3920"/>
      <c r="AF41" s="3920">
        <f t="shared" ca="1" si="7"/>
        <v>12711</v>
      </c>
      <c r="AG41" s="3920">
        <f t="shared" ca="1" si="8"/>
        <v>1566</v>
      </c>
      <c r="AH41" s="3920">
        <f t="shared" ca="1" si="9"/>
        <v>14277</v>
      </c>
      <c r="AI41" s="3920">
        <f ca="1">ROUND(AH41*10000/Q41,0)</f>
        <v>76192</v>
      </c>
      <c r="AJ41" s="3926">
        <f ca="1">ROUND($AJ$58*AH41/$AH$55,0)</f>
        <v>12829</v>
      </c>
    </row>
    <row r="42" spans="2:37">
      <c r="Q42" s="3515">
        <f>SUM(Q37:Q41)</f>
        <v>9115.24</v>
      </c>
      <c r="S42" s="3917"/>
      <c r="T42" s="3917"/>
      <c r="U42" s="3917"/>
      <c r="V42" s="3917"/>
      <c r="W42" s="3917"/>
      <c r="X42" s="3917"/>
      <c r="Y42" s="3917"/>
      <c r="Z42" s="3917"/>
      <c r="AA42" s="3917"/>
      <c r="AB42" s="3917"/>
      <c r="AD42" s="3925"/>
      <c r="AE42" s="3920"/>
      <c r="AF42" s="3921">
        <f ca="1">SUM(AF37:AF41)</f>
        <v>65943</v>
      </c>
      <c r="AG42" s="3921">
        <f ca="1">SUM(AG37:AG41)</f>
        <v>7619</v>
      </c>
      <c r="AH42" s="3921">
        <f ca="1">SUM(AH37:AH41)</f>
        <v>73562</v>
      </c>
      <c r="AI42" s="3921">
        <f ca="1">ROUND(AH42*10000/Q42,0)</f>
        <v>80702</v>
      </c>
      <c r="AJ42" s="3927">
        <f ca="1">SUM(AJ37:AJ41)</f>
        <v>66100</v>
      </c>
      <c r="AK42" s="3919" t="s">
        <v>4425</v>
      </c>
    </row>
    <row r="43" spans="2:37">
      <c r="P43" s="3518" t="s">
        <v>4217</v>
      </c>
      <c r="Q43" s="3518"/>
      <c r="R43" s="3518"/>
      <c r="S43" s="3917"/>
      <c r="T43" s="3917"/>
      <c r="U43" s="3917"/>
      <c r="V43" s="3917"/>
      <c r="W43" s="3917"/>
      <c r="X43" s="3917"/>
      <c r="Y43" s="3917"/>
      <c r="Z43" s="3917"/>
      <c r="AA43" s="3917"/>
      <c r="AB43" s="3917"/>
      <c r="AD43" s="3925"/>
      <c r="AE43" s="3920"/>
      <c r="AF43" s="3920"/>
      <c r="AG43" s="3920"/>
      <c r="AH43" s="3920"/>
      <c r="AI43" s="3920"/>
      <c r="AJ43" s="3926"/>
    </row>
    <row r="44" spans="2:37">
      <c r="P44" s="3517" t="s">
        <v>4211</v>
      </c>
      <c r="Q44" s="3517">
        <v>3343.12</v>
      </c>
      <c r="R44" s="3517" t="s">
        <v>4210</v>
      </c>
      <c r="S44" s="3917">
        <f>ROUND(Q44*T44/10000,0)</f>
        <v>12920</v>
      </c>
      <c r="T44" s="3917">
        <f>Q27</f>
        <v>38647</v>
      </c>
      <c r="U44" s="3917">
        <f ca="1">ROUND(V44*Q44/10000,0)</f>
        <v>2795</v>
      </c>
      <c r="V44" s="3917">
        <f ca="1">V37</f>
        <v>8359.1592626534002</v>
      </c>
      <c r="W44" s="3917">
        <f t="shared" ref="W44:W49" ca="1" si="11">S44+U44</f>
        <v>15715</v>
      </c>
      <c r="X44" s="3917">
        <f ca="1">ROUND($X$35*W44/$W$56,0)</f>
        <v>35432</v>
      </c>
      <c r="Y44" s="3917">
        <f t="shared" ref="Y44:Y49" ca="1" si="12">X44*10000/Q44</f>
        <v>105984.82854339659</v>
      </c>
      <c r="Z44" s="3917"/>
      <c r="AA44" s="3917">
        <f ca="1">$X$35*S44/$S$56</f>
        <v>40417.22316409387</v>
      </c>
      <c r="AB44" s="3917">
        <f t="shared" ref="AB44:AB49" ca="1" si="13">AA44*10000/Q44</f>
        <v>120896.71673195659</v>
      </c>
      <c r="AD44" s="3925">
        <f ca="1">取值过程!N41</f>
        <v>26192</v>
      </c>
      <c r="AE44" s="3920"/>
      <c r="AF44" s="3920">
        <f t="shared" ref="AF44:AF48" ca="1" si="14">ROUND($AF$58*AD44/$AD$57,0)</f>
        <v>30236</v>
      </c>
      <c r="AG44" s="3920">
        <f t="shared" ref="AG44:AG49" ca="1" si="15">U44</f>
        <v>2795</v>
      </c>
      <c r="AH44" s="3920">
        <f t="shared" ref="AH44:AH48" ca="1" si="16">AG44+AF44</f>
        <v>33031</v>
      </c>
      <c r="AI44" s="3920">
        <f ca="1">ROUND(AH44*10000/Q44,0)</f>
        <v>98803</v>
      </c>
      <c r="AJ44" s="3926">
        <f ca="1">ROUND($AJ$58*AH44/$AH$55,0)</f>
        <v>29680</v>
      </c>
    </row>
    <row r="45" spans="2:37">
      <c r="P45" s="3517" t="s">
        <v>4220</v>
      </c>
      <c r="Q45" s="3517">
        <v>3244.08</v>
      </c>
      <c r="R45" s="3517" t="s">
        <v>4210</v>
      </c>
      <c r="S45" s="3917">
        <f>ROUND(Q45*T45/10000,0)</f>
        <v>9953</v>
      </c>
      <c r="T45" s="3917">
        <f t="shared" ref="T45:T48" si="17">Q28</f>
        <v>30682</v>
      </c>
      <c r="U45" s="3917">
        <f ca="1">ROUND(V45*Q45/10000,0)</f>
        <v>2712</v>
      </c>
      <c r="V45" s="3917">
        <f ca="1">V44</f>
        <v>8359.1592626534002</v>
      </c>
      <c r="W45" s="3917">
        <f t="shared" ca="1" si="11"/>
        <v>12665</v>
      </c>
      <c r="X45" s="3917">
        <f ca="1">ROUND($X$35*W45/$W$56,0)</f>
        <v>28555</v>
      </c>
      <c r="Y45" s="3917">
        <f t="shared" ca="1" si="12"/>
        <v>88021.87368992134</v>
      </c>
      <c r="Z45" s="3917"/>
      <c r="AA45" s="3917">
        <f ca="1">$X$35*S45/$S$56</f>
        <v>31135.651869367361</v>
      </c>
      <c r="AB45" s="3917">
        <f t="shared" ca="1" si="13"/>
        <v>95976.831241422406</v>
      </c>
      <c r="AD45" s="3925">
        <f ca="1">取值过程!N42</f>
        <v>19768</v>
      </c>
      <c r="AE45" s="3920"/>
      <c r="AF45" s="3920">
        <f t="shared" ca="1" si="14"/>
        <v>22820</v>
      </c>
      <c r="AG45" s="3920">
        <f t="shared" ca="1" si="15"/>
        <v>2712</v>
      </c>
      <c r="AH45" s="3920">
        <f t="shared" ca="1" si="16"/>
        <v>25532</v>
      </c>
      <c r="AI45" s="3920">
        <f ca="1">ROUND(AH45*10000/Q45,0)</f>
        <v>78703</v>
      </c>
      <c r="AJ45" s="3926">
        <f ca="1">ROUND($AJ$58*AH45/$AH$55,0)</f>
        <v>22942</v>
      </c>
    </row>
    <row r="46" spans="2:37">
      <c r="P46" s="3517" t="s">
        <v>4221</v>
      </c>
      <c r="Q46" s="3517">
        <v>3963.74</v>
      </c>
      <c r="R46" s="3517" t="s">
        <v>4210</v>
      </c>
      <c r="S46" s="3917">
        <f>ROUND(Q46*T46/10000,0)</f>
        <v>10508</v>
      </c>
      <c r="T46" s="3917">
        <f t="shared" si="17"/>
        <v>26511</v>
      </c>
      <c r="U46" s="3917">
        <f ca="1">ROUND(V46*Q46/10000,0)</f>
        <v>3313</v>
      </c>
      <c r="V46" s="3917">
        <f t="shared" ref="V46:V49" ca="1" si="18">V45</f>
        <v>8359.1592626534002</v>
      </c>
      <c r="W46" s="3917">
        <f t="shared" ca="1" si="11"/>
        <v>13821</v>
      </c>
      <c r="X46" s="3917">
        <f ca="1">ROUND($X$35*W46/$W$56,0)</f>
        <v>31162</v>
      </c>
      <c r="Y46" s="3917">
        <f t="shared" ca="1" si="12"/>
        <v>78617.669171035435</v>
      </c>
      <c r="Z46" s="3917"/>
      <c r="AA46" s="3917">
        <f ca="1">$X$35*S46/$S$56</f>
        <v>32871.84063531721</v>
      </c>
      <c r="AB46" s="3917">
        <f t="shared" ca="1" si="13"/>
        <v>82931.374498118486</v>
      </c>
      <c r="AD46" s="3925">
        <f ca="1">取值过程!N43</f>
        <v>23291</v>
      </c>
      <c r="AE46" s="3920"/>
      <c r="AF46" s="3920">
        <f t="shared" ca="1" si="14"/>
        <v>26887</v>
      </c>
      <c r="AG46" s="3920">
        <f t="shared" ca="1" si="15"/>
        <v>3313</v>
      </c>
      <c r="AH46" s="3920">
        <f t="shared" ca="1" si="16"/>
        <v>30200</v>
      </c>
      <c r="AI46" s="3920">
        <f ca="1">ROUND(AH46*10000/Q46,0)</f>
        <v>76191</v>
      </c>
      <c r="AJ46" s="3926">
        <f ca="1">ROUND($AJ$58*AH46/$AH$55,0)</f>
        <v>27136</v>
      </c>
    </row>
    <row r="47" spans="2:37">
      <c r="P47" s="3517" t="s">
        <v>4222</v>
      </c>
      <c r="Q47" s="3517">
        <v>3963.74</v>
      </c>
      <c r="R47" s="3517" t="s">
        <v>4210</v>
      </c>
      <c r="S47" s="3917">
        <f>ROUND(Q47*T47/10000,0)</f>
        <v>9509</v>
      </c>
      <c r="T47" s="3917">
        <f t="shared" si="17"/>
        <v>23990</v>
      </c>
      <c r="U47" s="3917">
        <f ca="1">ROUND(V47*Q47/10000,0)</f>
        <v>3313</v>
      </c>
      <c r="V47" s="3917">
        <f t="shared" ca="1" si="18"/>
        <v>8359.1592626534002</v>
      </c>
      <c r="W47" s="3917">
        <f t="shared" ca="1" si="11"/>
        <v>12822</v>
      </c>
      <c r="X47" s="3917">
        <f ca="1">ROUND($X$35*W47/$W$56,0)</f>
        <v>28909</v>
      </c>
      <c r="Y47" s="3917">
        <f t="shared" ca="1" si="12"/>
        <v>72933.643478129248</v>
      </c>
      <c r="Z47" s="3917"/>
      <c r="AA47" s="3917">
        <f ca="1">$X$35*S47/$S$56</f>
        <v>29746.700856607476</v>
      </c>
      <c r="AB47" s="3917">
        <f t="shared" ca="1" si="13"/>
        <v>75047.053683156511</v>
      </c>
      <c r="AD47" s="3925">
        <f ca="1">取值过程!N44</f>
        <v>23291</v>
      </c>
      <c r="AE47" s="3920"/>
      <c r="AF47" s="3920">
        <f t="shared" ca="1" si="14"/>
        <v>26887</v>
      </c>
      <c r="AG47" s="3920">
        <f t="shared" ca="1" si="15"/>
        <v>3313</v>
      </c>
      <c r="AH47" s="3920">
        <f t="shared" ca="1" si="16"/>
        <v>30200</v>
      </c>
      <c r="AI47" s="3920">
        <f ca="1">ROUND(AH47*10000/Q47,0)</f>
        <v>76191</v>
      </c>
      <c r="AJ47" s="3926">
        <f ca="1">ROUND($AJ$58*AH47/$AH$55,0)</f>
        <v>27136</v>
      </c>
    </row>
    <row r="48" spans="2:37">
      <c r="P48" s="3517" t="s">
        <v>4223</v>
      </c>
      <c r="Q48" s="3517">
        <v>3963.74</v>
      </c>
      <c r="R48" s="3517" t="s">
        <v>4210</v>
      </c>
      <c r="S48" s="3917">
        <f>ROUND(Q48*T48/10000,0)</f>
        <v>9063</v>
      </c>
      <c r="T48" s="3917">
        <f t="shared" si="17"/>
        <v>22864</v>
      </c>
      <c r="U48" s="3917">
        <f ca="1">ROUND(V48*Q48/10000,0)</f>
        <v>3313</v>
      </c>
      <c r="V48" s="3917">
        <f t="shared" ca="1" si="18"/>
        <v>8359.1592626534002</v>
      </c>
      <c r="W48" s="3917">
        <f t="shared" ca="1" si="11"/>
        <v>12376</v>
      </c>
      <c r="X48" s="3917">
        <f ca="1">ROUND($X$35*W48/$W$56,0)</f>
        <v>27904</v>
      </c>
      <c r="Y48" s="3917">
        <f t="shared" ca="1" si="12"/>
        <v>70398.159314183067</v>
      </c>
      <c r="Z48" s="3917"/>
      <c r="AA48" s="3917">
        <f ca="1">$X$35*S48/$S$56</f>
        <v>28351.493307754081</v>
      </c>
      <c r="AB48" s="3917">
        <f t="shared" ca="1" si="13"/>
        <v>71527.126672672995</v>
      </c>
      <c r="AD48" s="3925">
        <f ca="1">取值过程!N45</f>
        <v>23291</v>
      </c>
      <c r="AE48" s="3920"/>
      <c r="AF48" s="3920">
        <f t="shared" ca="1" si="14"/>
        <v>26887</v>
      </c>
      <c r="AG48" s="3920">
        <f t="shared" ca="1" si="15"/>
        <v>3313</v>
      </c>
      <c r="AH48" s="3920">
        <f ca="1">AG48+AF48</f>
        <v>30200</v>
      </c>
      <c r="AI48" s="3920">
        <f ca="1">ROUND(AH48*10000/Q48,0)</f>
        <v>76191</v>
      </c>
      <c r="AJ48" s="3926">
        <f ca="1">ROUND($AJ$58*AH48/$AH$55,0)</f>
        <v>27136</v>
      </c>
    </row>
    <row r="49" spans="16:37">
      <c r="P49" s="3914" t="s">
        <v>4412</v>
      </c>
      <c r="Q49" s="3914">
        <f>SUM(C17:C30)</f>
        <v>35300.840000000011</v>
      </c>
      <c r="R49" s="3914" t="s">
        <v>4405</v>
      </c>
      <c r="S49" s="3917">
        <f>ROUND(Q49*T49/10000,0)</f>
        <v>87292</v>
      </c>
      <c r="T49" s="3917">
        <f>Q25</f>
        <v>24728</v>
      </c>
      <c r="U49" s="3917">
        <f ca="1">ROUND(V49*Q49/10000,0)</f>
        <v>29509</v>
      </c>
      <c r="V49" s="3917">
        <f t="shared" ca="1" si="18"/>
        <v>8359.1592626534002</v>
      </c>
      <c r="W49" s="3917">
        <f t="shared" ca="1" si="11"/>
        <v>116801</v>
      </c>
      <c r="X49" s="3917">
        <f ca="1">ROUND($X$35*W49/$W$56,0)</f>
        <v>263346</v>
      </c>
      <c r="Y49" s="3917">
        <f t="shared" ca="1" si="12"/>
        <v>74600.491093129778</v>
      </c>
      <c r="Z49" s="3917"/>
      <c r="AA49" s="3917">
        <f ca="1">$X$35*S49/$S$56</f>
        <v>273072.77433746768</v>
      </c>
      <c r="AB49" s="3917">
        <f t="shared" ca="1" si="13"/>
        <v>77355.885677923696</v>
      </c>
      <c r="AD49" s="3925"/>
      <c r="AE49" s="3920"/>
      <c r="AF49" s="3918">
        <f ca="1">AH49-AG49</f>
        <v>268111</v>
      </c>
      <c r="AG49" s="3920">
        <f t="shared" ca="1" si="15"/>
        <v>29509</v>
      </c>
      <c r="AH49" s="3918">
        <f ca="1">收益法办!B2</f>
        <v>297620</v>
      </c>
      <c r="AI49" s="3920">
        <f ca="1">ROUND(AH49*10000/Q49,0)</f>
        <v>84310</v>
      </c>
      <c r="AJ49" s="3926">
        <f ca="1">ROUND($AJ$58*AH49/$AH$55,0)</f>
        <v>267426</v>
      </c>
      <c r="AK49" s="3919" t="s">
        <v>4423</v>
      </c>
    </row>
    <row r="50" spans="16:37">
      <c r="Q50" s="3515">
        <f>SUM(Q44:Q49)</f>
        <v>53779.260000000009</v>
      </c>
      <c r="S50" s="3917"/>
      <c r="T50" s="3917"/>
      <c r="U50" s="3917"/>
      <c r="V50" s="3917"/>
      <c r="W50" s="3917"/>
      <c r="X50" s="3917"/>
      <c r="Y50" s="3917"/>
      <c r="Z50" s="3917"/>
      <c r="AA50" s="3917"/>
      <c r="AB50" s="3917"/>
      <c r="AD50" s="3925"/>
      <c r="AE50" s="3920"/>
      <c r="AF50" s="3921">
        <f ca="1">SUM(AF44:AF49)</f>
        <v>401828</v>
      </c>
      <c r="AG50" s="3921">
        <f ca="1">SUM(AG44:AG49)</f>
        <v>44955</v>
      </c>
      <c r="AH50" s="3921">
        <f ca="1">SUM(AH44:AH49)</f>
        <v>446783</v>
      </c>
      <c r="AI50" s="3921">
        <f ca="1">ROUND(AH50*10000/Q50,0)</f>
        <v>83077</v>
      </c>
      <c r="AJ50" s="3927">
        <f ca="1">SUM(AJ44:AJ49)</f>
        <v>401456</v>
      </c>
    </row>
    <row r="51" spans="16:37">
      <c r="S51" s="3917">
        <f>S56-S52-S53-S54</f>
        <v>165160</v>
      </c>
      <c r="T51" s="3917"/>
      <c r="U51" s="3917"/>
      <c r="V51" s="3917"/>
      <c r="W51" s="3917"/>
      <c r="X51" s="3917"/>
      <c r="Y51" s="3917"/>
      <c r="Z51" s="3917"/>
      <c r="AA51" s="3917"/>
      <c r="AB51" s="3917"/>
      <c r="AD51" s="3925"/>
      <c r="AE51" s="3920"/>
      <c r="AF51" s="3921"/>
      <c r="AG51" s="3921"/>
      <c r="AH51" s="3921"/>
      <c r="AI51" s="3921"/>
      <c r="AJ51" s="3926"/>
    </row>
    <row r="52" spans="16:37">
      <c r="P52" s="3517" t="s">
        <v>4240</v>
      </c>
      <c r="Q52" s="3517">
        <v>6877.51</v>
      </c>
      <c r="R52" s="3517" t="s">
        <v>4210</v>
      </c>
      <c r="S52" s="3917">
        <f>ROUND(Q52*T52/10000,0)</f>
        <v>12236</v>
      </c>
      <c r="T52" s="3917">
        <f>Q32</f>
        <v>17791</v>
      </c>
      <c r="U52" s="3917">
        <f ca="1">ROUND(V52*Q52/10000,0)</f>
        <v>5749</v>
      </c>
      <c r="V52" s="3917">
        <f ca="1">V44</f>
        <v>8359.1592626534002</v>
      </c>
      <c r="W52" s="3917">
        <f t="shared" ref="W52:W54" ca="1" si="19">S52+U52</f>
        <v>17985</v>
      </c>
      <c r="X52" s="3917">
        <f ca="1">ROUND($X$35*W52/$W$56,0)</f>
        <v>40550</v>
      </c>
      <c r="Y52" s="3917">
        <f t="shared" ref="Y52:Y54" ca="1" si="20">X52*10000/Q52</f>
        <v>58960.292315096594</v>
      </c>
      <c r="Z52" s="3917"/>
      <c r="AA52" s="3917">
        <f ca="1">$X$35*S52/$S$56</f>
        <v>38277.48782011243</v>
      </c>
      <c r="AB52" s="3917">
        <f t="shared" ref="AB52:AB54" ca="1" si="21">AA52*10000/Q52</f>
        <v>55656.026410884799</v>
      </c>
      <c r="AD52" s="3925">
        <f ca="1">取值过程!N48</f>
        <v>18857</v>
      </c>
      <c r="AE52" s="3920"/>
      <c r="AF52" s="3920">
        <f ca="1">ROUND($AF$58*AD52/$AD$57,0)</f>
        <v>21769</v>
      </c>
      <c r="AG52" s="3920">
        <f t="shared" ref="AG52:AG54" ca="1" si="22">U52</f>
        <v>5749</v>
      </c>
      <c r="AH52" s="3920">
        <f ca="1">AG52+AF52</f>
        <v>27518</v>
      </c>
      <c r="AI52" s="3920">
        <f ca="1">ROUND(AH52*10000/Q52,0)</f>
        <v>40012</v>
      </c>
      <c r="AJ52" s="3926">
        <f ca="1">ROUND($AJ$58*AH52/$AH$55,0)</f>
        <v>24726</v>
      </c>
    </row>
    <row r="53" spans="16:37">
      <c r="P53" s="3517" t="s">
        <v>4242</v>
      </c>
      <c r="Q53" s="3517">
        <v>7475.14</v>
      </c>
      <c r="R53" s="3517" t="s">
        <v>4243</v>
      </c>
      <c r="S53" s="3917">
        <f>ROUND(Q53*T53/10000,0)</f>
        <v>981</v>
      </c>
      <c r="T53" s="3917">
        <f>基准地价修正办!G42</f>
        <v>1313</v>
      </c>
      <c r="U53" s="3917">
        <f ca="1">ROUND(V53*Q53/10000,0)</f>
        <v>5711</v>
      </c>
      <c r="V53" s="3917">
        <f ca="1">收益法车!I36</f>
        <v>7639.8405872438288</v>
      </c>
      <c r="W53" s="3917">
        <f t="shared" ca="1" si="19"/>
        <v>6692</v>
      </c>
      <c r="X53" s="3917">
        <f ca="1">ROUND($X$35*W53/$W$56,0)</f>
        <v>15088</v>
      </c>
      <c r="Y53" s="3917">
        <f t="shared" ca="1" si="20"/>
        <v>20184.237352076347</v>
      </c>
      <c r="Z53" s="3917"/>
      <c r="AA53" s="3917">
        <f ca="1">$X$35*S53/$S$56</f>
        <v>3068.8309538681183</v>
      </c>
      <c r="AB53" s="3917">
        <f t="shared" ca="1" si="21"/>
        <v>4105.3825799491624</v>
      </c>
      <c r="AD53" s="3925"/>
      <c r="AE53" s="3920"/>
      <c r="AF53" s="3918">
        <f>S53</f>
        <v>981</v>
      </c>
      <c r="AG53" s="3920">
        <f t="shared" ca="1" si="22"/>
        <v>5711</v>
      </c>
      <c r="AH53" s="3918">
        <f ca="1">AG53+AF53</f>
        <v>6692</v>
      </c>
      <c r="AI53" s="3920">
        <f ca="1">ROUND(AH53*10000/Q53,0)</f>
        <v>8952</v>
      </c>
      <c r="AJ53" s="3926">
        <f ca="1">ROUND($AJ$58*AH53/$AH$55,0)</f>
        <v>6013</v>
      </c>
      <c r="AK53" s="3919" t="s">
        <v>4424</v>
      </c>
    </row>
    <row r="54" spans="16:37">
      <c r="P54" s="3517" t="s">
        <v>4244</v>
      </c>
      <c r="Q54" s="3517">
        <v>7125.95</v>
      </c>
      <c r="R54" s="3517" t="s">
        <v>4243</v>
      </c>
      <c r="S54" s="3917">
        <f>ROUNDDOWN(Q54*T54/10000,0)</f>
        <v>935</v>
      </c>
      <c r="T54" s="3917">
        <f>T53</f>
        <v>1313</v>
      </c>
      <c r="U54" s="3917">
        <f ca="1">ROUND(V54*Q54/10000,0)</f>
        <v>5444</v>
      </c>
      <c r="V54" s="3917">
        <f ca="1">V53</f>
        <v>7639.8405872438288</v>
      </c>
      <c r="W54" s="3917">
        <f t="shared" ca="1" si="19"/>
        <v>6379</v>
      </c>
      <c r="X54" s="3917">
        <f ca="1">ROUND($X$35*W54/$W$56,0)</f>
        <v>14382</v>
      </c>
      <c r="Y54" s="3917">
        <f t="shared" ca="1" si="20"/>
        <v>20182.572148274969</v>
      </c>
      <c r="Z54" s="3917"/>
      <c r="AA54" s="3917">
        <f ca="1">$X$35*S54/$S$56</f>
        <v>2924.9306237173196</v>
      </c>
      <c r="AB54" s="3917">
        <f t="shared" ca="1" si="21"/>
        <v>4104.61850520607</v>
      </c>
      <c r="AD54" s="3925"/>
      <c r="AE54" s="3920"/>
      <c r="AF54" s="3918">
        <f>S54</f>
        <v>935</v>
      </c>
      <c r="AG54" s="3920">
        <f t="shared" ca="1" si="22"/>
        <v>5444</v>
      </c>
      <c r="AH54" s="3918">
        <f ca="1">AG54+AF54</f>
        <v>6379</v>
      </c>
      <c r="AI54" s="3920">
        <f ca="1">ROUND(AH54*10000/Q54,0)</f>
        <v>8952</v>
      </c>
      <c r="AJ54" s="3926">
        <f ca="1">AJ58-AJ42-AJ50-AJ52-AJ53</f>
        <v>5733</v>
      </c>
    </row>
    <row r="55" spans="16:37">
      <c r="S55" s="3917"/>
      <c r="T55" s="3917"/>
      <c r="U55" s="3917"/>
      <c r="V55" s="3917"/>
      <c r="W55" s="3917"/>
      <c r="X55" s="3917"/>
      <c r="Y55" s="3917"/>
      <c r="Z55" s="3917"/>
      <c r="AA55" s="3917"/>
      <c r="AB55" s="3917"/>
      <c r="AD55" s="3925"/>
      <c r="AE55" s="3920" t="s">
        <v>4427</v>
      </c>
      <c r="AF55" s="3920">
        <f ca="1">AH55-AG55</f>
        <v>491458</v>
      </c>
      <c r="AG55" s="3920">
        <f ca="1">AG42+AG50+AG52+AG53+AG54</f>
        <v>69478</v>
      </c>
      <c r="AH55" s="3920">
        <f ca="1">系统读取表!D14</f>
        <v>560936</v>
      </c>
      <c r="AI55" s="3920"/>
      <c r="AJ55" s="3926">
        <f ca="1">AJ42+AJ50+AJ52+AJ53+AJ54</f>
        <v>504028</v>
      </c>
    </row>
    <row r="56" spans="16:37">
      <c r="S56" s="3917">
        <f>SUM(S37:S41,S44:S49,S52:S54)</f>
        <v>179312</v>
      </c>
      <c r="T56" s="3917"/>
      <c r="U56" s="3917">
        <f ca="1">SUM(U37:U41,U44:U49,U52:U54)</f>
        <v>69478</v>
      </c>
      <c r="V56" s="3917"/>
      <c r="W56" s="3917">
        <f ca="1">SUM(W37:W41,W44:W49,W52:W54)</f>
        <v>248790</v>
      </c>
      <c r="X56" s="3917">
        <f ca="1">SUM(X37:X41,X44:X49,X52:X54)</f>
        <v>560936</v>
      </c>
      <c r="Y56" s="3917"/>
      <c r="Z56" s="3917"/>
      <c r="AA56" s="3917">
        <f ca="1">SUM(AA37:AA41,AA44:AA49,AA52:AA54)</f>
        <v>560936</v>
      </c>
      <c r="AB56" s="3917"/>
      <c r="AD56" s="3925"/>
      <c r="AE56" s="3920"/>
      <c r="AF56" s="3920"/>
      <c r="AG56" s="3920"/>
      <c r="AH56" s="3920"/>
      <c r="AI56" s="3920"/>
      <c r="AJ56" s="3926"/>
    </row>
    <row r="57" spans="16:37">
      <c r="S57" s="3917"/>
      <c r="T57" s="3917"/>
      <c r="U57" s="3917"/>
      <c r="V57" s="3917"/>
      <c r="W57" s="3917"/>
      <c r="X57" s="3917"/>
      <c r="Y57" s="3917"/>
      <c r="Z57" s="3917"/>
      <c r="AA57" s="3917"/>
      <c r="AB57" s="3917"/>
      <c r="AD57" s="3925">
        <f ca="1">SUM(AD37:AD41,AD44:AD49,AD52)</f>
        <v>191813</v>
      </c>
      <c r="AE57" s="3920" t="s">
        <v>4429</v>
      </c>
      <c r="AF57" s="3920">
        <f ca="1">AF49+AF53+AF54</f>
        <v>270027</v>
      </c>
      <c r="AG57" s="3920">
        <f ca="1">AG49+AG53+AG54</f>
        <v>40664</v>
      </c>
      <c r="AH57" s="3920">
        <f ca="1">AH49+AH53+AH54</f>
        <v>310691</v>
      </c>
      <c r="AI57" s="3920"/>
      <c r="AJ57" s="3926"/>
    </row>
    <row r="58" spans="16:37">
      <c r="AD58" s="3925"/>
      <c r="AE58" s="3920" t="s">
        <v>4428</v>
      </c>
      <c r="AF58" s="3920">
        <f ca="1">AF55-AF57</f>
        <v>221431</v>
      </c>
      <c r="AG58" s="3920">
        <f t="shared" ref="AG58:AH58" ca="1" si="23">AG55-AG57</f>
        <v>28814</v>
      </c>
      <c r="AH58" s="3920">
        <f t="shared" ca="1" si="23"/>
        <v>250245</v>
      </c>
      <c r="AI58" s="3920"/>
      <c r="AJ58" s="3926">
        <f ca="1">系统读取表!B8</f>
        <v>504028</v>
      </c>
    </row>
    <row r="59" spans="16:37">
      <c r="AD59" s="3925"/>
      <c r="AE59" s="3920" t="s">
        <v>4430</v>
      </c>
      <c r="AF59" s="3920">
        <f ca="1">AF57+AF58</f>
        <v>491458</v>
      </c>
      <c r="AG59" s="3920">
        <f t="shared" ref="AG59:AH59" ca="1" si="24">AG57+AG58</f>
        <v>69478</v>
      </c>
      <c r="AH59" s="3920">
        <f t="shared" ca="1" si="24"/>
        <v>560936</v>
      </c>
      <c r="AI59" s="3920"/>
      <c r="AJ59" s="3926"/>
    </row>
    <row r="60" spans="16:37">
      <c r="AD60" s="3925"/>
      <c r="AE60" s="3920"/>
      <c r="AF60" s="3920"/>
      <c r="AG60" s="3920"/>
      <c r="AH60" s="3920"/>
      <c r="AI60" s="3920"/>
      <c r="AJ60" s="3926"/>
    </row>
    <row r="61" spans="16:37" ht="16.2" thickBot="1">
      <c r="AD61" s="3928"/>
      <c r="AE61" s="3929" t="s">
        <v>4431</v>
      </c>
      <c r="AF61" s="3929"/>
      <c r="AG61" s="3929"/>
      <c r="AH61" s="3929">
        <f ca="1">AH59-AH54-AH53-AH52</f>
        <v>520347</v>
      </c>
      <c r="AI61" s="3929">
        <f ca="1">AH61*10000/'数据-汇总表'!F31</f>
        <v>82733.307363918939</v>
      </c>
      <c r="AJ61" s="3930"/>
    </row>
  </sheetData>
  <mergeCells count="1">
    <mergeCell ref="F18:H18"/>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8" sqref="C8"/>
    </sheetView>
  </sheetViews>
  <sheetFormatPr defaultColWidth="9" defaultRowHeight="14.4"/>
  <cols>
    <col min="1" max="1" width="25" style="2505" customWidth="1"/>
    <col min="2" max="9" width="15.77734375" style="2505" customWidth="1"/>
    <col min="10" max="16384" width="9" style="2505"/>
  </cols>
  <sheetData>
    <row r="1" spans="1:11" ht="16.2">
      <c r="A1" s="2504" t="s">
        <v>665</v>
      </c>
      <c r="B1" s="2504">
        <f>SUM(B14:B23)</f>
        <v>84373.10000000002</v>
      </c>
      <c r="C1" s="2657"/>
      <c r="D1" s="2657"/>
      <c r="E1" s="2657"/>
      <c r="F1" s="2657"/>
      <c r="G1" s="2658"/>
      <c r="H1" s="2659"/>
      <c r="I1" s="2659"/>
      <c r="J1" s="2659"/>
      <c r="K1" s="2659"/>
    </row>
    <row r="2" spans="1:11" ht="16.2">
      <c r="A2" s="2504" t="s">
        <v>653</v>
      </c>
      <c r="B2" s="2504">
        <f>SUM(C14:C23)</f>
        <v>10591.91</v>
      </c>
      <c r="C2" s="2657"/>
      <c r="D2" s="2657"/>
      <c r="E2" s="2657"/>
      <c r="F2" s="2657"/>
      <c r="G2" s="2658"/>
      <c r="H2" s="2659"/>
      <c r="I2" s="2659"/>
      <c r="J2" s="2659"/>
      <c r="K2" s="2659"/>
    </row>
    <row r="3" spans="1:11" ht="15.6">
      <c r="A3" s="2504" t="s">
        <v>662</v>
      </c>
      <c r="B3" s="2506">
        <f>项目基本情况!D3</f>
        <v>45309</v>
      </c>
      <c r="C3" s="2657"/>
      <c r="D3" s="2657"/>
      <c r="E3" s="2657"/>
      <c r="F3" s="2657"/>
      <c r="G3" s="2658"/>
      <c r="H3" s="2659"/>
      <c r="I3" s="2659"/>
      <c r="J3" s="2659"/>
      <c r="K3" s="2659"/>
    </row>
    <row r="4" spans="1:11" ht="31.2">
      <c r="A4" s="2504" t="s">
        <v>661</v>
      </c>
      <c r="B4" s="2504" t="s">
        <v>660</v>
      </c>
      <c r="C4" s="2504" t="s">
        <v>659</v>
      </c>
      <c r="D4" s="2504" t="s">
        <v>658</v>
      </c>
      <c r="E4" s="2657"/>
      <c r="F4" s="2658"/>
      <c r="G4" s="2658"/>
      <c r="H4" s="2659"/>
      <c r="I4" s="2659"/>
      <c r="J4" s="2659"/>
      <c r="K4" s="2659"/>
    </row>
    <row r="5" spans="1:11" ht="15.6">
      <c r="A5" s="2504" t="s">
        <v>657</v>
      </c>
      <c r="B5" s="2504">
        <f ca="1">SUM(D14:D23)</f>
        <v>560936</v>
      </c>
      <c r="C5" s="2504">
        <f ca="1">IF(B5=D14,结果表!H102,ROUND(B5*10000/$B$1,0))</f>
        <v>66483</v>
      </c>
      <c r="D5" s="2504">
        <f ca="1">ROUND(B5*10000/$B$2,0)</f>
        <v>529589</v>
      </c>
      <c r="E5" s="2657"/>
      <c r="F5" s="2658"/>
      <c r="G5" s="2658"/>
      <c r="H5" s="2659"/>
      <c r="I5" s="2659"/>
      <c r="J5" s="2659"/>
      <c r="K5" s="2659"/>
    </row>
    <row r="6" spans="1:11" ht="15.6">
      <c r="A6" s="2504" t="s">
        <v>656</v>
      </c>
      <c r="B6" s="2504">
        <f ca="1">SUM(G14:G23)</f>
        <v>560936</v>
      </c>
      <c r="C6" s="2504">
        <f ca="1">IF(B6=G14,结果表!H108,ROUND(B6*10000/$B$1,0))</f>
        <v>66483</v>
      </c>
      <c r="D6" s="2504">
        <f ca="1">ROUND(B6*10000/$B$2,0)</f>
        <v>529589</v>
      </c>
      <c r="E6" s="2657"/>
      <c r="F6" s="2658"/>
      <c r="G6" s="2658"/>
      <c r="H6" s="2659"/>
      <c r="I6" s="2659"/>
      <c r="J6" s="2659"/>
      <c r="K6" s="2659"/>
    </row>
    <row r="7" spans="1:11" ht="15.6">
      <c r="A7" s="2504" t="s">
        <v>664</v>
      </c>
      <c r="B7" s="2504">
        <f>SUM(H14:H23)</f>
        <v>0</v>
      </c>
      <c r="C7" s="2504" t="str">
        <f>IF(B7=H14,结果表!H110,ROUND(B7*10000/$B$1,0))</f>
        <v>——</v>
      </c>
      <c r="D7" s="2504">
        <f>ROUND(B7*10000/$B$2,0)</f>
        <v>0</v>
      </c>
      <c r="E7" s="2657"/>
      <c r="F7" s="2658"/>
      <c r="G7" s="2658"/>
      <c r="H7" s="2659"/>
      <c r="I7" s="2659"/>
      <c r="J7" s="2659"/>
      <c r="K7" s="2659"/>
    </row>
    <row r="8" spans="1:11" ht="15.6">
      <c r="A8" s="2504" t="s">
        <v>587</v>
      </c>
      <c r="B8" s="2504">
        <f ca="1">SUM(I14:I23)</f>
        <v>504028</v>
      </c>
      <c r="C8" s="2504">
        <f ca="1">IF(B8=I14,结果表!H112,ROUND(B8*10000/$B$1,0))</f>
        <v>59738</v>
      </c>
      <c r="D8" s="2504">
        <f ca="1">ROUND(B8*10000/$B$2,0)</f>
        <v>475861</v>
      </c>
      <c r="E8" s="2657"/>
      <c r="F8" s="2658"/>
      <c r="G8" s="2658"/>
      <c r="H8" s="2659"/>
      <c r="I8" s="2659"/>
      <c r="J8" s="2659"/>
      <c r="K8" s="2659"/>
    </row>
    <row r="9" spans="1:11" ht="15.6">
      <c r="A9" s="2504" t="s">
        <v>655</v>
      </c>
      <c r="B9" s="2512"/>
      <c r="C9" s="2657"/>
      <c r="D9" s="2657"/>
      <c r="E9" s="2657"/>
      <c r="F9" s="2658"/>
      <c r="G9" s="2658"/>
      <c r="H9" s="2659"/>
      <c r="I9" s="2659"/>
      <c r="J9" s="2659"/>
      <c r="K9" s="2659"/>
    </row>
    <row r="10" spans="1:11" ht="15.6">
      <c r="A10" s="2504" t="s">
        <v>654</v>
      </c>
      <c r="B10" s="2504">
        <f>IF(E10="",0,ROUND(B1*(E10*365/G10)/10000,0))</f>
        <v>0</v>
      </c>
      <c r="C10" s="2504" t="s">
        <v>3337</v>
      </c>
      <c r="D10" s="2504" t="s">
        <v>3338</v>
      </c>
      <c r="E10" s="3411"/>
      <c r="F10" s="3415" t="s">
        <v>3339</v>
      </c>
      <c r="G10" s="3412"/>
      <c r="H10" s="2659"/>
      <c r="I10" s="2659"/>
      <c r="J10" s="2659"/>
      <c r="K10" s="2659"/>
    </row>
    <row r="11" spans="1:11" ht="15.6">
      <c r="A11" s="2504" t="s">
        <v>670</v>
      </c>
      <c r="B11" s="2512"/>
      <c r="C11" s="2657"/>
      <c r="D11" s="2657"/>
      <c r="E11" s="2657"/>
      <c r="F11" s="2658"/>
      <c r="G11" s="2658"/>
      <c r="H11" s="2659"/>
      <c r="I11" s="2659"/>
      <c r="J11" s="2659"/>
      <c r="K11" s="2659"/>
    </row>
    <row r="12" spans="1:11" ht="15.6">
      <c r="A12" s="2657"/>
      <c r="B12" s="2657"/>
      <c r="C12" s="2657"/>
      <c r="D12" s="2657"/>
      <c r="E12" s="2657"/>
      <c r="F12" s="2658"/>
      <c r="G12" s="2658"/>
      <c r="H12" s="2659"/>
      <c r="I12" s="2659"/>
      <c r="J12" s="2659"/>
      <c r="K12" s="2659"/>
    </row>
    <row r="13" spans="1:11" ht="31.8">
      <c r="A13" s="2507" t="s">
        <v>669</v>
      </c>
      <c r="B13" s="2508" t="s">
        <v>666</v>
      </c>
      <c r="C13" s="2508" t="s">
        <v>668</v>
      </c>
      <c r="D13" s="2508" t="s">
        <v>667</v>
      </c>
      <c r="E13" s="2504" t="s">
        <v>659</v>
      </c>
      <c r="F13" s="2504" t="s">
        <v>658</v>
      </c>
      <c r="G13" s="2508" t="s">
        <v>652</v>
      </c>
      <c r="H13" s="2508" t="s">
        <v>663</v>
      </c>
      <c r="I13" s="2508" t="s">
        <v>651</v>
      </c>
      <c r="J13" s="2658"/>
      <c r="K13" s="2659"/>
    </row>
    <row r="14" spans="1:11" ht="15.6">
      <c r="A14" s="2509" t="s">
        <v>650</v>
      </c>
      <c r="B14" s="2510">
        <f>'数据-汇总表'!E3</f>
        <v>84373.10000000002</v>
      </c>
      <c r="C14" s="2510">
        <f>'数据-汇总表'!D3</f>
        <v>10591.91</v>
      </c>
      <c r="D14" s="2510">
        <f ca="1">结果表!H101</f>
        <v>560936</v>
      </c>
      <c r="E14" s="2510">
        <f ca="1">ROUND(D14*10000/B14,0)</f>
        <v>66483</v>
      </c>
      <c r="F14" s="2510">
        <f ca="1">ROUND(D14*10000/C14,0)</f>
        <v>529589</v>
      </c>
      <c r="G14" s="2510">
        <f ca="1">D14</f>
        <v>560936</v>
      </c>
      <c r="H14" s="2510"/>
      <c r="I14" s="2510">
        <f ca="1">结果表!D126</f>
        <v>504028</v>
      </c>
      <c r="J14" s="2658"/>
      <c r="K14" s="2659"/>
    </row>
    <row r="15" spans="1:11" ht="15.6">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5.6">
      <c r="A16" s="2509" t="s">
        <v>648</v>
      </c>
      <c r="B16" s="2511"/>
      <c r="C16" s="2511"/>
      <c r="D16" s="2511"/>
      <c r="E16" s="2510" t="e">
        <f t="shared" si="0"/>
        <v>#DIV/0!</v>
      </c>
      <c r="F16" s="2510" t="e">
        <f t="shared" si="1"/>
        <v>#DIV/0!</v>
      </c>
      <c r="G16" s="1326"/>
      <c r="H16" s="1326"/>
      <c r="I16" s="2511"/>
      <c r="J16" s="2659"/>
      <c r="K16" s="2659"/>
    </row>
    <row r="17" spans="1:11" ht="15.6">
      <c r="A17" s="2509" t="s">
        <v>647</v>
      </c>
      <c r="B17" s="2511"/>
      <c r="C17" s="2511"/>
      <c r="D17" s="2511"/>
      <c r="E17" s="2510" t="e">
        <f t="shared" si="0"/>
        <v>#DIV/0!</v>
      </c>
      <c r="F17" s="2510" t="e">
        <f t="shared" si="1"/>
        <v>#DIV/0!</v>
      </c>
      <c r="G17" s="1326"/>
      <c r="H17" s="1326"/>
      <c r="I17" s="2511"/>
      <c r="J17" s="2659"/>
      <c r="K17" s="2659"/>
    </row>
    <row r="18" spans="1:11" ht="15.6">
      <c r="A18" s="2509" t="s">
        <v>646</v>
      </c>
      <c r="B18" s="2511"/>
      <c r="C18" s="2511"/>
      <c r="D18" s="2511"/>
      <c r="E18" s="2510" t="e">
        <f t="shared" si="0"/>
        <v>#DIV/0!</v>
      </c>
      <c r="F18" s="2510" t="e">
        <f t="shared" si="1"/>
        <v>#DIV/0!</v>
      </c>
      <c r="G18" s="2511"/>
      <c r="H18" s="2511"/>
      <c r="I18" s="2511"/>
      <c r="J18" s="2659"/>
      <c r="K18" s="2659"/>
    </row>
    <row r="19" spans="1:11" ht="15.6">
      <c r="A19" s="2509" t="s">
        <v>645</v>
      </c>
      <c r="B19" s="2511"/>
      <c r="C19" s="2511"/>
      <c r="D19" s="2511"/>
      <c r="E19" s="2510" t="e">
        <f t="shared" si="0"/>
        <v>#DIV/0!</v>
      </c>
      <c r="F19" s="2510" t="e">
        <f t="shared" si="1"/>
        <v>#DIV/0!</v>
      </c>
      <c r="G19" s="2511"/>
      <c r="H19" s="2511"/>
      <c r="I19" s="2511"/>
      <c r="J19" s="2659"/>
      <c r="K19" s="2659"/>
    </row>
    <row r="20" spans="1:11" ht="15.6">
      <c r="A20" s="2509" t="s">
        <v>644</v>
      </c>
      <c r="B20" s="2511"/>
      <c r="C20" s="2511"/>
      <c r="D20" s="2511"/>
      <c r="E20" s="2510" t="e">
        <f t="shared" si="0"/>
        <v>#DIV/0!</v>
      </c>
      <c r="F20" s="2510" t="e">
        <f t="shared" si="1"/>
        <v>#DIV/0!</v>
      </c>
      <c r="G20" s="2511"/>
      <c r="H20" s="2511"/>
      <c r="I20" s="2511"/>
      <c r="J20" s="2659"/>
      <c r="K20" s="2659"/>
    </row>
    <row r="21" spans="1:11" ht="15.6">
      <c r="A21" s="2509" t="s">
        <v>643</v>
      </c>
      <c r="B21" s="2511"/>
      <c r="C21" s="2511"/>
      <c r="D21" s="2511"/>
      <c r="E21" s="2510" t="e">
        <f t="shared" si="0"/>
        <v>#DIV/0!</v>
      </c>
      <c r="F21" s="2510" t="e">
        <f t="shared" si="1"/>
        <v>#DIV/0!</v>
      </c>
      <c r="G21" s="2511"/>
      <c r="H21" s="2511"/>
      <c r="I21" s="2511"/>
      <c r="J21" s="2659"/>
      <c r="K21" s="2659"/>
    </row>
    <row r="22" spans="1:11" ht="15.6">
      <c r="A22" s="2509" t="s">
        <v>642</v>
      </c>
      <c r="B22" s="2511"/>
      <c r="C22" s="2511"/>
      <c r="D22" s="2511"/>
      <c r="E22" s="2510" t="e">
        <f t="shared" si="0"/>
        <v>#DIV/0!</v>
      </c>
      <c r="F22" s="2510" t="e">
        <f t="shared" si="1"/>
        <v>#DIV/0!</v>
      </c>
      <c r="G22" s="2511"/>
      <c r="H22" s="2511"/>
      <c r="I22" s="2511"/>
      <c r="J22" s="2659"/>
      <c r="K22" s="2659"/>
    </row>
    <row r="23" spans="1:11" ht="15.6">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570" t="str">
        <f>项目基本情况!B1</f>
        <v>北京市西城区西直门外大街南路甲28号房地产市场价值预评估</v>
      </c>
      <c r="C37" s="3570"/>
      <c r="D37" s="3570"/>
      <c r="E37" s="3570"/>
      <c r="F37" s="3570"/>
      <c r="G37" s="3570"/>
      <c r="H37" s="3570"/>
      <c r="I37" s="3570"/>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K46" zoomScale="115" zoomScaleNormal="100" zoomScaleSheetLayoutView="115" zoomScalePageLayoutView="80" workbookViewId="0">
      <selection activeCell="N60" sqref="N60"/>
    </sheetView>
  </sheetViews>
  <sheetFormatPr defaultColWidth="12.6640625" defaultRowHeight="21.75" customHeight="1"/>
  <cols>
    <col min="1" max="2" width="12.6640625" style="1748"/>
    <col min="3" max="4" width="12.6640625" style="1748" customWidth="1"/>
    <col min="5" max="9" width="12.6640625" style="1748"/>
    <col min="10" max="11" width="12.6640625" style="724" customWidth="1"/>
    <col min="12" max="12" width="12.6640625" style="724"/>
    <col min="13" max="13" width="14.109375" style="724" bestFit="1" customWidth="1"/>
    <col min="14" max="26" width="12.6640625" style="724"/>
    <col min="27" max="35" width="12.6640625" style="1747"/>
    <col min="36" max="16384" width="12.6640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696" t="str">
        <f>项目基本情况!S2</f>
        <v>北京市西城区西直门外大街南路甲28号房地产</v>
      </c>
      <c r="B2" s="3697"/>
      <c r="C2" s="3697"/>
      <c r="D2" s="3697"/>
      <c r="E2" s="3697"/>
      <c r="F2" s="3697"/>
      <c r="G2" s="3697"/>
      <c r="H2" s="3697"/>
      <c r="I2" s="3698"/>
    </row>
    <row r="3" spans="1:12" ht="13.2">
      <c r="A3" s="3700" t="s">
        <v>1264</v>
      </c>
      <c r="B3" s="3701"/>
      <c r="C3" s="3701"/>
      <c r="D3" s="3701"/>
      <c r="E3" s="3701"/>
      <c r="F3" s="3701"/>
      <c r="G3" s="3701"/>
      <c r="H3" s="3701"/>
      <c r="I3" s="3701"/>
    </row>
    <row r="4" spans="1:12" ht="14.4">
      <c r="A4" s="1749" t="s">
        <v>1265</v>
      </c>
      <c r="B4" s="1750" t="s">
        <v>1266</v>
      </c>
      <c r="C4" s="1751" t="s">
        <v>4310</v>
      </c>
      <c r="D4" s="1751" t="s">
        <v>4309</v>
      </c>
      <c r="E4" s="3702" t="s">
        <v>1267</v>
      </c>
      <c r="F4" s="3703"/>
      <c r="G4" s="3703"/>
      <c r="H4" s="3703"/>
      <c r="I4" s="37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76" t="s">
        <v>1268</v>
      </c>
      <c r="B5" s="3663">
        <v>25</v>
      </c>
      <c r="C5" s="3679"/>
      <c r="D5" s="3699"/>
      <c r="E5" s="131" t="s">
        <v>1269</v>
      </c>
      <c r="F5" s="1752"/>
      <c r="G5" s="1752"/>
      <c r="H5" s="1752"/>
      <c r="I5" s="1368"/>
    </row>
    <row r="6" spans="1:12" ht="13.2">
      <c r="A6" s="3676"/>
      <c r="B6" s="3663"/>
      <c r="C6" s="3680"/>
      <c r="D6" s="3699"/>
      <c r="E6" s="131" t="s">
        <v>1270</v>
      </c>
      <c r="F6" s="1752"/>
      <c r="G6" s="1752"/>
      <c r="H6" s="1752"/>
      <c r="I6" s="1368"/>
    </row>
    <row r="7" spans="1:12" ht="13.2">
      <c r="A7" s="3676"/>
      <c r="B7" s="3663"/>
      <c r="C7" s="3681"/>
      <c r="D7" s="3699"/>
      <c r="E7" s="131" t="s">
        <v>1271</v>
      </c>
      <c r="F7" s="1752"/>
      <c r="G7" s="1752"/>
      <c r="H7" s="1752"/>
      <c r="I7" s="1368"/>
    </row>
    <row r="8" spans="1:12" ht="13.2">
      <c r="A8" s="3676" t="s">
        <v>1272</v>
      </c>
      <c r="B8" s="3663">
        <v>15</v>
      </c>
      <c r="C8" s="3679"/>
      <c r="D8" s="3699"/>
      <c r="E8" s="131" t="s">
        <v>1273</v>
      </c>
      <c r="F8" s="1752"/>
      <c r="G8" s="1752"/>
      <c r="H8" s="1752"/>
      <c r="I8" s="1368"/>
    </row>
    <row r="9" spans="1:12" ht="13.2">
      <c r="A9" s="3676"/>
      <c r="B9" s="3663"/>
      <c r="C9" s="3681"/>
      <c r="D9" s="3699"/>
      <c r="E9" s="131" t="s">
        <v>1274</v>
      </c>
      <c r="F9" s="1752"/>
      <c r="G9" s="1752"/>
      <c r="H9" s="1752"/>
      <c r="I9" s="1368"/>
    </row>
    <row r="10" spans="1:12" ht="13.2">
      <c r="A10" s="3676" t="s">
        <v>1275</v>
      </c>
      <c r="B10" s="3663">
        <v>15</v>
      </c>
      <c r="C10" s="3679"/>
      <c r="D10" s="3699"/>
      <c r="E10" s="131" t="s">
        <v>1276</v>
      </c>
      <c r="F10" s="1752"/>
      <c r="G10" s="1752"/>
      <c r="H10" s="1752"/>
      <c r="I10" s="1368"/>
    </row>
    <row r="11" spans="1:12" ht="13.2">
      <c r="A11" s="3676"/>
      <c r="B11" s="3663"/>
      <c r="C11" s="3681"/>
      <c r="D11" s="3699"/>
      <c r="E11" s="131" t="s">
        <v>1277</v>
      </c>
      <c r="F11" s="1752"/>
      <c r="G11" s="1752"/>
      <c r="H11" s="1752"/>
      <c r="I11" s="1368"/>
    </row>
    <row r="12" spans="1:12" ht="13.2">
      <c r="A12" s="3676" t="s">
        <v>1278</v>
      </c>
      <c r="B12" s="3663">
        <v>15</v>
      </c>
      <c r="C12" s="3679"/>
      <c r="D12" s="3699"/>
      <c r="E12" s="131" t="s">
        <v>1279</v>
      </c>
      <c r="F12" s="1752"/>
      <c r="G12" s="1752"/>
      <c r="H12" s="1752"/>
      <c r="I12" s="1368"/>
    </row>
    <row r="13" spans="1:12" ht="13.2">
      <c r="A13" s="3676"/>
      <c r="B13" s="3663"/>
      <c r="C13" s="3681"/>
      <c r="D13" s="3699"/>
      <c r="E13" s="131" t="s">
        <v>1280</v>
      </c>
      <c r="F13" s="1752"/>
      <c r="G13" s="1752"/>
      <c r="H13" s="1752"/>
      <c r="I13" s="1368"/>
    </row>
    <row r="14" spans="1:12" ht="13.2">
      <c r="A14" s="3676" t="s">
        <v>1281</v>
      </c>
      <c r="B14" s="3663">
        <v>30</v>
      </c>
      <c r="C14" s="3679">
        <v>7</v>
      </c>
      <c r="D14" s="3699">
        <v>3</v>
      </c>
      <c r="E14" s="131" t="s">
        <v>1282</v>
      </c>
      <c r="F14" s="1752"/>
      <c r="G14" s="1752"/>
      <c r="H14" s="1752"/>
      <c r="I14" s="1368"/>
    </row>
    <row r="15" spans="1:12" ht="13.2">
      <c r="A15" s="3676"/>
      <c r="B15" s="3663"/>
      <c r="C15" s="3680"/>
      <c r="D15" s="3699"/>
      <c r="E15" s="131" t="s">
        <v>1283</v>
      </c>
      <c r="F15" s="1752"/>
      <c r="G15" s="1752"/>
      <c r="H15" s="1752"/>
      <c r="I15" s="1368"/>
    </row>
    <row r="16" spans="1:12" ht="13.2">
      <c r="A16" s="3676"/>
      <c r="B16" s="3663"/>
      <c r="C16" s="3681"/>
      <c r="D16" s="3699"/>
      <c r="E16" s="131" t="s">
        <v>1284</v>
      </c>
      <c r="F16" s="1752"/>
      <c r="G16" s="1752"/>
      <c r="H16" s="1752"/>
      <c r="I16" s="1368"/>
    </row>
    <row r="17" spans="1:36" ht="14.4">
      <c r="A17" s="1753" t="s">
        <v>1285</v>
      </c>
      <c r="B17" s="56"/>
      <c r="C17" s="132">
        <f>SUM(C5:C16)</f>
        <v>7</v>
      </c>
      <c r="D17" s="132">
        <f>SUM(D5:D16)</f>
        <v>3</v>
      </c>
      <c r="E17" s="129"/>
      <c r="F17" s="129"/>
      <c r="G17" s="129"/>
      <c r="H17" s="129"/>
      <c r="I17" s="129"/>
      <c r="K17" s="302"/>
      <c r="L17" s="302" t="s">
        <v>1286</v>
      </c>
      <c r="M17" s="302" t="s">
        <v>1287</v>
      </c>
    </row>
    <row r="18" spans="1:36" ht="31.95" customHeight="1" thickBot="1">
      <c r="A18" s="1754" t="s">
        <v>1288</v>
      </c>
      <c r="B18" s="1755"/>
      <c r="C18" s="133">
        <f>ROUND(C17/SUM(C17:D17),2)</f>
        <v>0.7</v>
      </c>
      <c r="D18" s="133">
        <f>1-C18</f>
        <v>0.30000000000000004</v>
      </c>
      <c r="E18" s="3686" t="s">
        <v>2113</v>
      </c>
      <c r="F18" s="3687"/>
      <c r="G18" s="3687"/>
      <c r="H18" s="3687"/>
      <c r="I18" s="3687"/>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4.4">
      <c r="A19" s="1756" t="s">
        <v>1290</v>
      </c>
      <c r="B19" s="1757" t="s">
        <v>1291</v>
      </c>
      <c r="C19" s="134">
        <f ca="1">SUMIF(INDIRECT("'"&amp;C4&amp;"'"&amp;"!A:A"),结果表!B19,INDIRECT("'"&amp;C4&amp;"'"&amp;"!B:B"))</f>
        <v>588536</v>
      </c>
      <c r="D19" s="135">
        <f ca="1">SUMIF(INDIRECT("'"&amp;D4&amp;"'"&amp;"!A:A"),结果表!B19,INDIRECT("'"&amp;D4&amp;"'"&amp;"!B:B"))</f>
        <v>496536</v>
      </c>
      <c r="E19" s="1756" t="s">
        <v>1292</v>
      </c>
      <c r="F19" s="1757" t="s">
        <v>1291</v>
      </c>
      <c r="G19" s="136">
        <f ca="1">ROUND(C19*$C$18+D19*$D$18,0)</f>
        <v>560936</v>
      </c>
      <c r="H19" s="1758" t="s">
        <v>1293</v>
      </c>
      <c r="I19" s="129"/>
      <c r="J19" s="3463">
        <f ca="1">N59</f>
        <v>504028</v>
      </c>
      <c r="K19" s="302" t="s">
        <v>1294</v>
      </c>
      <c r="L19" s="302">
        <f>IF(C1="",'数据-汇总表'!D3,SUMIF(项目类型,C1,'数据-汇总表'!D17:D26)+SUMIF(项目类型,C1,'数据-汇总表'!H17:H27))</f>
        <v>10591.91</v>
      </c>
      <c r="M19" s="302">
        <f>IF(C1="",'数据-汇总表'!D3,SUMIF(项目类型,C1,'数据-汇总表'!D17:D26))</f>
        <v>10591.91</v>
      </c>
    </row>
    <row r="20" spans="1:36" ht="14.4">
      <c r="A20" s="1759"/>
      <c r="B20" s="1022" t="s">
        <v>1295</v>
      </c>
      <c r="C20" s="137">
        <f ca="1">SUMIF(INDIRECT("'"&amp;C4&amp;"'"&amp;"!A:A"),结果表!B20,INDIRECT("'"&amp;C4&amp;"'"&amp;"!B:B"))</f>
        <v>69754</v>
      </c>
      <c r="D20" s="138">
        <f ca="1">SUMIF(INDIRECT("'"&amp;D4&amp;"'"&amp;"!A:A"),结果表!B20,INDIRECT("'"&amp;D4&amp;"'"&amp;"!B:B"))</f>
        <v>58850</v>
      </c>
      <c r="E20" s="1759"/>
      <c r="F20" s="1022" t="s">
        <v>1295</v>
      </c>
      <c r="G20" s="139">
        <f ca="1">ROUND(C20*$C$18+D20*$D$18,0)</f>
        <v>66483</v>
      </c>
      <c r="H20" s="804" t="s">
        <v>1296</v>
      </c>
      <c r="I20" s="129"/>
      <c r="J20" s="3463" t="s">
        <v>4173</v>
      </c>
    </row>
    <row r="21" spans="1:36" ht="15" customHeight="1" thickBot="1">
      <c r="A21" s="824"/>
      <c r="B21" s="1760" t="s">
        <v>1297</v>
      </c>
      <c r="C21" s="718">
        <f ca="1">ROUND(C19*10000/L19,0)</f>
        <v>555647</v>
      </c>
      <c r="D21" s="719">
        <f ca="1">ROUND(D19*10000/L19,0)</f>
        <v>468788</v>
      </c>
      <c r="E21" s="824"/>
      <c r="F21" s="1760" t="s">
        <v>1297</v>
      </c>
      <c r="G21" s="140">
        <f ca="1">ROUND(G19*10000/L19,0)</f>
        <v>529589</v>
      </c>
      <c r="H21" s="1761" t="s">
        <v>1296</v>
      </c>
      <c r="I21" s="129"/>
      <c r="J21" s="3463"/>
    </row>
    <row r="22" spans="1:36" ht="15" thickBot="1">
      <c r="A22" s="1683" t="s">
        <v>1298</v>
      </c>
      <c r="B22" s="1762"/>
      <c r="C22" s="1763"/>
      <c r="D22" s="720">
        <f ca="1">IF(C19&lt;D19,D19/C19-1,C19/D19-1)</f>
        <v>0.18528364509320583</v>
      </c>
      <c r="E22" s="129"/>
      <c r="F22" s="129"/>
      <c r="G22" s="129"/>
      <c r="H22" s="129"/>
      <c r="I22" s="129"/>
      <c r="J22" s="3461" t="s">
        <v>4142</v>
      </c>
      <c r="K22" s="3462" t="s">
        <v>4143</v>
      </c>
      <c r="L22" s="3463"/>
    </row>
    <row r="23" spans="1:36" ht="13.8" thickBot="1">
      <c r="A23" s="1742"/>
      <c r="B23" s="1742"/>
      <c r="C23" s="1742"/>
      <c r="D23" s="1742"/>
      <c r="E23" s="129"/>
      <c r="F23" s="129"/>
      <c r="G23" s="129"/>
      <c r="H23" s="129"/>
      <c r="I23" s="129"/>
      <c r="J23" s="3464" t="s">
        <v>4144</v>
      </c>
      <c r="K23" s="3465" t="s">
        <v>4145</v>
      </c>
      <c r="L23" s="3465" t="s">
        <v>4146</v>
      </c>
    </row>
    <row r="24" spans="1:36" ht="14.4">
      <c r="A24" s="3670" t="s">
        <v>1299</v>
      </c>
      <c r="B24" s="1757" t="s">
        <v>1291</v>
      </c>
      <c r="C24" s="136">
        <f>IF(B30=0,0,D30)</f>
        <v>0</v>
      </c>
      <c r="D24" s="1764"/>
      <c r="E24" s="129"/>
      <c r="F24" s="129"/>
      <c r="G24" s="129"/>
      <c r="H24" s="129"/>
      <c r="I24" s="129"/>
      <c r="J24" s="3466">
        <v>40000</v>
      </c>
      <c r="K24" s="3467">
        <v>45000</v>
      </c>
      <c r="L24" s="3467">
        <v>48000</v>
      </c>
    </row>
    <row r="25" spans="1:36" ht="14.4">
      <c r="A25" s="3671"/>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3.8">
      <c r="A27" s="1766"/>
      <c r="B27" s="142">
        <v>0</v>
      </c>
      <c r="C27" s="142">
        <v>0</v>
      </c>
      <c r="D27" s="143">
        <f>ROUND(C27*B27/10000,0)</f>
        <v>0</v>
      </c>
      <c r="E27" s="129"/>
      <c r="F27" s="129"/>
      <c r="G27" s="129"/>
      <c r="H27" s="129"/>
      <c r="I27" s="129"/>
    </row>
    <row r="28" spans="1:36" ht="13.8">
      <c r="A28" s="1766"/>
      <c r="B28" s="142"/>
      <c r="C28" s="142"/>
      <c r="D28" s="143"/>
      <c r="E28" s="129"/>
      <c r="F28" s="129"/>
      <c r="G28" s="129"/>
      <c r="H28" s="129"/>
      <c r="I28" s="129"/>
    </row>
    <row r="29" spans="1:36" ht="13.8">
      <c r="A29" s="1766"/>
      <c r="B29" s="142"/>
      <c r="C29" s="142"/>
      <c r="D29" s="143"/>
      <c r="E29" s="129"/>
      <c r="F29" s="129"/>
      <c r="G29" s="129"/>
      <c r="H29" s="129"/>
      <c r="I29" s="129"/>
      <c r="J29" s="724">
        <f ca="1">G19*1.05</f>
        <v>588982.80000000005</v>
      </c>
    </row>
    <row r="30" spans="1:36" ht="15" thickBot="1">
      <c r="A30" s="142" t="s">
        <v>1304</v>
      </c>
      <c r="B30" s="142"/>
      <c r="C30" s="142"/>
      <c r="D30" s="142"/>
      <c r="E30" s="2298" t="s">
        <v>2114</v>
      </c>
      <c r="F30" s="129"/>
      <c r="G30" s="129"/>
      <c r="H30" s="129"/>
      <c r="I30" s="129"/>
    </row>
    <row r="31" spans="1:36" s="2304" customFormat="1" ht="26.4"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8" t="s">
        <v>1305</v>
      </c>
      <c r="B32" s="1769"/>
      <c r="C32" s="144">
        <f ca="1">IF(D32="总价",G19-C24,G20-C25)</f>
        <v>560936</v>
      </c>
      <c r="D32" s="1770" t="s">
        <v>3390</v>
      </c>
      <c r="E32" s="129"/>
      <c r="F32" s="129"/>
      <c r="G32" s="129"/>
      <c r="H32" s="129"/>
      <c r="I32" s="129"/>
    </row>
    <row r="33" spans="1:16" ht="14.4">
      <c r="A33" s="782" t="s">
        <v>1306</v>
      </c>
      <c r="B33" s="1771"/>
      <c r="C33" s="1772" t="s">
        <v>4358</v>
      </c>
      <c r="D33" s="1773" t="s">
        <v>4304</v>
      </c>
      <c r="E33" s="1774" t="s">
        <v>1307</v>
      </c>
      <c r="F33" s="1775" t="str">
        <f>IF(D32="楼面单价","取值（单价）","取值（总价）")</f>
        <v>取值（总价）</v>
      </c>
      <c r="G33" s="129"/>
      <c r="H33" s="129"/>
      <c r="I33" s="129"/>
    </row>
    <row r="34" spans="1:16" ht="14.4">
      <c r="A34" s="1776"/>
      <c r="B34" s="1777" t="s">
        <v>1308</v>
      </c>
      <c r="C34" s="148">
        <f ca="1">IF(C33="自定义",F34,C32-C35)</f>
        <v>466699</v>
      </c>
      <c r="D34" s="857">
        <f ca="1">IF(C33="自定义",ROUND(C34/C32,3),IF(C33="收益比率",SUMIF(INDIRECT("'"&amp;D33&amp;"'"&amp;"!b:b"),"土地收益比率",INDIRECT("'"&amp;D33&amp;"'"&amp;"!c:c")),SUMIF(INDIRECT("'"&amp;D33&amp;"'"&amp;"!b:b"),"土地成本比率",INDIRECT("'"&amp;D33&amp;"'"&amp;"!c:c"))))</f>
        <v>0.83199999999999996</v>
      </c>
      <c r="E34" s="1778" t="s">
        <v>1309</v>
      </c>
      <c r="F34" s="1325"/>
      <c r="G34" s="129"/>
      <c r="H34" s="129"/>
      <c r="I34" s="129"/>
      <c r="M34" s="3470"/>
      <c r="N34" s="3463"/>
      <c r="O34" s="3463"/>
      <c r="P34" s="3463">
        <f ca="1">ROUND(P36*10000/L18,0)</f>
        <v>66483</v>
      </c>
    </row>
    <row r="35" spans="1:16" ht="15" thickBot="1">
      <c r="A35" s="1779"/>
      <c r="B35" s="1780" t="s">
        <v>1310</v>
      </c>
      <c r="C35" s="1166">
        <f ca="1">IF(C33="自定义",F35,ROUND(C32*D35,0))</f>
        <v>94237</v>
      </c>
      <c r="D35" s="1167">
        <f ca="1">IF(C33="自定义",ROUND(C35/C32,3),IF(C33="收益比率",SUMIF(INDIRECT("'"&amp;D33&amp;"'"&amp;"!b:b"),"建筑物收益比率",INDIRECT("'"&amp;D33&amp;"'"&amp;"!c:c")),SUMIF(INDIRECT("'"&amp;D33&amp;"'"&amp;"!b:b"),"建筑物成本比率",INDIRECT("'"&amp;D33&amp;"'"&amp;"!c:c"))))</f>
        <v>0.16800000000000001</v>
      </c>
      <c r="E35" s="1781" t="s">
        <v>1311</v>
      </c>
      <c r="F35" s="154"/>
      <c r="G35" s="129"/>
      <c r="H35" s="129"/>
      <c r="I35" s="129"/>
      <c r="M35" s="3471"/>
      <c r="N35" s="3472"/>
      <c r="O35" s="3472"/>
      <c r="P35" s="3473" t="s">
        <v>4148</v>
      </c>
    </row>
    <row r="36" spans="1:16" ht="15" thickBot="1">
      <c r="A36" s="3690" t="s">
        <v>1312</v>
      </c>
      <c r="B36" s="1782" t="s">
        <v>1313</v>
      </c>
      <c r="C36" s="145"/>
      <c r="D36" s="1783"/>
      <c r="E36" s="1784"/>
      <c r="F36" s="1785"/>
      <c r="G36" s="129"/>
      <c r="H36" s="129"/>
      <c r="I36" s="129"/>
      <c r="M36" s="3472"/>
      <c r="N36" s="3471"/>
      <c r="O36" s="3471"/>
      <c r="P36" s="3474">
        <f ca="1">G19</f>
        <v>560936</v>
      </c>
    </row>
    <row r="37" spans="1:16" ht="15" thickBot="1">
      <c r="A37" s="3691"/>
      <c r="B37" s="1669" t="s">
        <v>1314</v>
      </c>
      <c r="C37" s="147"/>
      <c r="D37" s="1135"/>
      <c r="E37" s="1135"/>
      <c r="F37" s="1785"/>
      <c r="G37" s="129"/>
      <c r="H37" s="129"/>
      <c r="I37" s="129"/>
      <c r="M37" s="3472"/>
      <c r="N37" s="3471"/>
      <c r="O37" s="3471"/>
      <c r="P37" s="3474">
        <f ca="1">N59</f>
        <v>504028</v>
      </c>
    </row>
    <row r="38" spans="1:16" ht="15" thickBot="1">
      <c r="A38" s="3692"/>
      <c r="B38" s="1786" t="s">
        <v>1315</v>
      </c>
      <c r="C38" s="673"/>
      <c r="D38" s="1787" t="s">
        <v>1316</v>
      </c>
      <c r="E38" s="1135"/>
      <c r="F38" s="1785"/>
      <c r="G38" s="129"/>
      <c r="H38" s="129"/>
      <c r="I38" s="129"/>
      <c r="M38" s="3472"/>
      <c r="N38" s="3471"/>
      <c r="O38" s="3471"/>
      <c r="P38" s="3474">
        <f ca="1">P36-P37</f>
        <v>56908</v>
      </c>
    </row>
    <row r="39" spans="1:16" ht="14.4">
      <c r="A39" s="1759" t="s">
        <v>1317</v>
      </c>
      <c r="B39" s="1788" t="s">
        <v>1318</v>
      </c>
      <c r="C39" s="1789" t="s">
        <v>1319</v>
      </c>
      <c r="D39" s="1789" t="s">
        <v>1320</v>
      </c>
      <c r="E39" s="1790" t="s">
        <v>1321</v>
      </c>
      <c r="F39" s="1785"/>
      <c r="G39" s="129"/>
      <c r="H39" s="129"/>
      <c r="I39" s="129"/>
      <c r="M39" s="3472"/>
      <c r="N39" s="3471"/>
      <c r="O39" s="3471"/>
      <c r="P39" s="3474">
        <f ca="1">P38/P36</f>
        <v>0.10145185903561191</v>
      </c>
    </row>
    <row r="40" spans="1:16" ht="13.8">
      <c r="A40" s="1791" t="s">
        <v>1322</v>
      </c>
      <c r="B40" s="149"/>
      <c r="C40" s="150"/>
      <c r="D40" s="150"/>
      <c r="E40" s="151"/>
      <c r="F40" s="1785"/>
      <c r="G40" s="129"/>
      <c r="H40" s="129"/>
      <c r="I40" s="129"/>
    </row>
    <row r="41" spans="1:16" ht="13.8">
      <c r="A41" s="1791" t="s">
        <v>1323</v>
      </c>
      <c r="B41" s="149"/>
      <c r="C41" s="150"/>
      <c r="D41" s="150"/>
      <c r="E41" s="151"/>
      <c r="F41" s="1785"/>
      <c r="G41" s="129"/>
      <c r="H41" s="129"/>
      <c r="I41" s="129"/>
    </row>
    <row r="42" spans="1:16" ht="14.4" thickBot="1">
      <c r="A42" s="1792"/>
      <c r="B42" s="152"/>
      <c r="C42" s="153"/>
      <c r="D42" s="153"/>
      <c r="E42" s="154"/>
      <c r="F42" s="1785"/>
      <c r="G42" s="129"/>
      <c r="H42" s="129"/>
      <c r="I42" s="129"/>
    </row>
    <row r="43" spans="1:16" ht="13.2">
      <c r="A43" s="1572"/>
      <c r="B43" s="1572"/>
      <c r="C43" s="1572"/>
      <c r="D43" s="1572"/>
      <c r="E43" s="1572"/>
      <c r="F43" s="1793"/>
      <c r="G43" s="1793"/>
      <c r="H43" s="1793"/>
      <c r="I43" s="1794"/>
    </row>
    <row r="44" spans="1:16" ht="17.399999999999999">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667" t="s">
        <v>1326</v>
      </c>
      <c r="B45" s="3668"/>
      <c r="C45" s="3669"/>
      <c r="D45" s="155">
        <f ca="1">ROUND(H101*F45,0)</f>
        <v>560936</v>
      </c>
      <c r="E45" s="156" t="s">
        <v>1327</v>
      </c>
      <c r="F45" s="157">
        <v>1</v>
      </c>
      <c r="G45" s="158" t="s">
        <v>1328</v>
      </c>
      <c r="H45" s="129"/>
      <c r="I45" s="129"/>
      <c r="J45" s="3745" t="s">
        <v>1329</v>
      </c>
      <c r="K45" s="3745"/>
      <c r="L45" s="3745"/>
      <c r="M45" s="3745"/>
      <c r="N45" s="3745"/>
      <c r="O45" s="3745"/>
    </row>
    <row r="46" spans="1:16" ht="14.25" customHeight="1">
      <c r="A46" s="3664" t="s">
        <v>1330</v>
      </c>
      <c r="B46" s="3665"/>
      <c r="C46" s="3665"/>
      <c r="D46" s="3665"/>
      <c r="E46" s="3665"/>
      <c r="F46" s="3665"/>
      <c r="G46" s="3666"/>
      <c r="H46" s="1801"/>
      <c r="I46" s="159"/>
      <c r="J46" s="2515">
        <v>1</v>
      </c>
      <c r="K46" s="3746" t="s">
        <v>1331</v>
      </c>
      <c r="L46" s="3746"/>
      <c r="M46" s="3747"/>
      <c r="N46" s="3747"/>
      <c r="O46" s="3747"/>
    </row>
    <row r="47" spans="1:16" ht="12" customHeight="1">
      <c r="A47" s="160" t="s">
        <v>1332</v>
      </c>
      <c r="B47" s="161"/>
      <c r="C47" s="162"/>
      <c r="D47" s="1083" t="s">
        <v>1333</v>
      </c>
      <c r="E47" s="302" t="s">
        <v>1334</v>
      </c>
      <c r="F47" s="163" t="s">
        <v>1335</v>
      </c>
      <c r="G47" s="2519" t="s">
        <v>1336</v>
      </c>
      <c r="H47" s="2520"/>
      <c r="I47" s="159"/>
      <c r="J47" s="170">
        <v>2</v>
      </c>
      <c r="K47" s="3726" t="s">
        <v>3406</v>
      </c>
      <c r="L47" s="3726"/>
      <c r="M47" s="3748">
        <f>'数据-取费表'!B2</f>
        <v>45309</v>
      </c>
      <c r="N47" s="3748"/>
      <c r="O47" s="3748"/>
    </row>
    <row r="48" spans="1:16" ht="26.4">
      <c r="A48" s="3695" t="s">
        <v>1337</v>
      </c>
      <c r="B48" s="3678"/>
      <c r="C48" s="3678"/>
      <c r="D48" s="2319">
        <f ca="1">IF(H48="情况1",0,IF(H48="情况2",D52,IF(H48="情况3",D53,IF(H48="情况4",D54))))</f>
        <v>29917</v>
      </c>
      <c r="E48" s="2329" t="str">
        <f>IF(H48="情况4","(销售额-原购置价)×税（费）率","销售额×税（费）率")</f>
        <v>销售额×税（费）率</v>
      </c>
      <c r="F48" s="2521">
        <f>IF(H48="情况1","免征",'数据-取费表'!B41)</f>
        <v>5.6000000000000001E-2</v>
      </c>
      <c r="G48" s="2522" t="s">
        <v>1338</v>
      </c>
      <c r="H48" s="2523" t="s">
        <v>4375</v>
      </c>
      <c r="I48" s="1801"/>
      <c r="J48" s="170">
        <v>3</v>
      </c>
      <c r="K48" s="3726" t="s">
        <v>3414</v>
      </c>
      <c r="L48" s="3726"/>
      <c r="M48" s="3749">
        <f ca="1">H101</f>
        <v>560936</v>
      </c>
      <c r="N48" s="3749"/>
      <c r="O48" s="3749"/>
    </row>
    <row r="49" spans="1:35" ht="25.5" customHeight="1">
      <c r="A49" s="2328" t="s">
        <v>1339</v>
      </c>
      <c r="B49" s="3662" t="s">
        <v>1340</v>
      </c>
      <c r="C49" s="3662"/>
      <c r="D49" s="1585">
        <v>0</v>
      </c>
      <c r="E49" s="324" t="s">
        <v>1341</v>
      </c>
      <c r="F49" s="2418" t="s">
        <v>28</v>
      </c>
      <c r="G49" s="3732"/>
      <c r="H49" s="2305" t="s">
        <v>2116</v>
      </c>
      <c r="I49" s="2306"/>
      <c r="J49" s="170">
        <v>4</v>
      </c>
      <c r="K49" s="3726" t="str">
        <f>IF(项目基本情况!E8="房地产抵押价值","房地产抵押价值","抵押担保权已注销时的房地产抵押价值")</f>
        <v>房地产抵押价值</v>
      </c>
      <c r="L49" s="3726"/>
      <c r="M49" s="3749">
        <f ca="1">IF(项目基本情况!E8="房地产抵押价值",H107,H109)</f>
        <v>560936</v>
      </c>
      <c r="N49" s="3749"/>
      <c r="O49" s="3749"/>
    </row>
    <row r="50" spans="1:35" ht="25.5" customHeight="1">
      <c r="A50" s="2524"/>
      <c r="B50" s="3662" t="s">
        <v>1342</v>
      </c>
      <c r="C50" s="3662"/>
      <c r="D50" s="2525"/>
      <c r="E50" s="332"/>
      <c r="F50" s="2418"/>
      <c r="G50" s="3733"/>
      <c r="H50" s="2307" t="s">
        <v>2117</v>
      </c>
      <c r="I50" s="2306"/>
      <c r="J50" s="3749" t="s">
        <v>3407</v>
      </c>
      <c r="K50" s="3749"/>
      <c r="L50" s="3749"/>
      <c r="M50" s="3749"/>
      <c r="N50" s="3749"/>
      <c r="O50" s="3749"/>
    </row>
    <row r="51" spans="1:35" ht="20.399999999999999" customHeight="1">
      <c r="A51" s="2526"/>
      <c r="B51" s="3662" t="s">
        <v>1343</v>
      </c>
      <c r="C51" s="3662"/>
      <c r="D51" s="1083"/>
      <c r="E51" s="327"/>
      <c r="F51" s="2418"/>
      <c r="G51" s="3734"/>
      <c r="H51" s="2307" t="s">
        <v>2118</v>
      </c>
      <c r="I51" s="2306"/>
      <c r="J51" s="174" t="s">
        <v>3408</v>
      </c>
      <c r="K51" s="3726" t="s">
        <v>3409</v>
      </c>
      <c r="L51" s="3726"/>
      <c r="M51" s="174" t="s">
        <v>3415</v>
      </c>
      <c r="N51" s="174" t="s">
        <v>3410</v>
      </c>
      <c r="O51" s="174" t="s">
        <v>3411</v>
      </c>
    </row>
    <row r="52" spans="1:35" ht="24" customHeight="1">
      <c r="A52" s="2330" t="s">
        <v>1344</v>
      </c>
      <c r="B52" s="3662" t="s">
        <v>1345</v>
      </c>
      <c r="C52" s="3662"/>
      <c r="D52" s="1083">
        <f ca="1">ROUND(D45*'数据-取费表'!B41/(1+'数据-取费表'!C42),0)</f>
        <v>29917</v>
      </c>
      <c r="E52" s="2329" t="s">
        <v>1346</v>
      </c>
      <c r="F52" s="2527">
        <f>'数据-取费表'!B41</f>
        <v>5.6000000000000001E-2</v>
      </c>
      <c r="G52" s="2528"/>
      <c r="H52" s="2517"/>
      <c r="I52" s="1802"/>
      <c r="J52" s="170">
        <v>1</v>
      </c>
      <c r="K52" s="3727" t="s">
        <v>3416</v>
      </c>
      <c r="L52" s="3727"/>
      <c r="M52" s="170">
        <f ca="1">D48</f>
        <v>29917</v>
      </c>
      <c r="N52" s="170" t="str">
        <f>E48</f>
        <v>销售额×税（费）率</v>
      </c>
      <c r="O52" s="3442">
        <f>F48</f>
        <v>5.6000000000000001E-2</v>
      </c>
    </row>
    <row r="53" spans="1:35" ht="12" customHeight="1">
      <c r="A53" s="2330" t="s">
        <v>1347</v>
      </c>
      <c r="B53" s="3688" t="s">
        <v>2269</v>
      </c>
      <c r="C53" s="3689"/>
      <c r="D53" s="1083">
        <f ca="1">ROUND(D45*'数据-取费表'!B41/(1+'数据-取费表'!C42),0)</f>
        <v>29917</v>
      </c>
      <c r="E53" s="2329" t="s">
        <v>1346</v>
      </c>
      <c r="F53" s="2527">
        <f>'数据-取费表'!B41</f>
        <v>5.6000000000000001E-2</v>
      </c>
      <c r="G53" s="2528"/>
      <c r="H53" s="2517"/>
      <c r="I53" s="1802"/>
      <c r="J53" s="170">
        <v>2</v>
      </c>
      <c r="K53" s="3727" t="s">
        <v>3417</v>
      </c>
      <c r="L53" s="3727"/>
      <c r="M53" s="170">
        <f t="shared" ref="M53:O54" ca="1" si="0">D55</f>
        <v>280</v>
      </c>
      <c r="N53" s="170" t="str">
        <f t="shared" si="0"/>
        <v>销售额×税（费）率</v>
      </c>
      <c r="O53" s="3442">
        <f t="shared" si="0"/>
        <v>5.0000000000000001E-4</v>
      </c>
    </row>
    <row r="54" spans="1:35" ht="12" customHeight="1">
      <c r="A54" s="2330" t="s">
        <v>1348</v>
      </c>
      <c r="B54" s="3688" t="s">
        <v>2270</v>
      </c>
      <c r="C54" s="3689"/>
      <c r="D54" s="1083">
        <f ca="1">C68</f>
        <v>29917</v>
      </c>
      <c r="E54" s="327" t="s">
        <v>1349</v>
      </c>
      <c r="F54" s="2527">
        <f>'数据-取费表'!B41</f>
        <v>5.6000000000000001E-2</v>
      </c>
      <c r="G54" s="2528"/>
      <c r="H54" s="2529"/>
      <c r="I54" s="1802"/>
      <c r="J54" s="170">
        <v>3</v>
      </c>
      <c r="K54" s="3727" t="s">
        <v>3418</v>
      </c>
      <c r="L54" s="3727"/>
      <c r="M54" s="170">
        <f ca="1">D56</f>
        <v>26711</v>
      </c>
      <c r="N54" s="170" t="str">
        <f t="shared" si="0"/>
        <v>增值额×税（费）率</v>
      </c>
      <c r="O54" s="3443" t="str">
        <f t="shared" si="0"/>
        <v>——</v>
      </c>
    </row>
    <row r="55" spans="1:35" ht="24" customHeight="1">
      <c r="A55" s="3677" t="s">
        <v>1350</v>
      </c>
      <c r="B55" s="3678"/>
      <c r="C55" s="3678"/>
      <c r="D55" s="2319">
        <f ca="1">IF(H55="个人住宅",0,ROUND(D45*I55,0))</f>
        <v>280</v>
      </c>
      <c r="E55" s="2329" t="s">
        <v>1351</v>
      </c>
      <c r="F55" s="2527">
        <f>IF(H55="正常",I55,"免征")</f>
        <v>5.0000000000000001E-4</v>
      </c>
      <c r="G55" s="2528"/>
      <c r="H55" s="2523" t="s">
        <v>3391</v>
      </c>
      <c r="I55" s="165">
        <f>'数据-取费表'!B49</f>
        <v>5.0000000000000001E-4</v>
      </c>
      <c r="J55" s="170" t="str">
        <f>IF(H59="非个人房产","",4)</f>
        <v/>
      </c>
      <c r="K55" s="3727" t="str">
        <f>IF(H59="非个人房产","——","个人所得税")</f>
        <v>——</v>
      </c>
      <c r="L55" s="3727"/>
      <c r="M55" s="2025" t="str">
        <f>D59</f>
        <v>——</v>
      </c>
      <c r="N55" s="2025" t="str">
        <f>E59</f>
        <v>——</v>
      </c>
      <c r="O55" s="3444" t="str">
        <f>F59</f>
        <v>——</v>
      </c>
    </row>
    <row r="56" spans="1:35" ht="25.2">
      <c r="A56" s="3677" t="s">
        <v>1352</v>
      </c>
      <c r="B56" s="3678"/>
      <c r="C56" s="3678"/>
      <c r="D56" s="2319">
        <f ca="1">IF(H56="个人住宅",D57,D58)</f>
        <v>26711</v>
      </c>
      <c r="E56" s="2329" t="s">
        <v>1353</v>
      </c>
      <c r="F56" s="2527" t="str">
        <f>IF(H56="正常",F58,"免征")</f>
        <v>——</v>
      </c>
      <c r="G56" s="2530" t="s">
        <v>1354</v>
      </c>
      <c r="H56" s="2531" t="s">
        <v>3391</v>
      </c>
      <c r="I56" s="1803"/>
      <c r="J56" s="170" t="str">
        <f>IF(项目基本情况!K6="上海银行",IF(J55="",4,J55+1),"")</f>
        <v/>
      </c>
      <c r="K56" s="3751" t="str">
        <f>IF(项目基本情况!K6="上海银行","其他处置费用","")</f>
        <v/>
      </c>
      <c r="L56" s="3752"/>
      <c r="M56" s="170" t="str">
        <f>IF(项目基本情况!K6="上海银行",M69,"")</f>
        <v/>
      </c>
      <c r="N56" s="3751" t="str">
        <f>IF(项目基本情况!K6="上海银行","包含处置中涉及的律师、诉讼、拍卖、评估等费用","")</f>
        <v/>
      </c>
      <c r="O56" s="3754"/>
    </row>
    <row r="57" spans="1:35" ht="13.2">
      <c r="A57" s="2330" t="s">
        <v>1339</v>
      </c>
      <c r="B57" s="3688" t="s">
        <v>1355</v>
      </c>
      <c r="C57" s="3689"/>
      <c r="D57" s="1585">
        <v>0</v>
      </c>
      <c r="E57" s="324" t="s">
        <v>1341</v>
      </c>
      <c r="F57" s="302"/>
      <c r="G57" s="2528"/>
      <c r="H57" s="2532"/>
      <c r="I57" s="1803"/>
      <c r="J57" s="3727">
        <f>IF(AND(J55="",J56=""),4,IF(项目基本情况!K6="上海银行",结果表!J56+1,结果表!J55+1))</f>
        <v>4</v>
      </c>
      <c r="K57" s="3727" t="s">
        <v>3419</v>
      </c>
      <c r="L57" s="2553" t="s">
        <v>3412</v>
      </c>
      <c r="M57" s="3445"/>
      <c r="N57" s="3446">
        <f ca="1">SUMIF(M52:M56,"&lt;9e307")</f>
        <v>56908</v>
      </c>
      <c r="O57" s="3447"/>
      <c r="P57" s="2661">
        <f ca="1">N57/M49</f>
        <v>0.10145185903561191</v>
      </c>
    </row>
    <row r="58" spans="1:35" ht="25.2">
      <c r="A58" s="2330" t="s">
        <v>1344</v>
      </c>
      <c r="B58" s="3688" t="s">
        <v>1356</v>
      </c>
      <c r="C58" s="3662"/>
      <c r="D58" s="3481">
        <f ca="1">ROUND(G19/1.05*0.05,0)</f>
        <v>26711</v>
      </c>
      <c r="E58" s="2329" t="s">
        <v>1353</v>
      </c>
      <c r="F58" s="302" t="s">
        <v>28</v>
      </c>
      <c r="G58" s="2528"/>
      <c r="H58" s="2531" t="s">
        <v>4174</v>
      </c>
      <c r="I58" s="1803"/>
      <c r="J58" s="3727"/>
      <c r="K58" s="3727"/>
      <c r="L58" s="2553" t="s">
        <v>3413</v>
      </c>
      <c r="M58" s="2553"/>
      <c r="N58" s="3448" t="str">
        <f ca="1">NUMBERSTRING(INT(N57*10000),2)&amp;"元整"</f>
        <v>伍亿陆仟玖佰零捌万元整</v>
      </c>
      <c r="O58" s="2092"/>
    </row>
    <row r="59" spans="1:35" ht="24.6" thickBot="1">
      <c r="A59" s="3730" t="s">
        <v>1357</v>
      </c>
      <c r="B59" s="3731"/>
      <c r="C59" s="3731"/>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728">
        <f>J57+1</f>
        <v>5</v>
      </c>
      <c r="K59" s="3727" t="s">
        <v>3420</v>
      </c>
      <c r="L59" s="170" t="s">
        <v>3412</v>
      </c>
      <c r="M59" s="3449"/>
      <c r="N59" s="3450">
        <f ca="1">M49-N57</f>
        <v>504028</v>
      </c>
      <c r="O59" s="3451"/>
    </row>
    <row r="60" spans="1:35" ht="12" customHeight="1">
      <c r="A60" s="1804"/>
      <c r="B60" s="1742"/>
      <c r="C60" s="1742"/>
      <c r="D60" s="1742"/>
      <c r="E60" s="1573"/>
      <c r="F60" s="1803"/>
      <c r="G60" s="1803"/>
      <c r="H60" s="1805"/>
      <c r="I60" s="129"/>
      <c r="J60" s="3729"/>
      <c r="K60" s="3727"/>
      <c r="L60" s="2553" t="s">
        <v>3413</v>
      </c>
      <c r="M60" s="2553"/>
      <c r="N60" s="3448" t="str">
        <f ca="1">NUMBERSTRING(INT(N59*10000),2)&amp;"元整"</f>
        <v>伍拾亿肆仟零贰拾捌万元整</v>
      </c>
      <c r="O60" s="2092"/>
    </row>
    <row r="61" spans="1:35" ht="13.8" thickBot="1">
      <c r="A61" s="3675" t="s">
        <v>1358</v>
      </c>
      <c r="B61" s="3675"/>
      <c r="C61" s="3675"/>
      <c r="D61" s="3675"/>
      <c r="E61" s="3675"/>
      <c r="F61" s="1803"/>
      <c r="G61" s="1803"/>
      <c r="H61" s="1805"/>
      <c r="I61" s="129"/>
      <c r="J61" s="170">
        <f>J59+1</f>
        <v>6</v>
      </c>
      <c r="K61" s="3727" t="s">
        <v>3421</v>
      </c>
      <c r="L61" s="3727"/>
      <c r="M61" s="3452"/>
      <c r="N61" s="3453">
        <f ca="1">ROUND(N59*10000/'数据-汇总表'!E3,0)</f>
        <v>59738</v>
      </c>
      <c r="O61" s="3454"/>
    </row>
    <row r="62" spans="1:35" ht="13.2">
      <c r="A62" s="3693" t="s">
        <v>1359</v>
      </c>
      <c r="B62" s="3694"/>
      <c r="C62" s="2016"/>
      <c r="D62" s="2016" t="s">
        <v>1360</v>
      </c>
      <c r="E62" s="166" t="s">
        <v>1361</v>
      </c>
      <c r="F62" s="1803"/>
      <c r="G62" s="1803"/>
      <c r="H62" s="1805"/>
      <c r="I62" s="129"/>
    </row>
    <row r="63" spans="1:35" ht="13.2">
      <c r="A63" s="173" t="s">
        <v>330</v>
      </c>
      <c r="B63" s="167" t="s">
        <v>1362</v>
      </c>
      <c r="C63" s="2537">
        <f ca="1">ROUND((C64+C65)/(1+'数据-取费表'!C42),0)</f>
        <v>534225</v>
      </c>
      <c r="D63" s="167"/>
      <c r="E63" s="168"/>
      <c r="F63" s="1803"/>
      <c r="G63" s="1803"/>
      <c r="H63" s="1805"/>
      <c r="I63" s="129"/>
      <c r="J63" s="3753" t="s">
        <v>1363</v>
      </c>
      <c r="K63" s="1327" t="s">
        <v>1364</v>
      </c>
      <c r="L63" s="1327">
        <f ca="1">IF(M49&gt;10000,M49*0.5%,IF(AND(M49&gt;1000,M49&lt;=10000),M49*1%,IF(AND(M49&gt;100,M49&lt;=1000),M49*3%,IF(AND(M49&gt;10,M49&lt;=100),M49*5%,M49*8%))))</f>
        <v>2804.68</v>
      </c>
      <c r="M63" s="302">
        <f ca="1">ROUND(L63,1)</f>
        <v>2804.7</v>
      </c>
      <c r="N63" s="2516"/>
      <c r="Z63" s="1747"/>
      <c r="AI63" s="1748"/>
    </row>
    <row r="64" spans="1:35" ht="14.25" customHeight="1">
      <c r="A64" s="169" t="s">
        <v>325</v>
      </c>
      <c r="B64" s="170" t="s">
        <v>1365</v>
      </c>
      <c r="C64" s="2538">
        <f ca="1">D45</f>
        <v>560936</v>
      </c>
      <c r="D64" s="170" t="s">
        <v>26</v>
      </c>
      <c r="E64" s="172"/>
      <c r="F64" s="1803"/>
      <c r="G64" s="1803"/>
      <c r="H64" s="1805"/>
      <c r="I64" s="129"/>
      <c r="J64" s="3753"/>
      <c r="K64" s="1327" t="s">
        <v>1366</v>
      </c>
      <c r="L64" s="1327">
        <f ca="1">IF(M49&gt;2000,M49*0.5%,IF(AND(M49&gt;1000,M49&lt;=2000),M49*0.6%,IF(AND(M49&gt;500,M49&lt;=1000),M49*0.7%,IF(AND(M49&gt;200,M49&lt;=500),M49*0.8%,IF(AND(M49&gt;100,M49&lt;=200),M49*0.9%,IF(AND(M49&gt;50,M49&lt;=100),M49*1%,IF(AND(M49&gt;20,M49&lt;=50),M49*1.5%,IF(AND(M49&gt;10,M49&lt;=20),M49*2%,IF(AND(M49&gt;1,M49&lt;=10),M49*2.5%)))))))))</f>
        <v>2804.68</v>
      </c>
      <c r="M64" s="302">
        <f t="shared" ref="M64:M65" ca="1" si="1">ROUND(L64,1)</f>
        <v>2804.7</v>
      </c>
      <c r="N64" s="2517" t="s">
        <v>1367</v>
      </c>
      <c r="Z64" s="1747"/>
      <c r="AI64" s="1748"/>
    </row>
    <row r="65" spans="1:35" ht="14.25" customHeight="1">
      <c r="A65" s="169" t="s">
        <v>326</v>
      </c>
      <c r="B65" s="170" t="s">
        <v>1368</v>
      </c>
      <c r="C65" s="2539"/>
      <c r="D65" s="170"/>
      <c r="E65" s="172"/>
      <c r="F65" s="1803"/>
      <c r="G65" s="1803"/>
      <c r="H65" s="1805"/>
      <c r="I65" s="129"/>
      <c r="J65" s="3753"/>
      <c r="K65" s="1327" t="s">
        <v>1369</v>
      </c>
      <c r="L65" s="1327">
        <f ca="1">IF(M49&gt;1000,M49*0.1%,IF(AND(M49&gt;500,M49&lt;=1000),M49*0.5%,IF(AND(M49&gt;50,M49&lt;=500),M49*1%,IF(AND(M49&gt;1,M49&lt;=50),M49*1.5%))))</f>
        <v>560.93600000000004</v>
      </c>
      <c r="M65" s="302">
        <f t="shared" ca="1" si="1"/>
        <v>560.9</v>
      </c>
      <c r="N65" s="2517" t="s">
        <v>1367</v>
      </c>
      <c r="Z65" s="1747"/>
      <c r="AI65" s="1748"/>
    </row>
    <row r="66" spans="1:35" ht="14.25" customHeight="1">
      <c r="A66" s="173" t="s">
        <v>327</v>
      </c>
      <c r="B66" s="174" t="s">
        <v>1370</v>
      </c>
      <c r="C66" s="2540"/>
      <c r="D66" s="174" t="s">
        <v>26</v>
      </c>
      <c r="E66" s="1333" t="s">
        <v>671</v>
      </c>
      <c r="F66" s="1803"/>
      <c r="G66" s="1803"/>
      <c r="H66" s="1805"/>
      <c r="I66" s="129"/>
      <c r="J66" s="3753"/>
      <c r="K66" s="1327" t="s">
        <v>1371</v>
      </c>
      <c r="L66" s="1327">
        <f ca="1">M49*0.5%</f>
        <v>2804.68</v>
      </c>
      <c r="M66" s="302">
        <f ca="1">IF(L66&gt;0.5,0.5,ROUND(L66,0))</f>
        <v>0.5</v>
      </c>
      <c r="N66" s="2517" t="s">
        <v>1372</v>
      </c>
      <c r="Z66" s="1747"/>
      <c r="AI66" s="1748"/>
    </row>
    <row r="67" spans="1:35" ht="14.25" customHeight="1">
      <c r="A67" s="173" t="s">
        <v>328</v>
      </c>
      <c r="B67" s="174" t="s">
        <v>1373</v>
      </c>
      <c r="C67" s="2541">
        <f ca="1">C63-C66</f>
        <v>534225</v>
      </c>
      <c r="D67" s="170" t="s">
        <v>26</v>
      </c>
      <c r="E67" s="172"/>
      <c r="F67" s="1803"/>
      <c r="G67" s="1803"/>
      <c r="H67" s="1805"/>
      <c r="I67" s="129"/>
      <c r="J67" s="3753"/>
      <c r="K67" s="1327" t="s">
        <v>1374</v>
      </c>
      <c r="L67" s="1327">
        <f ca="1">IF(M49&gt;=10000,(8.25+(M49-10000)*0.01%),IF(AND(M49&gt;=8000,M49&lt;10000),(7.85+(M49-8000)*0.02%),IF(AND(M49&gt;=5000,M49&lt;8000),(6.65+(M49-5000)*0.04%),IF(AND(M49&gt;=2000,M49&lt;5000),(4.25+(PM49-2000)*0.08%),IF(AND(M49&gt;=1000,M49&lt;2000),(2.75+(M49-1000)*0.15%),IF(AND(M49&gt;=100,M49&lt;1000),(0.5+(M49-100)*0.25%),IF(AND(M49&gt;0,M49&lt;100),M49*0.5%)))))))</f>
        <v>63.343600000000002</v>
      </c>
      <c r="M67" s="302">
        <f ca="1">ROUND(L67*0.9,1)</f>
        <v>57</v>
      </c>
      <c r="N67" s="2516"/>
      <c r="Z67" s="1747"/>
      <c r="AI67" s="1748"/>
    </row>
    <row r="68" spans="1:35" ht="14.25" customHeight="1" thickBot="1">
      <c r="A68" s="176" t="s">
        <v>329</v>
      </c>
      <c r="B68" s="177" t="s">
        <v>1375</v>
      </c>
      <c r="C68" s="2542">
        <f ca="1">IF(C67&lt;=0,0,ROUND(C67*D68,0))</f>
        <v>29917</v>
      </c>
      <c r="D68" s="2543">
        <f>'数据-取费表'!B41</f>
        <v>5.6000000000000001E-2</v>
      </c>
      <c r="E68" s="178"/>
      <c r="F68" s="1803"/>
      <c r="G68" s="1803"/>
      <c r="H68" s="1805"/>
      <c r="I68" s="129"/>
      <c r="J68" s="3753"/>
      <c r="K68" s="1327" t="s">
        <v>1376</v>
      </c>
      <c r="L68" s="1327">
        <f ca="1">IF(M49&gt;10000,M49*0.5%,IF(AND(M49&gt;5000,M49&lt;=10000),M49*1%,IF(AND(M49&gt;1000,M49&lt;=5000),M49*2%,IF(AND(M49&gt;200,M49&lt;=1000),M49*3%,M49*5%))))</f>
        <v>2804.68</v>
      </c>
      <c r="M68" s="302">
        <f ca="1">ROUND(L68,1)</f>
        <v>2804.7</v>
      </c>
      <c r="N68" s="2516"/>
      <c r="Z68" s="1747"/>
      <c r="AI68" s="1748"/>
    </row>
    <row r="69" spans="1:35" s="1767" customFormat="1" ht="16.5" customHeight="1">
      <c r="A69" s="1806"/>
      <c r="B69" s="1807"/>
      <c r="C69" s="1808"/>
      <c r="D69" s="1809"/>
      <c r="E69" s="1810"/>
      <c r="F69" s="1573"/>
      <c r="G69" s="1573"/>
      <c r="H69" s="1572"/>
      <c r="I69" s="1742"/>
      <c r="J69" s="3753"/>
      <c r="K69" s="1327" t="s">
        <v>1377</v>
      </c>
      <c r="L69" s="1327"/>
      <c r="M69" s="302">
        <f ca="1">ROUND(SUM(M63:M68),0)</f>
        <v>9033</v>
      </c>
      <c r="N69" s="2518">
        <f ca="1">M69/M49</f>
        <v>1.6103441390818204E-2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4.4" thickBot="1">
      <c r="A70" s="3714" t="s">
        <v>1378</v>
      </c>
      <c r="B70" s="3715"/>
      <c r="C70" s="3715"/>
      <c r="D70" s="3715"/>
      <c r="E70" s="3715"/>
      <c r="F70" s="3715"/>
      <c r="G70" s="3715"/>
      <c r="H70" s="3715"/>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3.8">
      <c r="A71" s="3693" t="s">
        <v>1359</v>
      </c>
      <c r="B71" s="3694"/>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3.8">
      <c r="A72" s="173" t="s">
        <v>330</v>
      </c>
      <c r="B72" s="174" t="s">
        <v>1379</v>
      </c>
      <c r="C72" s="2541">
        <f ca="1">ROUND(D45/(1+'数据-取费表'!C42),0)</f>
        <v>534225</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3.8">
      <c r="A73" s="173" t="s">
        <v>327</v>
      </c>
      <c r="B73" s="163" t="s">
        <v>1380</v>
      </c>
      <c r="C73" s="2541">
        <f ca="1">C74+C78</f>
        <v>3205</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28.8">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688" t="s">
        <v>1386</v>
      </c>
      <c r="F76" s="3662"/>
      <c r="G76" s="3662"/>
      <c r="H76" s="3713"/>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3205</v>
      </c>
      <c r="D78" s="2549">
        <f>'数据-取费表'!B43</f>
        <v>6.000000000000001E-3</v>
      </c>
      <c r="E78" s="3672" t="s">
        <v>1390</v>
      </c>
      <c r="F78" s="3673"/>
      <c r="G78" s="3673"/>
      <c r="H78" s="3682"/>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3.8">
      <c r="A79" s="173" t="s">
        <v>334</v>
      </c>
      <c r="B79" s="174" t="s">
        <v>1391</v>
      </c>
      <c r="C79" s="2541">
        <f ca="1">C72-C73</f>
        <v>531020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165.6848673946958</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6" thickBot="1">
      <c r="A81" s="176" t="s">
        <v>336</v>
      </c>
      <c r="B81" s="177" t="s">
        <v>1393</v>
      </c>
      <c r="C81" s="2551">
        <f ca="1">ROUND(IF(C79&lt;=0,0,IF(C80&gt;=200%,C79*60%-C73*35%,IF(C80&gt;=100%,C79*50%-C73*15%,IF(C80&gt;=50%,C79*40%-C73*5%,IF(C80&lt;50%,C79*30%,0))))),0)</f>
        <v>317490</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4.4" thickBot="1">
      <c r="A83" s="3714" t="s">
        <v>1394</v>
      </c>
      <c r="B83" s="3715"/>
      <c r="C83" s="3715"/>
      <c r="D83" s="3715"/>
      <c r="E83" s="3715"/>
      <c r="F83" s="3715"/>
      <c r="G83" s="3715"/>
      <c r="H83" s="3715"/>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3.8">
      <c r="A84" s="3693" t="s">
        <v>1359</v>
      </c>
      <c r="B84" s="3694"/>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3.8">
      <c r="A85" s="173" t="s">
        <v>330</v>
      </c>
      <c r="B85" s="174" t="s">
        <v>1379</v>
      </c>
      <c r="C85" s="2541">
        <f ca="1">ROUND(D45/(1+'数据-取费表'!C42),0)</f>
        <v>534225</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3.8">
      <c r="A86" s="173" t="s">
        <v>327</v>
      </c>
      <c r="B86" s="163" t="s">
        <v>1380</v>
      </c>
      <c r="C86" s="2541">
        <f ca="1">IF(H88="仅含出让金",C87+C90+C91+C92+C93+C94,C87+C91+C92+C93+C94)</f>
        <v>791135</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3.8">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26.4">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3.8">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4">
      <c r="A90" s="169" t="s">
        <v>326</v>
      </c>
      <c r="B90" s="170" t="s">
        <v>1400</v>
      </c>
      <c r="C90" s="2554"/>
      <c r="D90" s="2549"/>
      <c r="E90" s="193" t="str">
        <f>IF(H88="-","土地取得成本中已包含该笔费用"," ")</f>
        <v xml:space="preserve"> </v>
      </c>
      <c r="F90" s="2322"/>
      <c r="G90" s="3755" t="s">
        <v>2111</v>
      </c>
      <c r="H90" s="3756"/>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672" t="s">
        <v>1403</v>
      </c>
      <c r="F91" s="3673"/>
      <c r="G91" s="3673"/>
      <c r="H91" s="1820" t="s">
        <v>4312</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672" t="s">
        <v>1406</v>
      </c>
      <c r="F92" s="3673"/>
      <c r="G92" s="3673"/>
      <c r="H92" s="3682"/>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3205</v>
      </c>
      <c r="D93" s="2549">
        <f>'数据-取费表'!B43</f>
        <v>6.000000000000001E-3</v>
      </c>
      <c r="E93" s="3672" t="s">
        <v>1390</v>
      </c>
      <c r="F93" s="3673"/>
      <c r="G93" s="3673"/>
      <c r="H93" s="3682"/>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683" t="s">
        <v>1410</v>
      </c>
      <c r="F94" s="3684"/>
      <c r="G94" s="3684"/>
      <c r="H94" s="3685"/>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3.8">
      <c r="A95" s="173" t="s">
        <v>334</v>
      </c>
      <c r="B95" s="174" t="s">
        <v>1391</v>
      </c>
      <c r="C95" s="2541">
        <f ca="1">ROUND(C85-C86,0)</f>
        <v>-256910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6"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56" t="s">
        <v>1412</v>
      </c>
      <c r="B100" s="3657"/>
      <c r="C100" s="3657"/>
      <c r="D100" s="3674"/>
      <c r="E100" s="3657" t="s">
        <v>1413</v>
      </c>
      <c r="F100" s="3657"/>
      <c r="G100" s="3657"/>
      <c r="H100" s="3674"/>
      <c r="I100" s="129"/>
    </row>
    <row r="101" spans="1:35" ht="18.75" customHeight="1">
      <c r="A101" s="3735" t="s">
        <v>1414</v>
      </c>
      <c r="B101" s="3736"/>
      <c r="C101" s="2557" t="str">
        <f>C4</f>
        <v>比较法-办公（大宗）</v>
      </c>
      <c r="D101" s="2558" t="str">
        <f>D4</f>
        <v>收益法（汇总）</v>
      </c>
      <c r="E101" s="3750" t="s">
        <v>1415</v>
      </c>
      <c r="F101" s="3706"/>
      <c r="G101" s="1822" t="s">
        <v>1416</v>
      </c>
      <c r="H101" s="2567">
        <f ca="1">H118</f>
        <v>560936</v>
      </c>
      <c r="I101" s="129"/>
    </row>
    <row r="102" spans="1:35" ht="18.75" customHeight="1">
      <c r="A102" s="3708" t="s">
        <v>1417</v>
      </c>
      <c r="B102" s="2556" t="s">
        <v>1416</v>
      </c>
      <c r="C102" s="2557">
        <f ca="1">IF(D32="楼面单价",ROUND(C19,0),C19)</f>
        <v>588536</v>
      </c>
      <c r="D102" s="2558">
        <f ca="1">IF(D32="楼面单价",ROUND(D19,0),D19)</f>
        <v>496536</v>
      </c>
      <c r="E102" s="3750"/>
      <c r="F102" s="3706"/>
      <c r="G102" s="1822" t="s">
        <v>1418</v>
      </c>
      <c r="H102" s="2528">
        <f ca="1">I118</f>
        <v>66483</v>
      </c>
      <c r="I102" s="129"/>
    </row>
    <row r="103" spans="1:35" ht="42.75" customHeight="1">
      <c r="A103" s="3708"/>
      <c r="B103" s="2556" t="s">
        <v>1418</v>
      </c>
      <c r="C103" s="2559">
        <f ca="1">C20</f>
        <v>69754</v>
      </c>
      <c r="D103" s="2560">
        <f ca="1">D20</f>
        <v>58850</v>
      </c>
      <c r="E103" s="3743" t="s">
        <v>1419</v>
      </c>
      <c r="F103" s="3744"/>
      <c r="G103" s="1823" t="s">
        <v>1420</v>
      </c>
      <c r="H103" s="2567">
        <f>IF(D36="正常操作",H104+H105+H106,H105+H106)</f>
        <v>0</v>
      </c>
      <c r="I103" s="129"/>
    </row>
    <row r="104" spans="1:35" ht="18.75" customHeight="1">
      <c r="A104" s="3708" t="s">
        <v>1421</v>
      </c>
      <c r="B104" s="2561" t="s">
        <v>1416</v>
      </c>
      <c r="C104" s="2562">
        <f ca="1">H118</f>
        <v>560936</v>
      </c>
      <c r="D104" s="2563"/>
      <c r="E104" s="1669" t="s">
        <v>1422</v>
      </c>
      <c r="F104" s="1661"/>
      <c r="G104" s="1823" t="s">
        <v>1420</v>
      </c>
      <c r="H104" s="2568">
        <f>IF(D36="同一抵押权人同一抵押物续贷",C36&amp;"（续贷，未扣减，详见特别提示）",C36)</f>
        <v>0</v>
      </c>
      <c r="I104" s="129"/>
    </row>
    <row r="105" spans="1:35" ht="18.75" customHeight="1" thickBot="1">
      <c r="A105" s="3709"/>
      <c r="B105" s="2564" t="s">
        <v>1418</v>
      </c>
      <c r="C105" s="2565">
        <f ca="1">I118</f>
        <v>66483</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705" t="str">
        <f>IF(项目基本情况!E8="已注销","——","3.房地产抵押价值")</f>
        <v>3.房地产抵押价值</v>
      </c>
      <c r="F107" s="3706"/>
      <c r="G107" s="1822" t="s">
        <v>1416</v>
      </c>
      <c r="H107" s="2567">
        <f ca="1">IF(E107="——","——",H101-H103)</f>
        <v>560936</v>
      </c>
      <c r="I107" s="129"/>
    </row>
    <row r="108" spans="1:35" ht="18.75" customHeight="1">
      <c r="A108" s="129"/>
      <c r="B108" s="129"/>
      <c r="C108" s="129"/>
      <c r="D108" s="129"/>
      <c r="E108" s="3705"/>
      <c r="F108" s="3706"/>
      <c r="G108" s="1822" t="s">
        <v>1418</v>
      </c>
      <c r="H108" s="2528">
        <f ca="1">IF(H107=H101,H102,ROUND(H107*10000/'数据-汇总表'!E3,0))</f>
        <v>66483</v>
      </c>
      <c r="I108" s="129"/>
    </row>
    <row r="109" spans="1:35" ht="18.75" customHeight="1">
      <c r="A109" s="129"/>
      <c r="B109" s="129"/>
      <c r="C109" s="129"/>
      <c r="D109" s="129"/>
      <c r="E109" s="3705" t="str">
        <f>IF(项目基本情况!E8="已注销及未注销","4.抵押担保权已注销时的房地产抵押价值",IF(项目基本情况!E8="已注销","3.抵押担保权已注销时的房地产抵押价值","——"))</f>
        <v>——</v>
      </c>
      <c r="F109" s="3706"/>
      <c r="G109" s="1822" t="s">
        <v>1416</v>
      </c>
      <c r="H109" s="2570" t="str">
        <f>IF(E109="——","——",H101-H105-H106)</f>
        <v>——</v>
      </c>
      <c r="I109" s="129"/>
    </row>
    <row r="110" spans="1:35" ht="18.75" customHeight="1">
      <c r="A110" s="129"/>
      <c r="B110" s="129"/>
      <c r="C110" s="129"/>
      <c r="D110" s="129"/>
      <c r="E110" s="3705"/>
      <c r="F110" s="3706"/>
      <c r="G110" s="1822" t="s">
        <v>1418</v>
      </c>
      <c r="H110" s="2528" t="str">
        <f>IF(H109="——","——",ROUND(H109*10000/'数据-汇总表'!E3,0))</f>
        <v>——</v>
      </c>
      <c r="I110" s="129"/>
    </row>
    <row r="111" spans="1:35" ht="18.75" customHeight="1">
      <c r="A111" s="129"/>
      <c r="B111" s="129"/>
      <c r="C111" s="129"/>
      <c r="D111" s="129"/>
      <c r="E111" s="3737" t="str">
        <f>IF(项目基本情况!E9="抵押净值",IF(OR(项目基本情况!E8="已注销",项目基本情况!E8="房地产抵押价值"),"4.抵押净值","5.抵押净值"),"——")</f>
        <v>4.抵押净值</v>
      </c>
      <c r="F111" s="3707"/>
      <c r="G111" s="1822" t="s">
        <v>1416</v>
      </c>
      <c r="H111" s="2567">
        <f ca="1">IF(E111="——","——",N59)</f>
        <v>504028</v>
      </c>
      <c r="I111" s="129"/>
    </row>
    <row r="112" spans="1:35" ht="18.75" customHeight="1" thickBot="1">
      <c r="A112" s="129"/>
      <c r="B112" s="129"/>
      <c r="C112" s="129"/>
      <c r="D112" s="129"/>
      <c r="E112" s="3738"/>
      <c r="F112" s="3739"/>
      <c r="G112" s="1825" t="s">
        <v>1418</v>
      </c>
      <c r="H112" s="2571">
        <f ca="1">IF(E111="——","——",N61)</f>
        <v>59738</v>
      </c>
      <c r="I112" s="129"/>
    </row>
    <row r="113" spans="1:27" ht="18.75" customHeight="1">
      <c r="A113" s="129"/>
      <c r="B113" s="129"/>
      <c r="C113" s="129"/>
      <c r="D113" s="129"/>
      <c r="E113" s="3710" t="s">
        <v>1424</v>
      </c>
      <c r="F113" s="3710"/>
      <c r="G113" s="3710"/>
      <c r="H113" s="3710"/>
      <c r="I113" s="129"/>
    </row>
    <row r="114" spans="1:27" ht="3.75" customHeight="1">
      <c r="A114" s="1742"/>
      <c r="B114" s="1742"/>
      <c r="C114" s="1742"/>
      <c r="D114" s="1742"/>
      <c r="E114" s="1804"/>
      <c r="F114" s="1804"/>
      <c r="G114" s="1804"/>
      <c r="H114" s="1804"/>
      <c r="I114" s="1742"/>
    </row>
    <row r="115" spans="1:27" ht="18.75" customHeight="1">
      <c r="A115" s="3720" t="s">
        <v>1426</v>
      </c>
      <c r="B115" s="3721"/>
      <c r="C115" s="3721"/>
      <c r="D115" s="3721"/>
      <c r="E115" s="3721"/>
      <c r="F115" s="3721"/>
      <c r="G115" s="3721"/>
      <c r="H115" s="3721"/>
      <c r="I115" s="3722"/>
    </row>
    <row r="116" spans="1:27" ht="27" customHeight="1">
      <c r="A116" s="3676" t="s">
        <v>1427</v>
      </c>
      <c r="B116" s="3711" t="s">
        <v>1428</v>
      </c>
      <c r="C116" s="3711" t="s">
        <v>1429</v>
      </c>
      <c r="D116" s="3724" t="s">
        <v>1430</v>
      </c>
      <c r="E116" s="3725"/>
      <c r="F116" s="3719" t="s">
        <v>1431</v>
      </c>
      <c r="G116" s="3719"/>
      <c r="H116" s="3676" t="s">
        <v>1432</v>
      </c>
      <c r="I116" s="3676"/>
    </row>
    <row r="117" spans="1:27" ht="18.75" customHeight="1">
      <c r="A117" s="3676"/>
      <c r="B117" s="3712"/>
      <c r="C117" s="3712"/>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466699</v>
      </c>
      <c r="E118" s="2324">
        <f ca="1">ROUND(IF(C33="自定义",IF(D32="楼面单价",C34,D118*10000/B118),I118-G118),0)</f>
        <v>55314</v>
      </c>
      <c r="F118" s="2324">
        <f ca="1">ROUND(IF(D32="总价",C35,G118*B118/10000),0)</f>
        <v>94237</v>
      </c>
      <c r="G118" s="2324">
        <f ca="1">ROUND(IF(D32="楼面单价",C35,F118*10000/B118),0)</f>
        <v>11169</v>
      </c>
      <c r="H118" s="2324">
        <f ca="1">ROUND(IF(D32="总价",C32,I118*B118/10000),0)</f>
        <v>560936</v>
      </c>
      <c r="I118" s="2324">
        <f ca="1">ROUND(IF(D32="楼面单价",C32,H118*10000/B118),0)</f>
        <v>66483</v>
      </c>
    </row>
    <row r="119" spans="1:27" ht="18.75" customHeight="1">
      <c r="A119" s="3676" t="s">
        <v>1436</v>
      </c>
      <c r="B119" s="3676"/>
      <c r="C119" s="3676"/>
      <c r="D119" s="3716" t="str">
        <f ca="1">NUMBERSTRING(INT(D118*10000),2)&amp;"元整"</f>
        <v>肆拾陆亿陆仟陆佰玖拾玖万元整</v>
      </c>
      <c r="E119" s="3718"/>
      <c r="F119" s="3716" t="str">
        <f ca="1">NUMBERSTRING(INT(F118*10000),2)&amp;"元整"</f>
        <v>玖亿肆仟贰佰叁拾柒万元整</v>
      </c>
      <c r="G119" s="3718"/>
      <c r="H119" s="3716" t="str">
        <f ca="1">NUMBERSTRING(INT(H118*10000),2)&amp;"元整"</f>
        <v>伍拾陆亿零玖佰叁拾陆万元整</v>
      </c>
      <c r="I119" s="3718"/>
    </row>
    <row r="120" spans="1:27" ht="18.75" customHeight="1">
      <c r="A120" s="3740" t="str">
        <f>IF(项目基本情况!B9="房地产市场价值","",MID(E103,3,LEN(E103)-2))</f>
        <v/>
      </c>
      <c r="B120" s="3741"/>
      <c r="C120" s="3742"/>
      <c r="D120" s="3740">
        <f>H103</f>
        <v>0</v>
      </c>
      <c r="E120" s="3741"/>
      <c r="F120" s="3741"/>
      <c r="G120" s="3741"/>
      <c r="H120" s="3741"/>
      <c r="I120" s="3742"/>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716" t="s">
        <v>1436</v>
      </c>
      <c r="B121" s="3717"/>
      <c r="C121" s="3718"/>
      <c r="D121" s="3716" t="str">
        <f>IF(D120=0,"零元整",NUMBERSTRING(INT(D120*10000),2)&amp;"元整")</f>
        <v>零元整</v>
      </c>
      <c r="E121" s="3717"/>
      <c r="F121" s="3717"/>
      <c r="G121" s="3717"/>
      <c r="H121" s="3717"/>
      <c r="I121" s="3718"/>
      <c r="AA121" s="724"/>
    </row>
    <row r="122" spans="1:27" ht="18.75" customHeight="1">
      <c r="A122" s="3707" t="str">
        <f>IF(项目基本情况!B9="房地产市场价值","",MID(E107,3,LEN(E107)-2))</f>
        <v/>
      </c>
      <c r="B122" s="3707"/>
      <c r="C122" s="3707"/>
      <c r="D122" s="3740">
        <f ca="1">H107</f>
        <v>560936</v>
      </c>
      <c r="E122" s="3741"/>
      <c r="F122" s="3741"/>
      <c r="G122" s="3741"/>
      <c r="H122" s="3741"/>
      <c r="I122" s="3742"/>
      <c r="AA122" s="724"/>
    </row>
    <row r="123" spans="1:27" ht="18.75" customHeight="1">
      <c r="A123" s="3676" t="s">
        <v>1436</v>
      </c>
      <c r="B123" s="3676"/>
      <c r="C123" s="3676"/>
      <c r="D123" s="3716" t="str">
        <f ca="1">NUMBERSTRING(INT(D122*10000),2)&amp;"元整"</f>
        <v>伍拾陆亿零玖佰叁拾陆万元整</v>
      </c>
      <c r="E123" s="3717"/>
      <c r="F123" s="3717"/>
      <c r="G123" s="3717"/>
      <c r="H123" s="3717"/>
      <c r="I123" s="3718"/>
      <c r="AA123" s="724"/>
    </row>
    <row r="124" spans="1:27" ht="18.75" customHeight="1">
      <c r="A124" s="3707" t="str">
        <f>IF(项目基本情况!B9="房地产市场价值","",MID(E109,3,LEN(E109)-2))</f>
        <v/>
      </c>
      <c r="B124" s="3707"/>
      <c r="C124" s="3707"/>
      <c r="D124" s="3740" t="str">
        <f>H109</f>
        <v>——</v>
      </c>
      <c r="E124" s="3741"/>
      <c r="F124" s="3741"/>
      <c r="G124" s="3741"/>
      <c r="H124" s="3741"/>
      <c r="I124" s="3742"/>
      <c r="AA124" s="724"/>
    </row>
    <row r="125" spans="1:27" ht="18.75" customHeight="1">
      <c r="A125" s="3676" t="s">
        <v>1436</v>
      </c>
      <c r="B125" s="3676"/>
      <c r="C125" s="3676"/>
      <c r="D125" s="3716" t="e">
        <f>NUMBERSTRING(INT(D124*10000),2)&amp;"元整"</f>
        <v>#VALUE!</v>
      </c>
      <c r="E125" s="3717"/>
      <c r="F125" s="3717"/>
      <c r="G125" s="3717"/>
      <c r="H125" s="3717"/>
      <c r="I125" s="3718"/>
      <c r="AA125" s="724"/>
    </row>
    <row r="126" spans="1:27" ht="18.75" customHeight="1">
      <c r="A126" s="3707" t="str">
        <f>IF(项目基本情况!B9="房地产市场价值","",MID(E111,3,LEN(E111)-2))</f>
        <v/>
      </c>
      <c r="B126" s="3707"/>
      <c r="C126" s="3707"/>
      <c r="D126" s="3740">
        <f ca="1">H111</f>
        <v>504028</v>
      </c>
      <c r="E126" s="3741"/>
      <c r="F126" s="3741"/>
      <c r="G126" s="3741"/>
      <c r="H126" s="3741"/>
      <c r="I126" s="3742"/>
      <c r="AA126" s="724"/>
    </row>
    <row r="127" spans="1:27" ht="18.75" customHeight="1">
      <c r="A127" s="3676" t="s">
        <v>1436</v>
      </c>
      <c r="B127" s="3676"/>
      <c r="C127" s="3676"/>
      <c r="D127" s="3716" t="str">
        <f ca="1">NUMBERSTRING(INT(D126*10000),2)&amp;"元整"</f>
        <v>伍拾亿肆仟零贰拾捌万元整</v>
      </c>
      <c r="E127" s="3717"/>
      <c r="F127" s="3717"/>
      <c r="G127" s="3717"/>
      <c r="H127" s="3717"/>
      <c r="I127" s="3718"/>
      <c r="AA127" s="724"/>
    </row>
    <row r="128" spans="1:27" ht="21.75" customHeight="1">
      <c r="A128" s="3723" t="s">
        <v>1437</v>
      </c>
      <c r="B128" s="3723"/>
      <c r="C128" s="3723"/>
      <c r="D128" s="3723"/>
      <c r="E128" s="3723"/>
      <c r="F128" s="3723"/>
      <c r="G128" s="3723"/>
      <c r="H128" s="3723"/>
      <c r="I128" s="3723"/>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73735.166800000006</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8739</v>
      </c>
      <c r="C3" s="199" t="s">
        <v>1449</v>
      </c>
      <c r="D3" s="199"/>
      <c r="E3" s="199"/>
      <c r="F3" s="199"/>
      <c r="G3" s="199"/>
    </row>
    <row r="4" spans="1:8" s="208" customFormat="1" ht="16.2">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506239</v>
      </c>
      <c r="D20" s="232"/>
      <c r="E20" s="232"/>
      <c r="F20" s="233">
        <f>'数据-取费表'!B37</f>
        <v>1.4999999999999999E-2</v>
      </c>
      <c r="G20" s="234" t="s">
        <v>1560</v>
      </c>
    </row>
    <row r="21" spans="1:7" s="214" customFormat="1" ht="13.5" customHeight="1">
      <c r="A21" s="255" t="s">
        <v>1561</v>
      </c>
      <c r="B21" s="210" t="s">
        <v>1562</v>
      </c>
      <c r="C21" s="235">
        <f>F21</f>
        <v>1.4999999999999999E-2</v>
      </c>
      <c r="D21" s="236" t="s">
        <v>1563</v>
      </c>
      <c r="E21" s="232"/>
      <c r="F21" s="233">
        <f>'数据-取费表'!B38</f>
        <v>1.4999999999999999E-2</v>
      </c>
      <c r="G21" s="234" t="s">
        <v>1564</v>
      </c>
    </row>
    <row r="22" spans="1:7" s="214" customFormat="1" ht="13.5" customHeight="1">
      <c r="A22" s="255" t="s">
        <v>1565</v>
      </c>
      <c r="B22" s="210" t="s">
        <v>1566</v>
      </c>
      <c r="C22" s="1123">
        <f ca="1">ROUND(SUM(C23:C25),0)</f>
        <v>2386333</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17465</v>
      </c>
      <c r="D25" s="238"/>
      <c r="E25" s="241"/>
      <c r="F25" s="239"/>
      <c r="G25" s="242" t="s">
        <v>1572</v>
      </c>
    </row>
    <row r="26" spans="1:7" s="214" customFormat="1">
      <c r="A26" s="776" t="s">
        <v>350</v>
      </c>
      <c r="B26" s="215" t="s">
        <v>1495</v>
      </c>
      <c r="C26" s="238">
        <f ca="1">ROUND(IF('数据-取费表'!B22&lt;=1,F21*F22*'数据-取费表'!B22/2,F21*(POWER((1+F22),'数据-取费表'!B22/2)-1)),4)</f>
        <v>5.0000000000000001E-4</v>
      </c>
      <c r="D26" s="238"/>
      <c r="E26" s="241"/>
      <c r="F26" s="239"/>
      <c r="G26" s="243"/>
    </row>
    <row r="27" spans="1:7" s="214" customFormat="1" ht="26.4">
      <c r="A27" s="255" t="s">
        <v>1496</v>
      </c>
      <c r="B27" s="244" t="s">
        <v>1497</v>
      </c>
      <c r="C27" s="245">
        <f ca="1">C28</f>
        <v>4453212</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ROUND((C5+C19+C20)*F27,0)</f>
        <v>4453212</v>
      </c>
      <c r="D28" s="235"/>
      <c r="E28" s="236"/>
      <c r="F28" s="246"/>
      <c r="G28" s="247"/>
    </row>
    <row r="29" spans="1:7" s="214" customFormat="1" ht="13.5" customHeight="1">
      <c r="A29" s="776" t="s">
        <v>347</v>
      </c>
      <c r="B29" s="248" t="s">
        <v>1501</v>
      </c>
      <c r="C29" s="238">
        <f ca="1">ROUND(C21*F27,4)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44226242</v>
      </c>
      <c r="D31" s="230"/>
      <c r="E31" s="211"/>
      <c r="F31" s="250"/>
      <c r="G31" s="234" t="s">
        <v>1506</v>
      </c>
    </row>
    <row r="32" spans="1:7" s="208" customFormat="1" ht="16.2">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8340281</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19470386</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57" t="s">
        <v>1575</v>
      </c>
    </row>
    <row r="43" spans="1:7" ht="13.5" customHeight="1">
      <c r="A43" s="776" t="s">
        <v>347</v>
      </c>
      <c r="B43" s="215" t="s">
        <v>1529</v>
      </c>
      <c r="C43" s="238">
        <f ca="1">ROUND(IF('数据-取费表'!B22&lt;=1,C39*F22*'数据-取费表'!B20/2,C39*(POWER((1+F22),'数据-取费表'!B20/2)-1)),0)</f>
        <v>287740</v>
      </c>
      <c r="D43" s="238"/>
      <c r="E43" s="238"/>
      <c r="F43" s="239"/>
      <c r="G43" s="3758"/>
    </row>
    <row r="44" spans="1:7" ht="13.5" customHeight="1">
      <c r="A44" s="776" t="s">
        <v>348</v>
      </c>
      <c r="B44" s="215" t="s">
        <v>1530</v>
      </c>
      <c r="C44" s="238">
        <f ca="1">ROUND(IF('数据-取费表'!B22&lt;=1,C40*F22*'数据-取费表'!B20/2,C40*(POWER((1+F22),'数据-取费表'!B20/2)-1)),4)</f>
        <v>5.0000000000000001E-4</v>
      </c>
      <c r="D44" s="238"/>
      <c r="E44" s="238"/>
      <c r="F44" s="239"/>
      <c r="G44" s="3759"/>
    </row>
    <row r="45" spans="1:7" s="214" customFormat="1" ht="13.5" customHeight="1">
      <c r="A45" s="255" t="s">
        <v>1531</v>
      </c>
      <c r="B45" s="244" t="s">
        <v>1497</v>
      </c>
      <c r="C45" s="245">
        <f ca="1">C46</f>
        <v>73366671</v>
      </c>
      <c r="D45" s="235">
        <f ca="1">C47</f>
        <v>2E-3</v>
      </c>
      <c r="E45" s="236" t="s">
        <v>1523</v>
      </c>
      <c r="F45" s="246">
        <f ca="1">F27</f>
        <v>0.13</v>
      </c>
      <c r="G45" s="247" t="s">
        <v>1532</v>
      </c>
    </row>
    <row r="46" spans="1:7" s="214" customFormat="1" ht="13.5" customHeight="1">
      <c r="A46" s="776" t="s">
        <v>346</v>
      </c>
      <c r="B46" s="248" t="s">
        <v>1533</v>
      </c>
      <c r="C46" s="249">
        <f ca="1">ROUND((C33+C39)*F27,0)</f>
        <v>73366671</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707270843</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693125426</v>
      </c>
      <c r="D51" s="232"/>
      <c r="E51" s="232"/>
      <c r="F51" s="264"/>
      <c r="G51" s="234" t="s">
        <v>1544</v>
      </c>
    </row>
    <row r="52" spans="1:7" s="208" customFormat="1" ht="16.8" thickBot="1">
      <c r="A52" s="265" t="s">
        <v>1545</v>
      </c>
      <c r="B52" s="266"/>
      <c r="C52" s="267">
        <f ca="1">C31+C51</f>
        <v>737351668</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77" customWidth="1"/>
    <col min="3" max="3" width="10.33203125" style="819" customWidth="1"/>
    <col min="4" max="4" width="9.88671875" style="777" customWidth="1"/>
    <col min="5" max="5" width="9.44140625" style="727"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4.4">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1.4999999999999999E-2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1.4999999999999999E-2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3" customWidth="1"/>
    <col min="12" max="12" width="16.33203125" style="258" customWidth="1"/>
    <col min="13" max="13" width="13" style="258" customWidth="1"/>
    <col min="14" max="14" width="13.77734375" style="1379" customWidth="1"/>
    <col min="15" max="15" width="5.109375" style="1379" customWidth="1"/>
    <col min="16" max="16" width="25.77734375" style="1379" customWidth="1"/>
    <col min="17" max="17" width="13.77734375" style="1379" customWidth="1"/>
    <col min="18" max="18" width="20.44140625" style="1379" customWidth="1"/>
    <col min="19" max="19" width="13.21875" style="1379" customWidth="1"/>
    <col min="20" max="37" width="9" style="1379"/>
    <col min="38" max="16384" width="9" style="258"/>
  </cols>
  <sheetData>
    <row r="1" spans="1:37" s="293" customFormat="1" ht="21.6">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60" t="s">
        <v>694</v>
      </c>
      <c r="C6" s="1070">
        <f ca="1">ROUND(F6*F8*F7*(1-F9),0)</f>
        <v>0</v>
      </c>
      <c r="D6" s="155" t="s">
        <v>2088</v>
      </c>
      <c r="E6" s="302" t="s">
        <v>696</v>
      </c>
      <c r="F6" s="303">
        <f ca="1">INDIRECT("'数据-取费表'!u"&amp;$G$1)</f>
        <v>0</v>
      </c>
      <c r="G6" s="1379"/>
      <c r="H6" s="1065" t="s">
        <v>398</v>
      </c>
      <c r="I6" s="3760" t="s">
        <v>694</v>
      </c>
      <c r="J6" s="301">
        <f ca="1">ROUND(M6*M8*M7*(1-M9),0)</f>
        <v>0</v>
      </c>
      <c r="K6" s="1371" t="s">
        <v>2089</v>
      </c>
      <c r="L6" s="302" t="s">
        <v>696</v>
      </c>
      <c r="M6" s="303">
        <f ca="1">INDIRECT("'数据-取费表'!z"&amp;$G$1)</f>
        <v>0</v>
      </c>
    </row>
    <row r="7" spans="1:37" ht="18" customHeight="1">
      <c r="A7" s="1069"/>
      <c r="B7" s="3761"/>
      <c r="C7" s="1071"/>
      <c r="D7" s="307"/>
      <c r="E7" s="1072" t="s">
        <v>697</v>
      </c>
      <c r="F7" s="303">
        <f ca="1">IF(INDIRECT("'数据-取费表'!ah"&amp;$G$1)="",INDIRECT("'数据-取费表'!k"&amp;$G$1),INDIRECT("'数据-取费表'!ah"&amp;$G$1))</f>
        <v>0</v>
      </c>
      <c r="G7" s="1379"/>
      <c r="H7" s="304"/>
      <c r="I7" s="3761"/>
      <c r="J7" s="306"/>
      <c r="K7" s="307"/>
      <c r="L7" s="302" t="s">
        <v>697</v>
      </c>
      <c r="M7" s="303">
        <f ca="1">F7</f>
        <v>0</v>
      </c>
    </row>
    <row r="8" spans="1:37" ht="18" customHeight="1">
      <c r="A8" s="304"/>
      <c r="B8" s="3761"/>
      <c r="C8" s="306"/>
      <c r="D8" s="307"/>
      <c r="E8" s="302" t="s">
        <v>698</v>
      </c>
      <c r="F8" s="303">
        <f ca="1">INDIRECT("'数据-取费表'!ai"&amp;$G$1)</f>
        <v>0</v>
      </c>
      <c r="G8" s="1379"/>
      <c r="H8" s="304"/>
      <c r="I8" s="3761"/>
      <c r="J8" s="306"/>
      <c r="K8" s="307"/>
      <c r="L8" s="302" t="s">
        <v>698</v>
      </c>
      <c r="M8" s="303">
        <f ca="1">INDIRECT("'数据-取费表'!ai"&amp;$G$1)</f>
        <v>0</v>
      </c>
    </row>
    <row r="9" spans="1:37" ht="18" customHeight="1">
      <c r="A9" s="304"/>
      <c r="B9" s="3762"/>
      <c r="C9" s="306"/>
      <c r="D9" s="307"/>
      <c r="E9" s="302" t="s">
        <v>699</v>
      </c>
      <c r="F9" s="312">
        <f ca="1">INDIRECT("'数据-取费表'!w"&amp;$G$1)</f>
        <v>0</v>
      </c>
      <c r="G9" s="1379"/>
      <c r="H9" s="304"/>
      <c r="I9" s="3762"/>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8"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8"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40.200000000000003"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8"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8"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8"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8"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63" t="s">
        <v>837</v>
      </c>
      <c r="L53" s="3764"/>
      <c r="O53" s="1413" t="s">
        <v>409</v>
      </c>
      <c r="P53" s="1414" t="s">
        <v>838</v>
      </c>
      <c r="Q53" s="1415" t="e">
        <f ca="1">Q47+Q48</f>
        <v>#DIV/0!</v>
      </c>
      <c r="R53" s="1415" t="s">
        <v>410</v>
      </c>
    </row>
    <row r="54" spans="1:18" s="1379" customFormat="1" ht="13.8"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8"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6"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6"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6"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2"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8"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8"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8"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8"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8"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2"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24.6"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2"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8" thickBot="1">
      <c r="A69" s="947"/>
      <c r="B69" s="948"/>
      <c r="C69" s="306"/>
      <c r="D69" s="966" t="s">
        <v>762</v>
      </c>
      <c r="E69" s="946" t="s">
        <v>763</v>
      </c>
      <c r="F69" s="333">
        <f ca="1">F41</f>
        <v>0</v>
      </c>
      <c r="O69" s="1423" t="s">
        <v>411</v>
      </c>
      <c r="P69" s="1462" t="s">
        <v>872</v>
      </c>
      <c r="Q69" s="1415">
        <f ca="1">C39</f>
        <v>0</v>
      </c>
      <c r="R69" s="1415" t="s">
        <v>818</v>
      </c>
    </row>
    <row r="70" spans="1:18" s="1379" customFormat="1" ht="13.8" thickBot="1">
      <c r="A70" s="950"/>
      <c r="B70" s="951"/>
      <c r="C70" s="310"/>
      <c r="D70" s="962"/>
      <c r="E70" s="946" t="s">
        <v>766</v>
      </c>
      <c r="F70" s="1050"/>
      <c r="O70" s="1423" t="s">
        <v>412</v>
      </c>
      <c r="P70" s="1462" t="s">
        <v>873</v>
      </c>
      <c r="Q70" s="1415">
        <f ca="1">C13</f>
        <v>0</v>
      </c>
      <c r="R70" s="1415" t="s">
        <v>818</v>
      </c>
    </row>
    <row r="71" spans="1:18" s="1379" customFormat="1" ht="13.8"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8" thickBot="1">
      <c r="B72" s="725"/>
      <c r="C72" s="725"/>
      <c r="O72" s="1423" t="s">
        <v>407</v>
      </c>
      <c r="P72" s="1414" t="s">
        <v>852</v>
      </c>
      <c r="Q72" s="1426">
        <f>L52</f>
        <v>0</v>
      </c>
      <c r="R72" s="1415"/>
    </row>
    <row r="73" spans="1:18" ht="16.2" thickBot="1">
      <c r="A73" s="1379"/>
      <c r="B73" s="725"/>
      <c r="C73" s="725"/>
      <c r="D73" s="1379"/>
      <c r="E73" s="1379"/>
      <c r="F73" s="1379"/>
      <c r="O73" s="1423" t="s">
        <v>408</v>
      </c>
      <c r="P73" s="1414" t="s">
        <v>855</v>
      </c>
      <c r="Q73" s="1415" t="e">
        <f ca="1">L58</f>
        <v>#DIV/0!</v>
      </c>
      <c r="R73" s="1415" t="s">
        <v>856</v>
      </c>
    </row>
    <row r="74" spans="1:18" ht="13.8"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8"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13" customWidth="1"/>
    <col min="2" max="2" width="8.88671875" style="2813"/>
    <col min="3" max="5" width="12.88671875" style="2813" customWidth="1"/>
    <col min="6" max="6" width="47.44140625" style="2813" customWidth="1"/>
    <col min="7" max="7" width="13" style="2972" customWidth="1"/>
    <col min="8" max="8" width="8.88671875" style="2807"/>
    <col min="9" max="9" width="8.88671875" style="2808"/>
    <col min="10" max="10" width="5.77734375" style="2973" customWidth="1"/>
    <col min="11" max="11" width="11.77734375" style="2973" customWidth="1"/>
    <col min="12" max="13" width="10.77734375" style="2973" customWidth="1"/>
    <col min="14" max="14" width="10" style="2973" customWidth="1"/>
    <col min="15" max="16" width="10.44140625" style="2973" bestFit="1" customWidth="1"/>
    <col min="17" max="17" width="10" style="2973" customWidth="1"/>
    <col min="18" max="18" width="10.109375" style="2973" customWidth="1"/>
    <col min="19" max="19" width="10" style="2973" customWidth="1"/>
    <col min="20" max="20" width="26.109375" style="2973" customWidth="1"/>
    <col min="21" max="21" width="8.88671875" style="2973"/>
    <col min="22" max="22" width="8.88671875" style="2808"/>
    <col min="23" max="256" width="8.88671875" style="2813"/>
    <col min="257" max="257" width="9.44140625" style="2813" customWidth="1"/>
    <col min="258" max="258" width="8.88671875" style="2813"/>
    <col min="259" max="261" width="12.88671875" style="2813" customWidth="1"/>
    <col min="262" max="262" width="47.44140625" style="2813" customWidth="1"/>
    <col min="263" max="263" width="13" style="2813" customWidth="1"/>
    <col min="264" max="265" width="8.88671875" style="2813"/>
    <col min="266" max="266" width="5.77734375" style="2813" customWidth="1"/>
    <col min="267" max="267" width="11.77734375" style="2813" customWidth="1"/>
    <col min="268" max="269" width="10.77734375" style="2813" customWidth="1"/>
    <col min="270" max="270" width="10" style="2813" customWidth="1"/>
    <col min="271" max="272" width="10.44140625" style="2813" bestFit="1" customWidth="1"/>
    <col min="273" max="273" width="10" style="2813" customWidth="1"/>
    <col min="274" max="274" width="10.109375" style="2813" customWidth="1"/>
    <col min="275" max="275" width="10" style="2813" customWidth="1"/>
    <col min="276" max="276" width="26.109375" style="2813" customWidth="1"/>
    <col min="277" max="512" width="8.88671875" style="2813"/>
    <col min="513" max="513" width="9.44140625" style="2813" customWidth="1"/>
    <col min="514" max="514" width="8.88671875" style="2813"/>
    <col min="515" max="517" width="12.88671875" style="2813" customWidth="1"/>
    <col min="518" max="518" width="47.44140625" style="2813" customWidth="1"/>
    <col min="519" max="519" width="13" style="2813" customWidth="1"/>
    <col min="520" max="521" width="8.88671875" style="2813"/>
    <col min="522" max="522" width="5.77734375" style="2813" customWidth="1"/>
    <col min="523" max="523" width="11.77734375" style="2813" customWidth="1"/>
    <col min="524" max="525" width="10.77734375" style="2813" customWidth="1"/>
    <col min="526" max="526" width="10" style="2813" customWidth="1"/>
    <col min="527" max="528" width="10.44140625" style="2813" bestFit="1" customWidth="1"/>
    <col min="529" max="529" width="10" style="2813" customWidth="1"/>
    <col min="530" max="530" width="10.109375" style="2813" customWidth="1"/>
    <col min="531" max="531" width="10" style="2813" customWidth="1"/>
    <col min="532" max="532" width="26.109375" style="2813" customWidth="1"/>
    <col min="533" max="768" width="8.88671875" style="2813"/>
    <col min="769" max="769" width="9.44140625" style="2813" customWidth="1"/>
    <col min="770" max="770" width="8.88671875" style="2813"/>
    <col min="771" max="773" width="12.88671875" style="2813" customWidth="1"/>
    <col min="774" max="774" width="47.44140625" style="2813" customWidth="1"/>
    <col min="775" max="775" width="13" style="2813" customWidth="1"/>
    <col min="776" max="777" width="8.88671875" style="2813"/>
    <col min="778" max="778" width="5.77734375" style="2813" customWidth="1"/>
    <col min="779" max="779" width="11.77734375" style="2813" customWidth="1"/>
    <col min="780" max="781" width="10.77734375" style="2813" customWidth="1"/>
    <col min="782" max="782" width="10" style="2813" customWidth="1"/>
    <col min="783" max="784" width="10.44140625" style="2813" bestFit="1" customWidth="1"/>
    <col min="785" max="785" width="10" style="2813" customWidth="1"/>
    <col min="786" max="786" width="10.109375" style="2813" customWidth="1"/>
    <col min="787" max="787" width="10" style="2813" customWidth="1"/>
    <col min="788" max="788" width="26.109375" style="2813" customWidth="1"/>
    <col min="789" max="1024" width="8.88671875" style="2813"/>
    <col min="1025" max="1025" width="9.44140625" style="2813" customWidth="1"/>
    <col min="1026" max="1026" width="8.88671875" style="2813"/>
    <col min="1027" max="1029" width="12.88671875" style="2813" customWidth="1"/>
    <col min="1030" max="1030" width="47.44140625" style="2813" customWidth="1"/>
    <col min="1031" max="1031" width="13" style="2813" customWidth="1"/>
    <col min="1032" max="1033" width="8.88671875" style="2813"/>
    <col min="1034" max="1034" width="5.77734375" style="2813" customWidth="1"/>
    <col min="1035" max="1035" width="11.77734375" style="2813" customWidth="1"/>
    <col min="1036" max="1037" width="10.77734375" style="2813" customWidth="1"/>
    <col min="1038" max="1038" width="10" style="2813" customWidth="1"/>
    <col min="1039" max="1040" width="10.44140625" style="2813" bestFit="1" customWidth="1"/>
    <col min="1041" max="1041" width="10" style="2813" customWidth="1"/>
    <col min="1042" max="1042" width="10.109375" style="2813" customWidth="1"/>
    <col min="1043" max="1043" width="10" style="2813" customWidth="1"/>
    <col min="1044" max="1044" width="26.109375" style="2813" customWidth="1"/>
    <col min="1045" max="1280" width="8.88671875" style="2813"/>
    <col min="1281" max="1281" width="9.44140625" style="2813" customWidth="1"/>
    <col min="1282" max="1282" width="8.88671875" style="2813"/>
    <col min="1283" max="1285" width="12.88671875" style="2813" customWidth="1"/>
    <col min="1286" max="1286" width="47.44140625" style="2813" customWidth="1"/>
    <col min="1287" max="1287" width="13" style="2813" customWidth="1"/>
    <col min="1288" max="1289" width="8.88671875" style="2813"/>
    <col min="1290" max="1290" width="5.77734375" style="2813" customWidth="1"/>
    <col min="1291" max="1291" width="11.77734375" style="2813" customWidth="1"/>
    <col min="1292" max="1293" width="10.77734375" style="2813" customWidth="1"/>
    <col min="1294" max="1294" width="10" style="2813" customWidth="1"/>
    <col min="1295" max="1296" width="10.44140625" style="2813" bestFit="1" customWidth="1"/>
    <col min="1297" max="1297" width="10" style="2813" customWidth="1"/>
    <col min="1298" max="1298" width="10.109375" style="2813" customWidth="1"/>
    <col min="1299" max="1299" width="10" style="2813" customWidth="1"/>
    <col min="1300" max="1300" width="26.109375" style="2813" customWidth="1"/>
    <col min="1301" max="1536" width="8.88671875" style="2813"/>
    <col min="1537" max="1537" width="9.44140625" style="2813" customWidth="1"/>
    <col min="1538" max="1538" width="8.88671875" style="2813"/>
    <col min="1539" max="1541" width="12.88671875" style="2813" customWidth="1"/>
    <col min="1542" max="1542" width="47.44140625" style="2813" customWidth="1"/>
    <col min="1543" max="1543" width="13" style="2813" customWidth="1"/>
    <col min="1544" max="1545" width="8.88671875" style="2813"/>
    <col min="1546" max="1546" width="5.77734375" style="2813" customWidth="1"/>
    <col min="1547" max="1547" width="11.77734375" style="2813" customWidth="1"/>
    <col min="1548" max="1549" width="10.77734375" style="2813" customWidth="1"/>
    <col min="1550" max="1550" width="10" style="2813" customWidth="1"/>
    <col min="1551" max="1552" width="10.44140625" style="2813" bestFit="1" customWidth="1"/>
    <col min="1553" max="1553" width="10" style="2813" customWidth="1"/>
    <col min="1554" max="1554" width="10.109375" style="2813" customWidth="1"/>
    <col min="1555" max="1555" width="10" style="2813" customWidth="1"/>
    <col min="1556" max="1556" width="26.109375" style="2813" customWidth="1"/>
    <col min="1557" max="1792" width="8.88671875" style="2813"/>
    <col min="1793" max="1793" width="9.44140625" style="2813" customWidth="1"/>
    <col min="1794" max="1794" width="8.88671875" style="2813"/>
    <col min="1795" max="1797" width="12.88671875" style="2813" customWidth="1"/>
    <col min="1798" max="1798" width="47.44140625" style="2813" customWidth="1"/>
    <col min="1799" max="1799" width="13" style="2813" customWidth="1"/>
    <col min="1800" max="1801" width="8.88671875" style="2813"/>
    <col min="1802" max="1802" width="5.77734375" style="2813" customWidth="1"/>
    <col min="1803" max="1803" width="11.77734375" style="2813" customWidth="1"/>
    <col min="1804" max="1805" width="10.77734375" style="2813" customWidth="1"/>
    <col min="1806" max="1806" width="10" style="2813" customWidth="1"/>
    <col min="1807" max="1808" width="10.44140625" style="2813" bestFit="1" customWidth="1"/>
    <col min="1809" max="1809" width="10" style="2813" customWidth="1"/>
    <col min="1810" max="1810" width="10.109375" style="2813" customWidth="1"/>
    <col min="1811" max="1811" width="10" style="2813" customWidth="1"/>
    <col min="1812" max="1812" width="26.109375" style="2813" customWidth="1"/>
    <col min="1813" max="2048" width="8.88671875" style="2813"/>
    <col min="2049" max="2049" width="9.44140625" style="2813" customWidth="1"/>
    <col min="2050" max="2050" width="8.88671875" style="2813"/>
    <col min="2051" max="2053" width="12.88671875" style="2813" customWidth="1"/>
    <col min="2054" max="2054" width="47.44140625" style="2813" customWidth="1"/>
    <col min="2055" max="2055" width="13" style="2813" customWidth="1"/>
    <col min="2056" max="2057" width="8.88671875" style="2813"/>
    <col min="2058" max="2058" width="5.77734375" style="2813" customWidth="1"/>
    <col min="2059" max="2059" width="11.77734375" style="2813" customWidth="1"/>
    <col min="2060" max="2061" width="10.77734375" style="2813" customWidth="1"/>
    <col min="2062" max="2062" width="10" style="2813" customWidth="1"/>
    <col min="2063" max="2064" width="10.44140625" style="2813" bestFit="1" customWidth="1"/>
    <col min="2065" max="2065" width="10" style="2813" customWidth="1"/>
    <col min="2066" max="2066" width="10.109375" style="2813" customWidth="1"/>
    <col min="2067" max="2067" width="10" style="2813" customWidth="1"/>
    <col min="2068" max="2068" width="26.109375" style="2813" customWidth="1"/>
    <col min="2069" max="2304" width="8.88671875" style="2813"/>
    <col min="2305" max="2305" width="9.44140625" style="2813" customWidth="1"/>
    <col min="2306" max="2306" width="8.88671875" style="2813"/>
    <col min="2307" max="2309" width="12.88671875" style="2813" customWidth="1"/>
    <col min="2310" max="2310" width="47.44140625" style="2813" customWidth="1"/>
    <col min="2311" max="2311" width="13" style="2813" customWidth="1"/>
    <col min="2312" max="2313" width="8.88671875" style="2813"/>
    <col min="2314" max="2314" width="5.77734375" style="2813" customWidth="1"/>
    <col min="2315" max="2315" width="11.77734375" style="2813" customWidth="1"/>
    <col min="2316" max="2317" width="10.77734375" style="2813" customWidth="1"/>
    <col min="2318" max="2318" width="10" style="2813" customWidth="1"/>
    <col min="2319" max="2320" width="10.44140625" style="2813" bestFit="1" customWidth="1"/>
    <col min="2321" max="2321" width="10" style="2813" customWidth="1"/>
    <col min="2322" max="2322" width="10.109375" style="2813" customWidth="1"/>
    <col min="2323" max="2323" width="10" style="2813" customWidth="1"/>
    <col min="2324" max="2324" width="26.109375" style="2813" customWidth="1"/>
    <col min="2325" max="2560" width="8.88671875" style="2813"/>
    <col min="2561" max="2561" width="9.44140625" style="2813" customWidth="1"/>
    <col min="2562" max="2562" width="8.88671875" style="2813"/>
    <col min="2563" max="2565" width="12.88671875" style="2813" customWidth="1"/>
    <col min="2566" max="2566" width="47.44140625" style="2813" customWidth="1"/>
    <col min="2567" max="2567" width="13" style="2813" customWidth="1"/>
    <col min="2568" max="2569" width="8.88671875" style="2813"/>
    <col min="2570" max="2570" width="5.77734375" style="2813" customWidth="1"/>
    <col min="2571" max="2571" width="11.77734375" style="2813" customWidth="1"/>
    <col min="2572" max="2573" width="10.77734375" style="2813" customWidth="1"/>
    <col min="2574" max="2574" width="10" style="2813" customWidth="1"/>
    <col min="2575" max="2576" width="10.44140625" style="2813" bestFit="1" customWidth="1"/>
    <col min="2577" max="2577" width="10" style="2813" customWidth="1"/>
    <col min="2578" max="2578" width="10.109375" style="2813" customWidth="1"/>
    <col min="2579" max="2579" width="10" style="2813" customWidth="1"/>
    <col min="2580" max="2580" width="26.109375" style="2813" customWidth="1"/>
    <col min="2581" max="2816" width="8.88671875" style="2813"/>
    <col min="2817" max="2817" width="9.44140625" style="2813" customWidth="1"/>
    <col min="2818" max="2818" width="8.88671875" style="2813"/>
    <col min="2819" max="2821" width="12.88671875" style="2813" customWidth="1"/>
    <col min="2822" max="2822" width="47.44140625" style="2813" customWidth="1"/>
    <col min="2823" max="2823" width="13" style="2813" customWidth="1"/>
    <col min="2824" max="2825" width="8.88671875" style="2813"/>
    <col min="2826" max="2826" width="5.77734375" style="2813" customWidth="1"/>
    <col min="2827" max="2827" width="11.77734375" style="2813" customWidth="1"/>
    <col min="2828" max="2829" width="10.77734375" style="2813" customWidth="1"/>
    <col min="2830" max="2830" width="10" style="2813" customWidth="1"/>
    <col min="2831" max="2832" width="10.44140625" style="2813" bestFit="1" customWidth="1"/>
    <col min="2833" max="2833" width="10" style="2813" customWidth="1"/>
    <col min="2834" max="2834" width="10.109375" style="2813" customWidth="1"/>
    <col min="2835" max="2835" width="10" style="2813" customWidth="1"/>
    <col min="2836" max="2836" width="26.109375" style="2813" customWidth="1"/>
    <col min="2837" max="3072" width="8.88671875" style="2813"/>
    <col min="3073" max="3073" width="9.44140625" style="2813" customWidth="1"/>
    <col min="3074" max="3074" width="8.88671875" style="2813"/>
    <col min="3075" max="3077" width="12.88671875" style="2813" customWidth="1"/>
    <col min="3078" max="3078" width="47.44140625" style="2813" customWidth="1"/>
    <col min="3079" max="3079" width="13" style="2813" customWidth="1"/>
    <col min="3080" max="3081" width="8.88671875" style="2813"/>
    <col min="3082" max="3082" width="5.77734375" style="2813" customWidth="1"/>
    <col min="3083" max="3083" width="11.77734375" style="2813" customWidth="1"/>
    <col min="3084" max="3085" width="10.77734375" style="2813" customWidth="1"/>
    <col min="3086" max="3086" width="10" style="2813" customWidth="1"/>
    <col min="3087" max="3088" width="10.44140625" style="2813" bestFit="1" customWidth="1"/>
    <col min="3089" max="3089" width="10" style="2813" customWidth="1"/>
    <col min="3090" max="3090" width="10.109375" style="2813" customWidth="1"/>
    <col min="3091" max="3091" width="10" style="2813" customWidth="1"/>
    <col min="3092" max="3092" width="26.109375" style="2813" customWidth="1"/>
    <col min="3093" max="3328" width="8.88671875" style="2813"/>
    <col min="3329" max="3329" width="9.44140625" style="2813" customWidth="1"/>
    <col min="3330" max="3330" width="8.88671875" style="2813"/>
    <col min="3331" max="3333" width="12.88671875" style="2813" customWidth="1"/>
    <col min="3334" max="3334" width="47.44140625" style="2813" customWidth="1"/>
    <col min="3335" max="3335" width="13" style="2813" customWidth="1"/>
    <col min="3336" max="3337" width="8.88671875" style="2813"/>
    <col min="3338" max="3338" width="5.77734375" style="2813" customWidth="1"/>
    <col min="3339" max="3339" width="11.77734375" style="2813" customWidth="1"/>
    <col min="3340" max="3341" width="10.77734375" style="2813" customWidth="1"/>
    <col min="3342" max="3342" width="10" style="2813" customWidth="1"/>
    <col min="3343" max="3344" width="10.44140625" style="2813" bestFit="1" customWidth="1"/>
    <col min="3345" max="3345" width="10" style="2813" customWidth="1"/>
    <col min="3346" max="3346" width="10.109375" style="2813" customWidth="1"/>
    <col min="3347" max="3347" width="10" style="2813" customWidth="1"/>
    <col min="3348" max="3348" width="26.109375" style="2813" customWidth="1"/>
    <col min="3349" max="3584" width="8.88671875" style="2813"/>
    <col min="3585" max="3585" width="9.44140625" style="2813" customWidth="1"/>
    <col min="3586" max="3586" width="8.88671875" style="2813"/>
    <col min="3587" max="3589" width="12.88671875" style="2813" customWidth="1"/>
    <col min="3590" max="3590" width="47.44140625" style="2813" customWidth="1"/>
    <col min="3591" max="3591" width="13" style="2813" customWidth="1"/>
    <col min="3592" max="3593" width="8.88671875" style="2813"/>
    <col min="3594" max="3594" width="5.77734375" style="2813" customWidth="1"/>
    <col min="3595" max="3595" width="11.77734375" style="2813" customWidth="1"/>
    <col min="3596" max="3597" width="10.77734375" style="2813" customWidth="1"/>
    <col min="3598" max="3598" width="10" style="2813" customWidth="1"/>
    <col min="3599" max="3600" width="10.44140625" style="2813" bestFit="1" customWidth="1"/>
    <col min="3601" max="3601" width="10" style="2813" customWidth="1"/>
    <col min="3602" max="3602" width="10.109375" style="2813" customWidth="1"/>
    <col min="3603" max="3603" width="10" style="2813" customWidth="1"/>
    <col min="3604" max="3604" width="26.109375" style="2813" customWidth="1"/>
    <col min="3605" max="3840" width="8.88671875" style="2813"/>
    <col min="3841" max="3841" width="9.44140625" style="2813" customWidth="1"/>
    <col min="3842" max="3842" width="8.88671875" style="2813"/>
    <col min="3843" max="3845" width="12.88671875" style="2813" customWidth="1"/>
    <col min="3846" max="3846" width="47.44140625" style="2813" customWidth="1"/>
    <col min="3847" max="3847" width="13" style="2813" customWidth="1"/>
    <col min="3848" max="3849" width="8.88671875" style="2813"/>
    <col min="3850" max="3850" width="5.77734375" style="2813" customWidth="1"/>
    <col min="3851" max="3851" width="11.77734375" style="2813" customWidth="1"/>
    <col min="3852" max="3853" width="10.77734375" style="2813" customWidth="1"/>
    <col min="3854" max="3854" width="10" style="2813" customWidth="1"/>
    <col min="3855" max="3856" width="10.44140625" style="2813" bestFit="1" customWidth="1"/>
    <col min="3857" max="3857" width="10" style="2813" customWidth="1"/>
    <col min="3858" max="3858" width="10.109375" style="2813" customWidth="1"/>
    <col min="3859" max="3859" width="10" style="2813" customWidth="1"/>
    <col min="3860" max="3860" width="26.109375" style="2813" customWidth="1"/>
    <col min="3861" max="4096" width="8.88671875" style="2813"/>
    <col min="4097" max="4097" width="9.44140625" style="2813" customWidth="1"/>
    <col min="4098" max="4098" width="8.88671875" style="2813"/>
    <col min="4099" max="4101" width="12.88671875" style="2813" customWidth="1"/>
    <col min="4102" max="4102" width="47.44140625" style="2813" customWidth="1"/>
    <col min="4103" max="4103" width="13" style="2813" customWidth="1"/>
    <col min="4104" max="4105" width="8.88671875" style="2813"/>
    <col min="4106" max="4106" width="5.77734375" style="2813" customWidth="1"/>
    <col min="4107" max="4107" width="11.77734375" style="2813" customWidth="1"/>
    <col min="4108" max="4109" width="10.77734375" style="2813" customWidth="1"/>
    <col min="4110" max="4110" width="10" style="2813" customWidth="1"/>
    <col min="4111" max="4112" width="10.44140625" style="2813" bestFit="1" customWidth="1"/>
    <col min="4113" max="4113" width="10" style="2813" customWidth="1"/>
    <col min="4114" max="4114" width="10.109375" style="2813" customWidth="1"/>
    <col min="4115" max="4115" width="10" style="2813" customWidth="1"/>
    <col min="4116" max="4116" width="26.109375" style="2813" customWidth="1"/>
    <col min="4117" max="4352" width="8.88671875" style="2813"/>
    <col min="4353" max="4353" width="9.44140625" style="2813" customWidth="1"/>
    <col min="4354" max="4354" width="8.88671875" style="2813"/>
    <col min="4355" max="4357" width="12.88671875" style="2813" customWidth="1"/>
    <col min="4358" max="4358" width="47.44140625" style="2813" customWidth="1"/>
    <col min="4359" max="4359" width="13" style="2813" customWidth="1"/>
    <col min="4360" max="4361" width="8.88671875" style="2813"/>
    <col min="4362" max="4362" width="5.77734375" style="2813" customWidth="1"/>
    <col min="4363" max="4363" width="11.77734375" style="2813" customWidth="1"/>
    <col min="4364" max="4365" width="10.77734375" style="2813" customWidth="1"/>
    <col min="4366" max="4366" width="10" style="2813" customWidth="1"/>
    <col min="4367" max="4368" width="10.44140625" style="2813" bestFit="1" customWidth="1"/>
    <col min="4369" max="4369" width="10" style="2813" customWidth="1"/>
    <col min="4370" max="4370" width="10.109375" style="2813" customWidth="1"/>
    <col min="4371" max="4371" width="10" style="2813" customWidth="1"/>
    <col min="4372" max="4372" width="26.109375" style="2813" customWidth="1"/>
    <col min="4373" max="4608" width="8.88671875" style="2813"/>
    <col min="4609" max="4609" width="9.44140625" style="2813" customWidth="1"/>
    <col min="4610" max="4610" width="8.88671875" style="2813"/>
    <col min="4611" max="4613" width="12.88671875" style="2813" customWidth="1"/>
    <col min="4614" max="4614" width="47.44140625" style="2813" customWidth="1"/>
    <col min="4615" max="4615" width="13" style="2813" customWidth="1"/>
    <col min="4616" max="4617" width="8.88671875" style="2813"/>
    <col min="4618" max="4618" width="5.77734375" style="2813" customWidth="1"/>
    <col min="4619" max="4619" width="11.77734375" style="2813" customWidth="1"/>
    <col min="4620" max="4621" width="10.77734375" style="2813" customWidth="1"/>
    <col min="4622" max="4622" width="10" style="2813" customWidth="1"/>
    <col min="4623" max="4624" width="10.44140625" style="2813" bestFit="1" customWidth="1"/>
    <col min="4625" max="4625" width="10" style="2813" customWidth="1"/>
    <col min="4626" max="4626" width="10.109375" style="2813" customWidth="1"/>
    <col min="4627" max="4627" width="10" style="2813" customWidth="1"/>
    <col min="4628" max="4628" width="26.109375" style="2813" customWidth="1"/>
    <col min="4629" max="4864" width="8.88671875" style="2813"/>
    <col min="4865" max="4865" width="9.44140625" style="2813" customWidth="1"/>
    <col min="4866" max="4866" width="8.88671875" style="2813"/>
    <col min="4867" max="4869" width="12.88671875" style="2813" customWidth="1"/>
    <col min="4870" max="4870" width="47.44140625" style="2813" customWidth="1"/>
    <col min="4871" max="4871" width="13" style="2813" customWidth="1"/>
    <col min="4872" max="4873" width="8.88671875" style="2813"/>
    <col min="4874" max="4874" width="5.77734375" style="2813" customWidth="1"/>
    <col min="4875" max="4875" width="11.77734375" style="2813" customWidth="1"/>
    <col min="4876" max="4877" width="10.77734375" style="2813" customWidth="1"/>
    <col min="4878" max="4878" width="10" style="2813" customWidth="1"/>
    <col min="4879" max="4880" width="10.44140625" style="2813" bestFit="1" customWidth="1"/>
    <col min="4881" max="4881" width="10" style="2813" customWidth="1"/>
    <col min="4882" max="4882" width="10.109375" style="2813" customWidth="1"/>
    <col min="4883" max="4883" width="10" style="2813" customWidth="1"/>
    <col min="4884" max="4884" width="26.109375" style="2813" customWidth="1"/>
    <col min="4885" max="5120" width="8.88671875" style="2813"/>
    <col min="5121" max="5121" width="9.44140625" style="2813" customWidth="1"/>
    <col min="5122" max="5122" width="8.88671875" style="2813"/>
    <col min="5123" max="5125" width="12.88671875" style="2813" customWidth="1"/>
    <col min="5126" max="5126" width="47.44140625" style="2813" customWidth="1"/>
    <col min="5127" max="5127" width="13" style="2813" customWidth="1"/>
    <col min="5128" max="5129" width="8.88671875" style="2813"/>
    <col min="5130" max="5130" width="5.77734375" style="2813" customWidth="1"/>
    <col min="5131" max="5131" width="11.77734375" style="2813" customWidth="1"/>
    <col min="5132" max="5133" width="10.77734375" style="2813" customWidth="1"/>
    <col min="5134" max="5134" width="10" style="2813" customWidth="1"/>
    <col min="5135" max="5136" width="10.44140625" style="2813" bestFit="1" customWidth="1"/>
    <col min="5137" max="5137" width="10" style="2813" customWidth="1"/>
    <col min="5138" max="5138" width="10.109375" style="2813" customWidth="1"/>
    <col min="5139" max="5139" width="10" style="2813" customWidth="1"/>
    <col min="5140" max="5140" width="26.109375" style="2813" customWidth="1"/>
    <col min="5141" max="5376" width="8.88671875" style="2813"/>
    <col min="5377" max="5377" width="9.44140625" style="2813" customWidth="1"/>
    <col min="5378" max="5378" width="8.88671875" style="2813"/>
    <col min="5379" max="5381" width="12.88671875" style="2813" customWidth="1"/>
    <col min="5382" max="5382" width="47.44140625" style="2813" customWidth="1"/>
    <col min="5383" max="5383" width="13" style="2813" customWidth="1"/>
    <col min="5384" max="5385" width="8.88671875" style="2813"/>
    <col min="5386" max="5386" width="5.77734375" style="2813" customWidth="1"/>
    <col min="5387" max="5387" width="11.77734375" style="2813" customWidth="1"/>
    <col min="5388" max="5389" width="10.77734375" style="2813" customWidth="1"/>
    <col min="5390" max="5390" width="10" style="2813" customWidth="1"/>
    <col min="5391" max="5392" width="10.44140625" style="2813" bestFit="1" customWidth="1"/>
    <col min="5393" max="5393" width="10" style="2813" customWidth="1"/>
    <col min="5394" max="5394" width="10.109375" style="2813" customWidth="1"/>
    <col min="5395" max="5395" width="10" style="2813" customWidth="1"/>
    <col min="5396" max="5396" width="26.109375" style="2813" customWidth="1"/>
    <col min="5397" max="5632" width="8.88671875" style="2813"/>
    <col min="5633" max="5633" width="9.44140625" style="2813" customWidth="1"/>
    <col min="5634" max="5634" width="8.88671875" style="2813"/>
    <col min="5635" max="5637" width="12.88671875" style="2813" customWidth="1"/>
    <col min="5638" max="5638" width="47.44140625" style="2813" customWidth="1"/>
    <col min="5639" max="5639" width="13" style="2813" customWidth="1"/>
    <col min="5640" max="5641" width="8.88671875" style="2813"/>
    <col min="5642" max="5642" width="5.77734375" style="2813" customWidth="1"/>
    <col min="5643" max="5643" width="11.77734375" style="2813" customWidth="1"/>
    <col min="5644" max="5645" width="10.77734375" style="2813" customWidth="1"/>
    <col min="5646" max="5646" width="10" style="2813" customWidth="1"/>
    <col min="5647" max="5648" width="10.44140625" style="2813" bestFit="1" customWidth="1"/>
    <col min="5649" max="5649" width="10" style="2813" customWidth="1"/>
    <col min="5650" max="5650" width="10.109375" style="2813" customWidth="1"/>
    <col min="5651" max="5651" width="10" style="2813" customWidth="1"/>
    <col min="5652" max="5652" width="26.109375" style="2813" customWidth="1"/>
    <col min="5653" max="5888" width="8.88671875" style="2813"/>
    <col min="5889" max="5889" width="9.44140625" style="2813" customWidth="1"/>
    <col min="5890" max="5890" width="8.88671875" style="2813"/>
    <col min="5891" max="5893" width="12.88671875" style="2813" customWidth="1"/>
    <col min="5894" max="5894" width="47.44140625" style="2813" customWidth="1"/>
    <col min="5895" max="5895" width="13" style="2813" customWidth="1"/>
    <col min="5896" max="5897" width="8.88671875" style="2813"/>
    <col min="5898" max="5898" width="5.77734375" style="2813" customWidth="1"/>
    <col min="5899" max="5899" width="11.77734375" style="2813" customWidth="1"/>
    <col min="5900" max="5901" width="10.77734375" style="2813" customWidth="1"/>
    <col min="5902" max="5902" width="10" style="2813" customWidth="1"/>
    <col min="5903" max="5904" width="10.44140625" style="2813" bestFit="1" customWidth="1"/>
    <col min="5905" max="5905" width="10" style="2813" customWidth="1"/>
    <col min="5906" max="5906" width="10.109375" style="2813" customWidth="1"/>
    <col min="5907" max="5907" width="10" style="2813" customWidth="1"/>
    <col min="5908" max="5908" width="26.109375" style="2813" customWidth="1"/>
    <col min="5909" max="6144" width="8.88671875" style="2813"/>
    <col min="6145" max="6145" width="9.44140625" style="2813" customWidth="1"/>
    <col min="6146" max="6146" width="8.88671875" style="2813"/>
    <col min="6147" max="6149" width="12.88671875" style="2813" customWidth="1"/>
    <col min="6150" max="6150" width="47.44140625" style="2813" customWidth="1"/>
    <col min="6151" max="6151" width="13" style="2813" customWidth="1"/>
    <col min="6152" max="6153" width="8.88671875" style="2813"/>
    <col min="6154" max="6154" width="5.77734375" style="2813" customWidth="1"/>
    <col min="6155" max="6155" width="11.77734375" style="2813" customWidth="1"/>
    <col min="6156" max="6157" width="10.77734375" style="2813" customWidth="1"/>
    <col min="6158" max="6158" width="10" style="2813" customWidth="1"/>
    <col min="6159" max="6160" width="10.44140625" style="2813" bestFit="1" customWidth="1"/>
    <col min="6161" max="6161" width="10" style="2813" customWidth="1"/>
    <col min="6162" max="6162" width="10.109375" style="2813" customWidth="1"/>
    <col min="6163" max="6163" width="10" style="2813" customWidth="1"/>
    <col min="6164" max="6164" width="26.109375" style="2813" customWidth="1"/>
    <col min="6165" max="6400" width="8.88671875" style="2813"/>
    <col min="6401" max="6401" width="9.44140625" style="2813" customWidth="1"/>
    <col min="6402" max="6402" width="8.88671875" style="2813"/>
    <col min="6403" max="6405" width="12.88671875" style="2813" customWidth="1"/>
    <col min="6406" max="6406" width="47.44140625" style="2813" customWidth="1"/>
    <col min="6407" max="6407" width="13" style="2813" customWidth="1"/>
    <col min="6408" max="6409" width="8.88671875" style="2813"/>
    <col min="6410" max="6410" width="5.77734375" style="2813" customWidth="1"/>
    <col min="6411" max="6411" width="11.77734375" style="2813" customWidth="1"/>
    <col min="6412" max="6413" width="10.77734375" style="2813" customWidth="1"/>
    <col min="6414" max="6414" width="10" style="2813" customWidth="1"/>
    <col min="6415" max="6416" width="10.44140625" style="2813" bestFit="1" customWidth="1"/>
    <col min="6417" max="6417" width="10" style="2813" customWidth="1"/>
    <col min="6418" max="6418" width="10.109375" style="2813" customWidth="1"/>
    <col min="6419" max="6419" width="10" style="2813" customWidth="1"/>
    <col min="6420" max="6420" width="26.109375" style="2813" customWidth="1"/>
    <col min="6421" max="6656" width="8.88671875" style="2813"/>
    <col min="6657" max="6657" width="9.44140625" style="2813" customWidth="1"/>
    <col min="6658" max="6658" width="8.88671875" style="2813"/>
    <col min="6659" max="6661" width="12.88671875" style="2813" customWidth="1"/>
    <col min="6662" max="6662" width="47.44140625" style="2813" customWidth="1"/>
    <col min="6663" max="6663" width="13" style="2813" customWidth="1"/>
    <col min="6664" max="6665" width="8.88671875" style="2813"/>
    <col min="6666" max="6666" width="5.77734375" style="2813" customWidth="1"/>
    <col min="6667" max="6667" width="11.77734375" style="2813" customWidth="1"/>
    <col min="6668" max="6669" width="10.77734375" style="2813" customWidth="1"/>
    <col min="6670" max="6670" width="10" style="2813" customWidth="1"/>
    <col min="6671" max="6672" width="10.44140625" style="2813" bestFit="1" customWidth="1"/>
    <col min="6673" max="6673" width="10" style="2813" customWidth="1"/>
    <col min="6674" max="6674" width="10.109375" style="2813" customWidth="1"/>
    <col min="6675" max="6675" width="10" style="2813" customWidth="1"/>
    <col min="6676" max="6676" width="26.109375" style="2813" customWidth="1"/>
    <col min="6677" max="6912" width="8.88671875" style="2813"/>
    <col min="6913" max="6913" width="9.44140625" style="2813" customWidth="1"/>
    <col min="6914" max="6914" width="8.88671875" style="2813"/>
    <col min="6915" max="6917" width="12.88671875" style="2813" customWidth="1"/>
    <col min="6918" max="6918" width="47.44140625" style="2813" customWidth="1"/>
    <col min="6919" max="6919" width="13" style="2813" customWidth="1"/>
    <col min="6920" max="6921" width="8.88671875" style="2813"/>
    <col min="6922" max="6922" width="5.77734375" style="2813" customWidth="1"/>
    <col min="6923" max="6923" width="11.77734375" style="2813" customWidth="1"/>
    <col min="6924" max="6925" width="10.77734375" style="2813" customWidth="1"/>
    <col min="6926" max="6926" width="10" style="2813" customWidth="1"/>
    <col min="6927" max="6928" width="10.44140625" style="2813" bestFit="1" customWidth="1"/>
    <col min="6929" max="6929" width="10" style="2813" customWidth="1"/>
    <col min="6930" max="6930" width="10.109375" style="2813" customWidth="1"/>
    <col min="6931" max="6931" width="10" style="2813" customWidth="1"/>
    <col min="6932" max="6932" width="26.109375" style="2813" customWidth="1"/>
    <col min="6933" max="7168" width="8.88671875" style="2813"/>
    <col min="7169" max="7169" width="9.44140625" style="2813" customWidth="1"/>
    <col min="7170" max="7170" width="8.88671875" style="2813"/>
    <col min="7171" max="7173" width="12.88671875" style="2813" customWidth="1"/>
    <col min="7174" max="7174" width="47.44140625" style="2813" customWidth="1"/>
    <col min="7175" max="7175" width="13" style="2813" customWidth="1"/>
    <col min="7176" max="7177" width="8.88671875" style="2813"/>
    <col min="7178" max="7178" width="5.77734375" style="2813" customWidth="1"/>
    <col min="7179" max="7179" width="11.77734375" style="2813" customWidth="1"/>
    <col min="7180" max="7181" width="10.77734375" style="2813" customWidth="1"/>
    <col min="7182" max="7182" width="10" style="2813" customWidth="1"/>
    <col min="7183" max="7184" width="10.44140625" style="2813" bestFit="1" customWidth="1"/>
    <col min="7185" max="7185" width="10" style="2813" customWidth="1"/>
    <col min="7186" max="7186" width="10.109375" style="2813" customWidth="1"/>
    <col min="7187" max="7187" width="10" style="2813" customWidth="1"/>
    <col min="7188" max="7188" width="26.109375" style="2813" customWidth="1"/>
    <col min="7189" max="7424" width="8.88671875" style="2813"/>
    <col min="7425" max="7425" width="9.44140625" style="2813" customWidth="1"/>
    <col min="7426" max="7426" width="8.88671875" style="2813"/>
    <col min="7427" max="7429" width="12.88671875" style="2813" customWidth="1"/>
    <col min="7430" max="7430" width="47.44140625" style="2813" customWidth="1"/>
    <col min="7431" max="7431" width="13" style="2813" customWidth="1"/>
    <col min="7432" max="7433" width="8.88671875" style="2813"/>
    <col min="7434" max="7434" width="5.77734375" style="2813" customWidth="1"/>
    <col min="7435" max="7435" width="11.77734375" style="2813" customWidth="1"/>
    <col min="7436" max="7437" width="10.77734375" style="2813" customWidth="1"/>
    <col min="7438" max="7438" width="10" style="2813" customWidth="1"/>
    <col min="7439" max="7440" width="10.44140625" style="2813" bestFit="1" customWidth="1"/>
    <col min="7441" max="7441" width="10" style="2813" customWidth="1"/>
    <col min="7442" max="7442" width="10.109375" style="2813" customWidth="1"/>
    <col min="7443" max="7443" width="10" style="2813" customWidth="1"/>
    <col min="7444" max="7444" width="26.109375" style="2813" customWidth="1"/>
    <col min="7445" max="7680" width="8.88671875" style="2813"/>
    <col min="7681" max="7681" width="9.44140625" style="2813" customWidth="1"/>
    <col min="7682" max="7682" width="8.88671875" style="2813"/>
    <col min="7683" max="7685" width="12.88671875" style="2813" customWidth="1"/>
    <col min="7686" max="7686" width="47.44140625" style="2813" customWidth="1"/>
    <col min="7687" max="7687" width="13" style="2813" customWidth="1"/>
    <col min="7688" max="7689" width="8.88671875" style="2813"/>
    <col min="7690" max="7690" width="5.77734375" style="2813" customWidth="1"/>
    <col min="7691" max="7691" width="11.77734375" style="2813" customWidth="1"/>
    <col min="7692" max="7693" width="10.77734375" style="2813" customWidth="1"/>
    <col min="7694" max="7694" width="10" style="2813" customWidth="1"/>
    <col min="7695" max="7696" width="10.44140625" style="2813" bestFit="1" customWidth="1"/>
    <col min="7697" max="7697" width="10" style="2813" customWidth="1"/>
    <col min="7698" max="7698" width="10.109375" style="2813" customWidth="1"/>
    <col min="7699" max="7699" width="10" style="2813" customWidth="1"/>
    <col min="7700" max="7700" width="26.109375" style="2813" customWidth="1"/>
    <col min="7701" max="7936" width="8.88671875" style="2813"/>
    <col min="7937" max="7937" width="9.44140625" style="2813" customWidth="1"/>
    <col min="7938" max="7938" width="8.88671875" style="2813"/>
    <col min="7939" max="7941" width="12.88671875" style="2813" customWidth="1"/>
    <col min="7942" max="7942" width="47.44140625" style="2813" customWidth="1"/>
    <col min="7943" max="7943" width="13" style="2813" customWidth="1"/>
    <col min="7944" max="7945" width="8.88671875" style="2813"/>
    <col min="7946" max="7946" width="5.77734375" style="2813" customWidth="1"/>
    <col min="7947" max="7947" width="11.77734375" style="2813" customWidth="1"/>
    <col min="7948" max="7949" width="10.77734375" style="2813" customWidth="1"/>
    <col min="7950" max="7950" width="10" style="2813" customWidth="1"/>
    <col min="7951" max="7952" width="10.44140625" style="2813" bestFit="1" customWidth="1"/>
    <col min="7953" max="7953" width="10" style="2813" customWidth="1"/>
    <col min="7954" max="7954" width="10.109375" style="2813" customWidth="1"/>
    <col min="7955" max="7955" width="10" style="2813" customWidth="1"/>
    <col min="7956" max="7956" width="26.109375" style="2813" customWidth="1"/>
    <col min="7957" max="8192" width="8.88671875" style="2813"/>
    <col min="8193" max="8193" width="9.44140625" style="2813" customWidth="1"/>
    <col min="8194" max="8194" width="8.88671875" style="2813"/>
    <col min="8195" max="8197" width="12.88671875" style="2813" customWidth="1"/>
    <col min="8198" max="8198" width="47.44140625" style="2813" customWidth="1"/>
    <col min="8199" max="8199" width="13" style="2813" customWidth="1"/>
    <col min="8200" max="8201" width="8.88671875" style="2813"/>
    <col min="8202" max="8202" width="5.77734375" style="2813" customWidth="1"/>
    <col min="8203" max="8203" width="11.77734375" style="2813" customWidth="1"/>
    <col min="8204" max="8205" width="10.77734375" style="2813" customWidth="1"/>
    <col min="8206" max="8206" width="10" style="2813" customWidth="1"/>
    <col min="8207" max="8208" width="10.44140625" style="2813" bestFit="1" customWidth="1"/>
    <col min="8209" max="8209" width="10" style="2813" customWidth="1"/>
    <col min="8210" max="8210" width="10.109375" style="2813" customWidth="1"/>
    <col min="8211" max="8211" width="10" style="2813" customWidth="1"/>
    <col min="8212" max="8212" width="26.109375" style="2813" customWidth="1"/>
    <col min="8213" max="8448" width="8.88671875" style="2813"/>
    <col min="8449" max="8449" width="9.44140625" style="2813" customWidth="1"/>
    <col min="8450" max="8450" width="8.88671875" style="2813"/>
    <col min="8451" max="8453" width="12.88671875" style="2813" customWidth="1"/>
    <col min="8454" max="8454" width="47.44140625" style="2813" customWidth="1"/>
    <col min="8455" max="8455" width="13" style="2813" customWidth="1"/>
    <col min="8456" max="8457" width="8.88671875" style="2813"/>
    <col min="8458" max="8458" width="5.77734375" style="2813" customWidth="1"/>
    <col min="8459" max="8459" width="11.77734375" style="2813" customWidth="1"/>
    <col min="8460" max="8461" width="10.77734375" style="2813" customWidth="1"/>
    <col min="8462" max="8462" width="10" style="2813" customWidth="1"/>
    <col min="8463" max="8464" width="10.44140625" style="2813" bestFit="1" customWidth="1"/>
    <col min="8465" max="8465" width="10" style="2813" customWidth="1"/>
    <col min="8466" max="8466" width="10.109375" style="2813" customWidth="1"/>
    <col min="8467" max="8467" width="10" style="2813" customWidth="1"/>
    <col min="8468" max="8468" width="26.109375" style="2813" customWidth="1"/>
    <col min="8469" max="8704" width="8.88671875" style="2813"/>
    <col min="8705" max="8705" width="9.44140625" style="2813" customWidth="1"/>
    <col min="8706" max="8706" width="8.88671875" style="2813"/>
    <col min="8707" max="8709" width="12.88671875" style="2813" customWidth="1"/>
    <col min="8710" max="8710" width="47.44140625" style="2813" customWidth="1"/>
    <col min="8711" max="8711" width="13" style="2813" customWidth="1"/>
    <col min="8712" max="8713" width="8.88671875" style="2813"/>
    <col min="8714" max="8714" width="5.77734375" style="2813" customWidth="1"/>
    <col min="8715" max="8715" width="11.77734375" style="2813" customWidth="1"/>
    <col min="8716" max="8717" width="10.77734375" style="2813" customWidth="1"/>
    <col min="8718" max="8718" width="10" style="2813" customWidth="1"/>
    <col min="8719" max="8720" width="10.44140625" style="2813" bestFit="1" customWidth="1"/>
    <col min="8721" max="8721" width="10" style="2813" customWidth="1"/>
    <col min="8722" max="8722" width="10.109375" style="2813" customWidth="1"/>
    <col min="8723" max="8723" width="10" style="2813" customWidth="1"/>
    <col min="8724" max="8724" width="26.109375" style="2813" customWidth="1"/>
    <col min="8725" max="8960" width="8.88671875" style="2813"/>
    <col min="8961" max="8961" width="9.44140625" style="2813" customWidth="1"/>
    <col min="8962" max="8962" width="8.88671875" style="2813"/>
    <col min="8963" max="8965" width="12.88671875" style="2813" customWidth="1"/>
    <col min="8966" max="8966" width="47.44140625" style="2813" customWidth="1"/>
    <col min="8967" max="8967" width="13" style="2813" customWidth="1"/>
    <col min="8968" max="8969" width="8.88671875" style="2813"/>
    <col min="8970" max="8970" width="5.77734375" style="2813" customWidth="1"/>
    <col min="8971" max="8971" width="11.77734375" style="2813" customWidth="1"/>
    <col min="8972" max="8973" width="10.77734375" style="2813" customWidth="1"/>
    <col min="8974" max="8974" width="10" style="2813" customWidth="1"/>
    <col min="8975" max="8976" width="10.44140625" style="2813" bestFit="1" customWidth="1"/>
    <col min="8977" max="8977" width="10" style="2813" customWidth="1"/>
    <col min="8978" max="8978" width="10.109375" style="2813" customWidth="1"/>
    <col min="8979" max="8979" width="10" style="2813" customWidth="1"/>
    <col min="8980" max="8980" width="26.109375" style="2813" customWidth="1"/>
    <col min="8981" max="9216" width="8.88671875" style="2813"/>
    <col min="9217" max="9217" width="9.44140625" style="2813" customWidth="1"/>
    <col min="9218" max="9218" width="8.88671875" style="2813"/>
    <col min="9219" max="9221" width="12.88671875" style="2813" customWidth="1"/>
    <col min="9222" max="9222" width="47.44140625" style="2813" customWidth="1"/>
    <col min="9223" max="9223" width="13" style="2813" customWidth="1"/>
    <col min="9224" max="9225" width="8.88671875" style="2813"/>
    <col min="9226" max="9226" width="5.77734375" style="2813" customWidth="1"/>
    <col min="9227" max="9227" width="11.77734375" style="2813" customWidth="1"/>
    <col min="9228" max="9229" width="10.77734375" style="2813" customWidth="1"/>
    <col min="9230" max="9230" width="10" style="2813" customWidth="1"/>
    <col min="9231" max="9232" width="10.44140625" style="2813" bestFit="1" customWidth="1"/>
    <col min="9233" max="9233" width="10" style="2813" customWidth="1"/>
    <col min="9234" max="9234" width="10.109375" style="2813" customWidth="1"/>
    <col min="9235" max="9235" width="10" style="2813" customWidth="1"/>
    <col min="9236" max="9236" width="26.109375" style="2813" customWidth="1"/>
    <col min="9237" max="9472" width="8.88671875" style="2813"/>
    <col min="9473" max="9473" width="9.44140625" style="2813" customWidth="1"/>
    <col min="9474" max="9474" width="8.88671875" style="2813"/>
    <col min="9475" max="9477" width="12.88671875" style="2813" customWidth="1"/>
    <col min="9478" max="9478" width="47.44140625" style="2813" customWidth="1"/>
    <col min="9479" max="9479" width="13" style="2813" customWidth="1"/>
    <col min="9480" max="9481" width="8.88671875" style="2813"/>
    <col min="9482" max="9482" width="5.77734375" style="2813" customWidth="1"/>
    <col min="9483" max="9483" width="11.77734375" style="2813" customWidth="1"/>
    <col min="9484" max="9485" width="10.77734375" style="2813" customWidth="1"/>
    <col min="9486" max="9486" width="10" style="2813" customWidth="1"/>
    <col min="9487" max="9488" width="10.44140625" style="2813" bestFit="1" customWidth="1"/>
    <col min="9489" max="9489" width="10" style="2813" customWidth="1"/>
    <col min="9490" max="9490" width="10.109375" style="2813" customWidth="1"/>
    <col min="9491" max="9491" width="10" style="2813" customWidth="1"/>
    <col min="9492" max="9492" width="26.109375" style="2813" customWidth="1"/>
    <col min="9493" max="9728" width="8.88671875" style="2813"/>
    <col min="9729" max="9729" width="9.44140625" style="2813" customWidth="1"/>
    <col min="9730" max="9730" width="8.88671875" style="2813"/>
    <col min="9731" max="9733" width="12.88671875" style="2813" customWidth="1"/>
    <col min="9734" max="9734" width="47.44140625" style="2813" customWidth="1"/>
    <col min="9735" max="9735" width="13" style="2813" customWidth="1"/>
    <col min="9736" max="9737" width="8.88671875" style="2813"/>
    <col min="9738" max="9738" width="5.77734375" style="2813" customWidth="1"/>
    <col min="9739" max="9739" width="11.77734375" style="2813" customWidth="1"/>
    <col min="9740" max="9741" width="10.77734375" style="2813" customWidth="1"/>
    <col min="9742" max="9742" width="10" style="2813" customWidth="1"/>
    <col min="9743" max="9744" width="10.44140625" style="2813" bestFit="1" customWidth="1"/>
    <col min="9745" max="9745" width="10" style="2813" customWidth="1"/>
    <col min="9746" max="9746" width="10.109375" style="2813" customWidth="1"/>
    <col min="9747" max="9747" width="10" style="2813" customWidth="1"/>
    <col min="9748" max="9748" width="26.109375" style="2813" customWidth="1"/>
    <col min="9749" max="9984" width="8.88671875" style="2813"/>
    <col min="9985" max="9985" width="9.44140625" style="2813" customWidth="1"/>
    <col min="9986" max="9986" width="8.88671875" style="2813"/>
    <col min="9987" max="9989" width="12.88671875" style="2813" customWidth="1"/>
    <col min="9990" max="9990" width="47.44140625" style="2813" customWidth="1"/>
    <col min="9991" max="9991" width="13" style="2813" customWidth="1"/>
    <col min="9992" max="9993" width="8.88671875" style="2813"/>
    <col min="9994" max="9994" width="5.77734375" style="2813" customWidth="1"/>
    <col min="9995" max="9995" width="11.77734375" style="2813" customWidth="1"/>
    <col min="9996" max="9997" width="10.77734375" style="2813" customWidth="1"/>
    <col min="9998" max="9998" width="10" style="2813" customWidth="1"/>
    <col min="9999" max="10000" width="10.44140625" style="2813" bestFit="1" customWidth="1"/>
    <col min="10001" max="10001" width="10" style="2813" customWidth="1"/>
    <col min="10002" max="10002" width="10.109375" style="2813" customWidth="1"/>
    <col min="10003" max="10003" width="10" style="2813" customWidth="1"/>
    <col min="10004" max="10004" width="26.109375" style="2813" customWidth="1"/>
    <col min="10005" max="10240" width="8.88671875" style="2813"/>
    <col min="10241" max="10241" width="9.44140625" style="2813" customWidth="1"/>
    <col min="10242" max="10242" width="8.88671875" style="2813"/>
    <col min="10243" max="10245" width="12.88671875" style="2813" customWidth="1"/>
    <col min="10246" max="10246" width="47.44140625" style="2813" customWidth="1"/>
    <col min="10247" max="10247" width="13" style="2813" customWidth="1"/>
    <col min="10248" max="10249" width="8.88671875" style="2813"/>
    <col min="10250" max="10250" width="5.77734375" style="2813" customWidth="1"/>
    <col min="10251" max="10251" width="11.77734375" style="2813" customWidth="1"/>
    <col min="10252" max="10253" width="10.77734375" style="2813" customWidth="1"/>
    <col min="10254" max="10254" width="10" style="2813" customWidth="1"/>
    <col min="10255" max="10256" width="10.44140625" style="2813" bestFit="1" customWidth="1"/>
    <col min="10257" max="10257" width="10" style="2813" customWidth="1"/>
    <col min="10258" max="10258" width="10.109375" style="2813" customWidth="1"/>
    <col min="10259" max="10259" width="10" style="2813" customWidth="1"/>
    <col min="10260" max="10260" width="26.109375" style="2813" customWidth="1"/>
    <col min="10261" max="10496" width="8.88671875" style="2813"/>
    <col min="10497" max="10497" width="9.44140625" style="2813" customWidth="1"/>
    <col min="10498" max="10498" width="8.88671875" style="2813"/>
    <col min="10499" max="10501" width="12.88671875" style="2813" customWidth="1"/>
    <col min="10502" max="10502" width="47.44140625" style="2813" customWidth="1"/>
    <col min="10503" max="10503" width="13" style="2813" customWidth="1"/>
    <col min="10504" max="10505" width="8.88671875" style="2813"/>
    <col min="10506" max="10506" width="5.77734375" style="2813" customWidth="1"/>
    <col min="10507" max="10507" width="11.77734375" style="2813" customWidth="1"/>
    <col min="10508" max="10509" width="10.77734375" style="2813" customWidth="1"/>
    <col min="10510" max="10510" width="10" style="2813" customWidth="1"/>
    <col min="10511" max="10512" width="10.44140625" style="2813" bestFit="1" customWidth="1"/>
    <col min="10513" max="10513" width="10" style="2813" customWidth="1"/>
    <col min="10514" max="10514" width="10.109375" style="2813" customWidth="1"/>
    <col min="10515" max="10515" width="10" style="2813" customWidth="1"/>
    <col min="10516" max="10516" width="26.109375" style="2813" customWidth="1"/>
    <col min="10517" max="10752" width="8.88671875" style="2813"/>
    <col min="10753" max="10753" width="9.44140625" style="2813" customWidth="1"/>
    <col min="10754" max="10754" width="8.88671875" style="2813"/>
    <col min="10755" max="10757" width="12.88671875" style="2813" customWidth="1"/>
    <col min="10758" max="10758" width="47.44140625" style="2813" customWidth="1"/>
    <col min="10759" max="10759" width="13" style="2813" customWidth="1"/>
    <col min="10760" max="10761" width="8.88671875" style="2813"/>
    <col min="10762" max="10762" width="5.77734375" style="2813" customWidth="1"/>
    <col min="10763" max="10763" width="11.77734375" style="2813" customWidth="1"/>
    <col min="10764" max="10765" width="10.77734375" style="2813" customWidth="1"/>
    <col min="10766" max="10766" width="10" style="2813" customWidth="1"/>
    <col min="10767" max="10768" width="10.44140625" style="2813" bestFit="1" customWidth="1"/>
    <col min="10769" max="10769" width="10" style="2813" customWidth="1"/>
    <col min="10770" max="10770" width="10.109375" style="2813" customWidth="1"/>
    <col min="10771" max="10771" width="10" style="2813" customWidth="1"/>
    <col min="10772" max="10772" width="26.109375" style="2813" customWidth="1"/>
    <col min="10773" max="11008" width="8.88671875" style="2813"/>
    <col min="11009" max="11009" width="9.44140625" style="2813" customWidth="1"/>
    <col min="11010" max="11010" width="8.88671875" style="2813"/>
    <col min="11011" max="11013" width="12.88671875" style="2813" customWidth="1"/>
    <col min="11014" max="11014" width="47.44140625" style="2813" customWidth="1"/>
    <col min="11015" max="11015" width="13" style="2813" customWidth="1"/>
    <col min="11016" max="11017" width="8.88671875" style="2813"/>
    <col min="11018" max="11018" width="5.77734375" style="2813" customWidth="1"/>
    <col min="11019" max="11019" width="11.77734375" style="2813" customWidth="1"/>
    <col min="11020" max="11021" width="10.77734375" style="2813" customWidth="1"/>
    <col min="11022" max="11022" width="10" style="2813" customWidth="1"/>
    <col min="11023" max="11024" width="10.44140625" style="2813" bestFit="1" customWidth="1"/>
    <col min="11025" max="11025" width="10" style="2813" customWidth="1"/>
    <col min="11026" max="11026" width="10.109375" style="2813" customWidth="1"/>
    <col min="11027" max="11027" width="10" style="2813" customWidth="1"/>
    <col min="11028" max="11028" width="26.109375" style="2813" customWidth="1"/>
    <col min="11029" max="11264" width="8.88671875" style="2813"/>
    <col min="11265" max="11265" width="9.44140625" style="2813" customWidth="1"/>
    <col min="11266" max="11266" width="8.88671875" style="2813"/>
    <col min="11267" max="11269" width="12.88671875" style="2813" customWidth="1"/>
    <col min="11270" max="11270" width="47.44140625" style="2813" customWidth="1"/>
    <col min="11271" max="11271" width="13" style="2813" customWidth="1"/>
    <col min="11272" max="11273" width="8.88671875" style="2813"/>
    <col min="11274" max="11274" width="5.77734375" style="2813" customWidth="1"/>
    <col min="11275" max="11275" width="11.77734375" style="2813" customWidth="1"/>
    <col min="11276" max="11277" width="10.77734375" style="2813" customWidth="1"/>
    <col min="11278" max="11278" width="10" style="2813" customWidth="1"/>
    <col min="11279" max="11280" width="10.44140625" style="2813" bestFit="1" customWidth="1"/>
    <col min="11281" max="11281" width="10" style="2813" customWidth="1"/>
    <col min="11282" max="11282" width="10.109375" style="2813" customWidth="1"/>
    <col min="11283" max="11283" width="10" style="2813" customWidth="1"/>
    <col min="11284" max="11284" width="26.109375" style="2813" customWidth="1"/>
    <col min="11285" max="11520" width="8.88671875" style="2813"/>
    <col min="11521" max="11521" width="9.44140625" style="2813" customWidth="1"/>
    <col min="11522" max="11522" width="8.88671875" style="2813"/>
    <col min="11523" max="11525" width="12.88671875" style="2813" customWidth="1"/>
    <col min="11526" max="11526" width="47.44140625" style="2813" customWidth="1"/>
    <col min="11527" max="11527" width="13" style="2813" customWidth="1"/>
    <col min="11528" max="11529" width="8.88671875" style="2813"/>
    <col min="11530" max="11530" width="5.77734375" style="2813" customWidth="1"/>
    <col min="11531" max="11531" width="11.77734375" style="2813" customWidth="1"/>
    <col min="11532" max="11533" width="10.77734375" style="2813" customWidth="1"/>
    <col min="11534" max="11534" width="10" style="2813" customWidth="1"/>
    <col min="11535" max="11536" width="10.44140625" style="2813" bestFit="1" customWidth="1"/>
    <col min="11537" max="11537" width="10" style="2813" customWidth="1"/>
    <col min="11538" max="11538" width="10.109375" style="2813" customWidth="1"/>
    <col min="11539" max="11539" width="10" style="2813" customWidth="1"/>
    <col min="11540" max="11540" width="26.109375" style="2813" customWidth="1"/>
    <col min="11541" max="11776" width="8.88671875" style="2813"/>
    <col min="11777" max="11777" width="9.44140625" style="2813" customWidth="1"/>
    <col min="11778" max="11778" width="8.88671875" style="2813"/>
    <col min="11779" max="11781" width="12.88671875" style="2813" customWidth="1"/>
    <col min="11782" max="11782" width="47.44140625" style="2813" customWidth="1"/>
    <col min="11783" max="11783" width="13" style="2813" customWidth="1"/>
    <col min="11784" max="11785" width="8.88671875" style="2813"/>
    <col min="11786" max="11786" width="5.77734375" style="2813" customWidth="1"/>
    <col min="11787" max="11787" width="11.77734375" style="2813" customWidth="1"/>
    <col min="11788" max="11789" width="10.77734375" style="2813" customWidth="1"/>
    <col min="11790" max="11790" width="10" style="2813" customWidth="1"/>
    <col min="11791" max="11792" width="10.44140625" style="2813" bestFit="1" customWidth="1"/>
    <col min="11793" max="11793" width="10" style="2813" customWidth="1"/>
    <col min="11794" max="11794" width="10.109375" style="2813" customWidth="1"/>
    <col min="11795" max="11795" width="10" style="2813" customWidth="1"/>
    <col min="11796" max="11796" width="26.109375" style="2813" customWidth="1"/>
    <col min="11797" max="12032" width="8.88671875" style="2813"/>
    <col min="12033" max="12033" width="9.44140625" style="2813" customWidth="1"/>
    <col min="12034" max="12034" width="8.88671875" style="2813"/>
    <col min="12035" max="12037" width="12.88671875" style="2813" customWidth="1"/>
    <col min="12038" max="12038" width="47.44140625" style="2813" customWidth="1"/>
    <col min="12039" max="12039" width="13" style="2813" customWidth="1"/>
    <col min="12040" max="12041" width="8.88671875" style="2813"/>
    <col min="12042" max="12042" width="5.77734375" style="2813" customWidth="1"/>
    <col min="12043" max="12043" width="11.77734375" style="2813" customWidth="1"/>
    <col min="12044" max="12045" width="10.77734375" style="2813" customWidth="1"/>
    <col min="12046" max="12046" width="10" style="2813" customWidth="1"/>
    <col min="12047" max="12048" width="10.44140625" style="2813" bestFit="1" customWidth="1"/>
    <col min="12049" max="12049" width="10" style="2813" customWidth="1"/>
    <col min="12050" max="12050" width="10.109375" style="2813" customWidth="1"/>
    <col min="12051" max="12051" width="10" style="2813" customWidth="1"/>
    <col min="12052" max="12052" width="26.109375" style="2813" customWidth="1"/>
    <col min="12053" max="12288" width="8.88671875" style="2813"/>
    <col min="12289" max="12289" width="9.44140625" style="2813" customWidth="1"/>
    <col min="12290" max="12290" width="8.88671875" style="2813"/>
    <col min="12291" max="12293" width="12.88671875" style="2813" customWidth="1"/>
    <col min="12294" max="12294" width="47.44140625" style="2813" customWidth="1"/>
    <col min="12295" max="12295" width="13" style="2813" customWidth="1"/>
    <col min="12296" max="12297" width="8.88671875" style="2813"/>
    <col min="12298" max="12298" width="5.77734375" style="2813" customWidth="1"/>
    <col min="12299" max="12299" width="11.77734375" style="2813" customWidth="1"/>
    <col min="12300" max="12301" width="10.77734375" style="2813" customWidth="1"/>
    <col min="12302" max="12302" width="10" style="2813" customWidth="1"/>
    <col min="12303" max="12304" width="10.44140625" style="2813" bestFit="1" customWidth="1"/>
    <col min="12305" max="12305" width="10" style="2813" customWidth="1"/>
    <col min="12306" max="12306" width="10.109375" style="2813" customWidth="1"/>
    <col min="12307" max="12307" width="10" style="2813" customWidth="1"/>
    <col min="12308" max="12308" width="26.109375" style="2813" customWidth="1"/>
    <col min="12309" max="12544" width="8.88671875" style="2813"/>
    <col min="12545" max="12545" width="9.44140625" style="2813" customWidth="1"/>
    <col min="12546" max="12546" width="8.88671875" style="2813"/>
    <col min="12547" max="12549" width="12.88671875" style="2813" customWidth="1"/>
    <col min="12550" max="12550" width="47.44140625" style="2813" customWidth="1"/>
    <col min="12551" max="12551" width="13" style="2813" customWidth="1"/>
    <col min="12552" max="12553" width="8.88671875" style="2813"/>
    <col min="12554" max="12554" width="5.77734375" style="2813" customWidth="1"/>
    <col min="12555" max="12555" width="11.77734375" style="2813" customWidth="1"/>
    <col min="12556" max="12557" width="10.77734375" style="2813" customWidth="1"/>
    <col min="12558" max="12558" width="10" style="2813" customWidth="1"/>
    <col min="12559" max="12560" width="10.44140625" style="2813" bestFit="1" customWidth="1"/>
    <col min="12561" max="12561" width="10" style="2813" customWidth="1"/>
    <col min="12562" max="12562" width="10.109375" style="2813" customWidth="1"/>
    <col min="12563" max="12563" width="10" style="2813" customWidth="1"/>
    <col min="12564" max="12564" width="26.109375" style="2813" customWidth="1"/>
    <col min="12565" max="12800" width="8.88671875" style="2813"/>
    <col min="12801" max="12801" width="9.44140625" style="2813" customWidth="1"/>
    <col min="12802" max="12802" width="8.88671875" style="2813"/>
    <col min="12803" max="12805" width="12.88671875" style="2813" customWidth="1"/>
    <col min="12806" max="12806" width="47.44140625" style="2813" customWidth="1"/>
    <col min="12807" max="12807" width="13" style="2813" customWidth="1"/>
    <col min="12808" max="12809" width="8.88671875" style="2813"/>
    <col min="12810" max="12810" width="5.77734375" style="2813" customWidth="1"/>
    <col min="12811" max="12811" width="11.77734375" style="2813" customWidth="1"/>
    <col min="12812" max="12813" width="10.77734375" style="2813" customWidth="1"/>
    <col min="12814" max="12814" width="10" style="2813" customWidth="1"/>
    <col min="12815" max="12816" width="10.44140625" style="2813" bestFit="1" customWidth="1"/>
    <col min="12817" max="12817" width="10" style="2813" customWidth="1"/>
    <col min="12818" max="12818" width="10.109375" style="2813" customWidth="1"/>
    <col min="12819" max="12819" width="10" style="2813" customWidth="1"/>
    <col min="12820" max="12820" width="26.109375" style="2813" customWidth="1"/>
    <col min="12821" max="13056" width="8.88671875" style="2813"/>
    <col min="13057" max="13057" width="9.44140625" style="2813" customWidth="1"/>
    <col min="13058" max="13058" width="8.88671875" style="2813"/>
    <col min="13059" max="13061" width="12.88671875" style="2813" customWidth="1"/>
    <col min="13062" max="13062" width="47.44140625" style="2813" customWidth="1"/>
    <col min="13063" max="13063" width="13" style="2813" customWidth="1"/>
    <col min="13064" max="13065" width="8.88671875" style="2813"/>
    <col min="13066" max="13066" width="5.77734375" style="2813" customWidth="1"/>
    <col min="13067" max="13067" width="11.77734375" style="2813" customWidth="1"/>
    <col min="13068" max="13069" width="10.77734375" style="2813" customWidth="1"/>
    <col min="13070" max="13070" width="10" style="2813" customWidth="1"/>
    <col min="13071" max="13072" width="10.44140625" style="2813" bestFit="1" customWidth="1"/>
    <col min="13073" max="13073" width="10" style="2813" customWidth="1"/>
    <col min="13074" max="13074" width="10.109375" style="2813" customWidth="1"/>
    <col min="13075" max="13075" width="10" style="2813" customWidth="1"/>
    <col min="13076" max="13076" width="26.109375" style="2813" customWidth="1"/>
    <col min="13077" max="13312" width="8.88671875" style="2813"/>
    <col min="13313" max="13313" width="9.44140625" style="2813" customWidth="1"/>
    <col min="13314" max="13314" width="8.88671875" style="2813"/>
    <col min="13315" max="13317" width="12.88671875" style="2813" customWidth="1"/>
    <col min="13318" max="13318" width="47.44140625" style="2813" customWidth="1"/>
    <col min="13319" max="13319" width="13" style="2813" customWidth="1"/>
    <col min="13320" max="13321" width="8.88671875" style="2813"/>
    <col min="13322" max="13322" width="5.77734375" style="2813" customWidth="1"/>
    <col min="13323" max="13323" width="11.77734375" style="2813" customWidth="1"/>
    <col min="13324" max="13325" width="10.77734375" style="2813" customWidth="1"/>
    <col min="13326" max="13326" width="10" style="2813" customWidth="1"/>
    <col min="13327" max="13328" width="10.44140625" style="2813" bestFit="1" customWidth="1"/>
    <col min="13329" max="13329" width="10" style="2813" customWidth="1"/>
    <col min="13330" max="13330" width="10.109375" style="2813" customWidth="1"/>
    <col min="13331" max="13331" width="10" style="2813" customWidth="1"/>
    <col min="13332" max="13332" width="26.109375" style="2813" customWidth="1"/>
    <col min="13333" max="13568" width="8.88671875" style="2813"/>
    <col min="13569" max="13569" width="9.44140625" style="2813" customWidth="1"/>
    <col min="13570" max="13570" width="8.88671875" style="2813"/>
    <col min="13571" max="13573" width="12.88671875" style="2813" customWidth="1"/>
    <col min="13574" max="13574" width="47.44140625" style="2813" customWidth="1"/>
    <col min="13575" max="13575" width="13" style="2813" customWidth="1"/>
    <col min="13576" max="13577" width="8.88671875" style="2813"/>
    <col min="13578" max="13578" width="5.77734375" style="2813" customWidth="1"/>
    <col min="13579" max="13579" width="11.77734375" style="2813" customWidth="1"/>
    <col min="13580" max="13581" width="10.77734375" style="2813" customWidth="1"/>
    <col min="13582" max="13582" width="10" style="2813" customWidth="1"/>
    <col min="13583" max="13584" width="10.44140625" style="2813" bestFit="1" customWidth="1"/>
    <col min="13585" max="13585" width="10" style="2813" customWidth="1"/>
    <col min="13586" max="13586" width="10.109375" style="2813" customWidth="1"/>
    <col min="13587" max="13587" width="10" style="2813" customWidth="1"/>
    <col min="13588" max="13588" width="26.109375" style="2813" customWidth="1"/>
    <col min="13589" max="13824" width="8.88671875" style="2813"/>
    <col min="13825" max="13825" width="9.44140625" style="2813" customWidth="1"/>
    <col min="13826" max="13826" width="8.88671875" style="2813"/>
    <col min="13827" max="13829" width="12.88671875" style="2813" customWidth="1"/>
    <col min="13830" max="13830" width="47.44140625" style="2813" customWidth="1"/>
    <col min="13831" max="13831" width="13" style="2813" customWidth="1"/>
    <col min="13832" max="13833" width="8.88671875" style="2813"/>
    <col min="13834" max="13834" width="5.77734375" style="2813" customWidth="1"/>
    <col min="13835" max="13835" width="11.77734375" style="2813" customWidth="1"/>
    <col min="13836" max="13837" width="10.77734375" style="2813" customWidth="1"/>
    <col min="13838" max="13838" width="10" style="2813" customWidth="1"/>
    <col min="13839" max="13840" width="10.44140625" style="2813" bestFit="1" customWidth="1"/>
    <col min="13841" max="13841" width="10" style="2813" customWidth="1"/>
    <col min="13842" max="13842" width="10.109375" style="2813" customWidth="1"/>
    <col min="13843" max="13843" width="10" style="2813" customWidth="1"/>
    <col min="13844" max="13844" width="26.109375" style="2813" customWidth="1"/>
    <col min="13845" max="14080" width="8.88671875" style="2813"/>
    <col min="14081" max="14081" width="9.44140625" style="2813" customWidth="1"/>
    <col min="14082" max="14082" width="8.88671875" style="2813"/>
    <col min="14083" max="14085" width="12.88671875" style="2813" customWidth="1"/>
    <col min="14086" max="14086" width="47.44140625" style="2813" customWidth="1"/>
    <col min="14087" max="14087" width="13" style="2813" customWidth="1"/>
    <col min="14088" max="14089" width="8.88671875" style="2813"/>
    <col min="14090" max="14090" width="5.77734375" style="2813" customWidth="1"/>
    <col min="14091" max="14091" width="11.77734375" style="2813" customWidth="1"/>
    <col min="14092" max="14093" width="10.77734375" style="2813" customWidth="1"/>
    <col min="14094" max="14094" width="10" style="2813" customWidth="1"/>
    <col min="14095" max="14096" width="10.44140625" style="2813" bestFit="1" customWidth="1"/>
    <col min="14097" max="14097" width="10" style="2813" customWidth="1"/>
    <col min="14098" max="14098" width="10.109375" style="2813" customWidth="1"/>
    <col min="14099" max="14099" width="10" style="2813" customWidth="1"/>
    <col min="14100" max="14100" width="26.109375" style="2813" customWidth="1"/>
    <col min="14101" max="14336" width="8.88671875" style="2813"/>
    <col min="14337" max="14337" width="9.44140625" style="2813" customWidth="1"/>
    <col min="14338" max="14338" width="8.88671875" style="2813"/>
    <col min="14339" max="14341" width="12.88671875" style="2813" customWidth="1"/>
    <col min="14342" max="14342" width="47.44140625" style="2813" customWidth="1"/>
    <col min="14343" max="14343" width="13" style="2813" customWidth="1"/>
    <col min="14344" max="14345" width="8.88671875" style="2813"/>
    <col min="14346" max="14346" width="5.77734375" style="2813" customWidth="1"/>
    <col min="14347" max="14347" width="11.77734375" style="2813" customWidth="1"/>
    <col min="14348" max="14349" width="10.77734375" style="2813" customWidth="1"/>
    <col min="14350" max="14350" width="10" style="2813" customWidth="1"/>
    <col min="14351" max="14352" width="10.44140625" style="2813" bestFit="1" customWidth="1"/>
    <col min="14353" max="14353" width="10" style="2813" customWidth="1"/>
    <col min="14354" max="14354" width="10.109375" style="2813" customWidth="1"/>
    <col min="14355" max="14355" width="10" style="2813" customWidth="1"/>
    <col min="14356" max="14356" width="26.109375" style="2813" customWidth="1"/>
    <col min="14357" max="14592" width="8.88671875" style="2813"/>
    <col min="14593" max="14593" width="9.44140625" style="2813" customWidth="1"/>
    <col min="14594" max="14594" width="8.88671875" style="2813"/>
    <col min="14595" max="14597" width="12.88671875" style="2813" customWidth="1"/>
    <col min="14598" max="14598" width="47.44140625" style="2813" customWidth="1"/>
    <col min="14599" max="14599" width="13" style="2813" customWidth="1"/>
    <col min="14600" max="14601" width="8.88671875" style="2813"/>
    <col min="14602" max="14602" width="5.77734375" style="2813" customWidth="1"/>
    <col min="14603" max="14603" width="11.77734375" style="2813" customWidth="1"/>
    <col min="14604" max="14605" width="10.77734375" style="2813" customWidth="1"/>
    <col min="14606" max="14606" width="10" style="2813" customWidth="1"/>
    <col min="14607" max="14608" width="10.44140625" style="2813" bestFit="1" customWidth="1"/>
    <col min="14609" max="14609" width="10" style="2813" customWidth="1"/>
    <col min="14610" max="14610" width="10.109375" style="2813" customWidth="1"/>
    <col min="14611" max="14611" width="10" style="2813" customWidth="1"/>
    <col min="14612" max="14612" width="26.109375" style="2813" customWidth="1"/>
    <col min="14613" max="14848" width="8.88671875" style="2813"/>
    <col min="14849" max="14849" width="9.44140625" style="2813" customWidth="1"/>
    <col min="14850" max="14850" width="8.88671875" style="2813"/>
    <col min="14851" max="14853" width="12.88671875" style="2813" customWidth="1"/>
    <col min="14854" max="14854" width="47.44140625" style="2813" customWidth="1"/>
    <col min="14855" max="14855" width="13" style="2813" customWidth="1"/>
    <col min="14856" max="14857" width="8.88671875" style="2813"/>
    <col min="14858" max="14858" width="5.77734375" style="2813" customWidth="1"/>
    <col min="14859" max="14859" width="11.77734375" style="2813" customWidth="1"/>
    <col min="14860" max="14861" width="10.77734375" style="2813" customWidth="1"/>
    <col min="14862" max="14862" width="10" style="2813" customWidth="1"/>
    <col min="14863" max="14864" width="10.44140625" style="2813" bestFit="1" customWidth="1"/>
    <col min="14865" max="14865" width="10" style="2813" customWidth="1"/>
    <col min="14866" max="14866" width="10.109375" style="2813" customWidth="1"/>
    <col min="14867" max="14867" width="10" style="2813" customWidth="1"/>
    <col min="14868" max="14868" width="26.109375" style="2813" customWidth="1"/>
    <col min="14869" max="15104" width="8.88671875" style="2813"/>
    <col min="15105" max="15105" width="9.44140625" style="2813" customWidth="1"/>
    <col min="15106" max="15106" width="8.88671875" style="2813"/>
    <col min="15107" max="15109" width="12.88671875" style="2813" customWidth="1"/>
    <col min="15110" max="15110" width="47.44140625" style="2813" customWidth="1"/>
    <col min="15111" max="15111" width="13" style="2813" customWidth="1"/>
    <col min="15112" max="15113" width="8.88671875" style="2813"/>
    <col min="15114" max="15114" width="5.77734375" style="2813" customWidth="1"/>
    <col min="15115" max="15115" width="11.77734375" style="2813" customWidth="1"/>
    <col min="15116" max="15117" width="10.77734375" style="2813" customWidth="1"/>
    <col min="15118" max="15118" width="10" style="2813" customWidth="1"/>
    <col min="15119" max="15120" width="10.44140625" style="2813" bestFit="1" customWidth="1"/>
    <col min="15121" max="15121" width="10" style="2813" customWidth="1"/>
    <col min="15122" max="15122" width="10.109375" style="2813" customWidth="1"/>
    <col min="15123" max="15123" width="10" style="2813" customWidth="1"/>
    <col min="15124" max="15124" width="26.109375" style="2813" customWidth="1"/>
    <col min="15125" max="15360" width="8.88671875" style="2813"/>
    <col min="15361" max="15361" width="9.44140625" style="2813" customWidth="1"/>
    <col min="15362" max="15362" width="8.88671875" style="2813"/>
    <col min="15363" max="15365" width="12.88671875" style="2813" customWidth="1"/>
    <col min="15366" max="15366" width="47.44140625" style="2813" customWidth="1"/>
    <col min="15367" max="15367" width="13" style="2813" customWidth="1"/>
    <col min="15368" max="15369" width="8.88671875" style="2813"/>
    <col min="15370" max="15370" width="5.77734375" style="2813" customWidth="1"/>
    <col min="15371" max="15371" width="11.77734375" style="2813" customWidth="1"/>
    <col min="15372" max="15373" width="10.77734375" style="2813" customWidth="1"/>
    <col min="15374" max="15374" width="10" style="2813" customWidth="1"/>
    <col min="15375" max="15376" width="10.44140625" style="2813" bestFit="1" customWidth="1"/>
    <col min="15377" max="15377" width="10" style="2813" customWidth="1"/>
    <col min="15378" max="15378" width="10.109375" style="2813" customWidth="1"/>
    <col min="15379" max="15379" width="10" style="2813" customWidth="1"/>
    <col min="15380" max="15380" width="26.109375" style="2813" customWidth="1"/>
    <col min="15381" max="15616" width="8.88671875" style="2813"/>
    <col min="15617" max="15617" width="9.44140625" style="2813" customWidth="1"/>
    <col min="15618" max="15618" width="8.88671875" style="2813"/>
    <col min="15619" max="15621" width="12.88671875" style="2813" customWidth="1"/>
    <col min="15622" max="15622" width="47.44140625" style="2813" customWidth="1"/>
    <col min="15623" max="15623" width="13" style="2813" customWidth="1"/>
    <col min="15624" max="15625" width="8.88671875" style="2813"/>
    <col min="15626" max="15626" width="5.77734375" style="2813" customWidth="1"/>
    <col min="15627" max="15627" width="11.77734375" style="2813" customWidth="1"/>
    <col min="15628" max="15629" width="10.77734375" style="2813" customWidth="1"/>
    <col min="15630" max="15630" width="10" style="2813" customWidth="1"/>
    <col min="15631" max="15632" width="10.44140625" style="2813" bestFit="1" customWidth="1"/>
    <col min="15633" max="15633" width="10" style="2813" customWidth="1"/>
    <col min="15634" max="15634" width="10.109375" style="2813" customWidth="1"/>
    <col min="15635" max="15635" width="10" style="2813" customWidth="1"/>
    <col min="15636" max="15636" width="26.109375" style="2813" customWidth="1"/>
    <col min="15637" max="15872" width="8.88671875" style="2813"/>
    <col min="15873" max="15873" width="9.44140625" style="2813" customWidth="1"/>
    <col min="15874" max="15874" width="8.88671875" style="2813"/>
    <col min="15875" max="15877" width="12.88671875" style="2813" customWidth="1"/>
    <col min="15878" max="15878" width="47.44140625" style="2813" customWidth="1"/>
    <col min="15879" max="15879" width="13" style="2813" customWidth="1"/>
    <col min="15880" max="15881" width="8.88671875" style="2813"/>
    <col min="15882" max="15882" width="5.77734375" style="2813" customWidth="1"/>
    <col min="15883" max="15883" width="11.77734375" style="2813" customWidth="1"/>
    <col min="15884" max="15885" width="10.77734375" style="2813" customWidth="1"/>
    <col min="15886" max="15886" width="10" style="2813" customWidth="1"/>
    <col min="15887" max="15888" width="10.44140625" style="2813" bestFit="1" customWidth="1"/>
    <col min="15889" max="15889" width="10" style="2813" customWidth="1"/>
    <col min="15890" max="15890" width="10.109375" style="2813" customWidth="1"/>
    <col min="15891" max="15891" width="10" style="2813" customWidth="1"/>
    <col min="15892" max="15892" width="26.109375" style="2813" customWidth="1"/>
    <col min="15893" max="16128" width="8.88671875" style="2813"/>
    <col min="16129" max="16129" width="9.44140625" style="2813" customWidth="1"/>
    <col min="16130" max="16130" width="8.88671875" style="2813"/>
    <col min="16131" max="16133" width="12.88671875" style="2813" customWidth="1"/>
    <col min="16134" max="16134" width="47.44140625" style="2813" customWidth="1"/>
    <col min="16135" max="16135" width="13" style="2813" customWidth="1"/>
    <col min="16136" max="16137" width="8.88671875" style="2813"/>
    <col min="16138" max="16138" width="5.77734375" style="2813" customWidth="1"/>
    <col min="16139" max="16139" width="11.77734375" style="2813" customWidth="1"/>
    <col min="16140" max="16141" width="10.77734375" style="2813" customWidth="1"/>
    <col min="16142" max="16142" width="10" style="2813" customWidth="1"/>
    <col min="16143" max="16144" width="10.44140625" style="2813" bestFit="1" customWidth="1"/>
    <col min="16145" max="16145" width="10" style="2813" customWidth="1"/>
    <col min="16146" max="16146" width="10.109375" style="2813" customWidth="1"/>
    <col min="16147" max="16147" width="10" style="2813" customWidth="1"/>
    <col min="16148" max="16148" width="26.109375" style="2813" customWidth="1"/>
    <col min="16149" max="16384" width="8.88671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2" customHeight="1">
      <c r="A2" s="1380" t="s">
        <v>2297</v>
      </c>
      <c r="B2" s="2814" t="e">
        <f>IF(D2="——",C40,C40+E2)</f>
        <v>#DIV/0!</v>
      </c>
      <c r="C2" s="2815" t="s">
        <v>2298</v>
      </c>
      <c r="D2" s="3413" t="s">
        <v>3340</v>
      </c>
      <c r="E2" s="3414"/>
      <c r="F2" s="2817"/>
      <c r="G2" s="2818"/>
      <c r="H2" s="2819"/>
      <c r="I2" s="2820"/>
      <c r="J2" s="3771" t="s">
        <v>2299</v>
      </c>
      <c r="K2" s="3772"/>
      <c r="L2" s="2821" t="s">
        <v>2300</v>
      </c>
      <c r="M2" s="2821" t="s">
        <v>2301</v>
      </c>
      <c r="N2" s="2821" t="s">
        <v>2302</v>
      </c>
      <c r="O2" s="2821" t="s">
        <v>2303</v>
      </c>
      <c r="P2" s="2821" t="s">
        <v>2304</v>
      </c>
      <c r="Q2" s="2822" t="s">
        <v>2305</v>
      </c>
      <c r="R2" s="2823" t="s">
        <v>2306</v>
      </c>
      <c r="S2" s="2812"/>
      <c r="T2" s="2812"/>
      <c r="U2" s="2812"/>
      <c r="V2" s="2820"/>
    </row>
    <row r="3" spans="1:22" s="2824" customFormat="1" ht="13.2" customHeight="1">
      <c r="A3" s="2825" t="s">
        <v>2307</v>
      </c>
      <c r="B3" s="2826" t="e">
        <f>ROUND(B2*10000/B4,0)</f>
        <v>#DIV/0!</v>
      </c>
      <c r="C3" s="2815" t="s">
        <v>2308</v>
      </c>
      <c r="D3" s="2815"/>
      <c r="E3" s="2816"/>
      <c r="F3" s="2817"/>
      <c r="G3" s="2818"/>
      <c r="H3" s="2819"/>
      <c r="I3" s="2820"/>
      <c r="J3" s="3773" t="s">
        <v>2309</v>
      </c>
      <c r="K3" s="3774"/>
      <c r="L3" s="2827"/>
      <c r="M3" s="2827"/>
      <c r="N3" s="2827"/>
      <c r="O3" s="2827"/>
      <c r="P3" s="2827"/>
      <c r="Q3" s="2828"/>
      <c r="R3" s="2829">
        <f>SUM(L3:Q3)</f>
        <v>0</v>
      </c>
      <c r="S3" s="2812"/>
      <c r="T3" s="2812"/>
      <c r="U3" s="2812"/>
      <c r="V3" s="2820"/>
    </row>
    <row r="4" spans="1:22" s="2824" customFormat="1" ht="13.2" customHeight="1">
      <c r="A4" s="2830" t="s">
        <v>2310</v>
      </c>
      <c r="B4" s="2831"/>
      <c r="C4" s="2815"/>
      <c r="D4" s="2815"/>
      <c r="E4" s="2816"/>
      <c r="F4" s="2817"/>
      <c r="G4" s="2818"/>
      <c r="H4" s="2819"/>
      <c r="I4" s="2820"/>
      <c r="J4" s="3773" t="s">
        <v>2311</v>
      </c>
      <c r="K4" s="3774"/>
      <c r="L4" s="2832"/>
      <c r="M4" s="2832"/>
      <c r="N4" s="2832"/>
      <c r="O4" s="2832"/>
      <c r="P4" s="2832"/>
      <c r="Q4" s="2833"/>
      <c r="R4" s="2834">
        <f>SUM(L4:Q4)</f>
        <v>0</v>
      </c>
      <c r="S4" s="2812"/>
      <c r="T4" s="2812"/>
      <c r="U4" s="2812"/>
      <c r="V4" s="2820"/>
    </row>
    <row r="5" spans="1:22" s="2824" customFormat="1" ht="13.2"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2" customHeight="1" thickBot="1">
      <c r="A6" s="3779" t="s">
        <v>2315</v>
      </c>
      <c r="B6" s="3780"/>
      <c r="C6" s="3781"/>
      <c r="D6" s="2841"/>
      <c r="E6" s="2842"/>
      <c r="F6" s="2843"/>
      <c r="G6" s="2844"/>
      <c r="H6" s="2819"/>
      <c r="I6" s="2820"/>
      <c r="J6" s="3765">
        <v>1</v>
      </c>
      <c r="K6" s="3766"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2" customHeight="1">
      <c r="A7" s="2847" t="s">
        <v>2325</v>
      </c>
      <c r="B7" s="2848"/>
      <c r="C7" s="2849"/>
      <c r="D7" s="2850">
        <f>SUM(D9,D10,D11,D17,0)</f>
        <v>0</v>
      </c>
      <c r="E7" s="2851" t="e">
        <f>E9+E10+E11+E17</f>
        <v>#DIV/0!</v>
      </c>
      <c r="F7" s="2852"/>
      <c r="G7" s="2853"/>
      <c r="H7" s="2819"/>
      <c r="I7" s="2820"/>
      <c r="J7" s="3765"/>
      <c r="K7" s="3767"/>
      <c r="L7" s="2854" t="s">
        <v>2326</v>
      </c>
      <c r="M7" s="2855"/>
      <c r="N7" s="2831"/>
      <c r="O7" s="2856"/>
      <c r="P7" s="2856"/>
      <c r="Q7" s="2857">
        <v>365</v>
      </c>
      <c r="R7" s="2858">
        <f>ROUND(M7*N7*O7*P7*Q7/10000,0)</f>
        <v>0</v>
      </c>
      <c r="S7" s="2812"/>
      <c r="T7" s="2812" t="s">
        <v>2327</v>
      </c>
      <c r="U7" s="2812"/>
      <c r="V7" s="2820"/>
    </row>
    <row r="8" spans="1:22" s="2824" customFormat="1" ht="13.2" customHeight="1">
      <c r="A8" s="2859" t="s">
        <v>2328</v>
      </c>
      <c r="B8" s="3782" t="s">
        <v>2329</v>
      </c>
      <c r="C8" s="3783"/>
      <c r="D8" s="2860" t="s">
        <v>2330</v>
      </c>
      <c r="E8" s="2861" t="s">
        <v>2331</v>
      </c>
      <c r="F8" s="2862" t="s">
        <v>2332</v>
      </c>
      <c r="G8" s="2863"/>
      <c r="H8" s="2819"/>
      <c r="I8" s="2820"/>
      <c r="J8" s="3765"/>
      <c r="K8" s="3767"/>
      <c r="L8" s="2854" t="s">
        <v>2333</v>
      </c>
      <c r="M8" s="2855"/>
      <c r="N8" s="2831"/>
      <c r="O8" s="2856"/>
      <c r="P8" s="2856"/>
      <c r="Q8" s="2857">
        <v>365</v>
      </c>
      <c r="R8" s="2858">
        <f t="shared" ref="R8:R13" si="0">ROUND(M8*N8*O8*P8*Q8/10000,0)</f>
        <v>0</v>
      </c>
      <c r="S8" s="2812"/>
      <c r="T8" s="2812" t="s">
        <v>2334</v>
      </c>
      <c r="U8" s="2812"/>
      <c r="V8" s="2820"/>
    </row>
    <row r="9" spans="1:22" s="2824" customFormat="1" ht="13.2" customHeight="1">
      <c r="A9" s="2859">
        <v>1</v>
      </c>
      <c r="B9" s="3782" t="s">
        <v>2335</v>
      </c>
      <c r="C9" s="3783"/>
      <c r="D9" s="2860">
        <f>ROUND(D6*E9,0)</f>
        <v>0</v>
      </c>
      <c r="E9" s="2864"/>
      <c r="F9" s="2865" t="s">
        <v>2336</v>
      </c>
      <c r="G9" s="2844"/>
      <c r="H9" s="2819"/>
      <c r="I9" s="2820"/>
      <c r="J9" s="3765"/>
      <c r="K9" s="3767"/>
      <c r="L9" s="2854" t="s">
        <v>2337</v>
      </c>
      <c r="M9" s="2855"/>
      <c r="N9" s="2831"/>
      <c r="O9" s="2856"/>
      <c r="P9" s="2856"/>
      <c r="Q9" s="2857">
        <v>365</v>
      </c>
      <c r="R9" s="2858">
        <f t="shared" si="0"/>
        <v>0</v>
      </c>
      <c r="S9" s="2812"/>
      <c r="T9" s="2812"/>
      <c r="U9" s="2812"/>
      <c r="V9" s="2820"/>
    </row>
    <row r="10" spans="1:22" s="2824" customFormat="1" ht="13.2" customHeight="1">
      <c r="A10" s="2859">
        <v>2</v>
      </c>
      <c r="B10" s="3782" t="s">
        <v>2338</v>
      </c>
      <c r="C10" s="3783"/>
      <c r="D10" s="2860">
        <f>ROUND(D6*E10,0)</f>
        <v>0</v>
      </c>
      <c r="E10" s="2864"/>
      <c r="F10" s="2865" t="s">
        <v>2339</v>
      </c>
      <c r="G10" s="2844"/>
      <c r="H10" s="2819"/>
      <c r="I10" s="2820"/>
      <c r="J10" s="3765"/>
      <c r="K10" s="3767"/>
      <c r="L10" s="2854" t="s">
        <v>2340</v>
      </c>
      <c r="M10" s="2855"/>
      <c r="N10" s="2831"/>
      <c r="O10" s="2856"/>
      <c r="P10" s="2856"/>
      <c r="Q10" s="2857">
        <v>365</v>
      </c>
      <c r="R10" s="2858">
        <f t="shared" si="0"/>
        <v>0</v>
      </c>
      <c r="S10" s="2812"/>
      <c r="T10" s="2812"/>
      <c r="U10" s="2812"/>
      <c r="V10" s="2820"/>
    </row>
    <row r="11" spans="1:22" s="2824" customFormat="1" ht="13.2" customHeight="1">
      <c r="A11" s="2859">
        <v>3</v>
      </c>
      <c r="B11" s="3782" t="s">
        <v>2341</v>
      </c>
      <c r="C11" s="3783"/>
      <c r="D11" s="2860">
        <f>D12+D14+D15+D16</f>
        <v>0</v>
      </c>
      <c r="E11" s="2866" t="e">
        <f>D11/D6</f>
        <v>#DIV/0!</v>
      </c>
      <c r="F11" s="2862"/>
      <c r="G11" s="2863"/>
      <c r="H11" s="2819"/>
      <c r="I11" s="2820"/>
      <c r="J11" s="3765"/>
      <c r="K11" s="3767"/>
      <c r="L11" s="2854" t="s">
        <v>2342</v>
      </c>
      <c r="M11" s="2855"/>
      <c r="N11" s="2831"/>
      <c r="O11" s="2856"/>
      <c r="P11" s="2856"/>
      <c r="Q11" s="2857">
        <v>365</v>
      </c>
      <c r="R11" s="2858">
        <f t="shared" si="0"/>
        <v>0</v>
      </c>
      <c r="S11" s="2812"/>
      <c r="T11" s="2812"/>
      <c r="U11" s="2812"/>
      <c r="V11" s="2820"/>
    </row>
    <row r="12" spans="1:22" s="2824" customFormat="1" ht="13.2" customHeight="1">
      <c r="A12" s="2867" t="s">
        <v>2343</v>
      </c>
      <c r="B12" s="3775" t="s">
        <v>2344</v>
      </c>
      <c r="C12" s="3776"/>
      <c r="D12" s="2868">
        <f>ROUND(D13*1.2%*(1-30%),0)</f>
        <v>0</v>
      </c>
      <c r="E12" s="2869">
        <v>1.2E-2</v>
      </c>
      <c r="F12" s="2862" t="s">
        <v>2345</v>
      </c>
      <c r="G12" s="2863"/>
      <c r="H12" s="2819"/>
      <c r="I12" s="2820"/>
      <c r="J12" s="3765"/>
      <c r="K12" s="3767"/>
      <c r="L12" s="2854" t="s">
        <v>2346</v>
      </c>
      <c r="M12" s="2855"/>
      <c r="N12" s="2831"/>
      <c r="O12" s="2856"/>
      <c r="P12" s="2856"/>
      <c r="Q12" s="2857">
        <v>365</v>
      </c>
      <c r="R12" s="2858">
        <f t="shared" si="0"/>
        <v>0</v>
      </c>
      <c r="S12" s="2812"/>
      <c r="T12" s="2812"/>
      <c r="U12" s="2812"/>
      <c r="V12" s="2820"/>
    </row>
    <row r="13" spans="1:22" s="2824" customFormat="1" ht="13.2" customHeight="1">
      <c r="A13" s="2867"/>
      <c r="B13" s="2870"/>
      <c r="C13" s="2871" t="s">
        <v>2347</v>
      </c>
      <c r="D13" s="2872"/>
      <c r="E13" s="2873"/>
      <c r="F13" s="2862"/>
      <c r="G13" s="2863"/>
      <c r="H13" s="2819"/>
      <c r="I13" s="2820"/>
      <c r="J13" s="3765"/>
      <c r="K13" s="3767"/>
      <c r="L13" s="2854" t="s">
        <v>2348</v>
      </c>
      <c r="M13" s="2855"/>
      <c r="N13" s="2831"/>
      <c r="O13" s="2856"/>
      <c r="P13" s="2856"/>
      <c r="Q13" s="2857">
        <v>365</v>
      </c>
      <c r="R13" s="2858">
        <f t="shared" si="0"/>
        <v>0</v>
      </c>
      <c r="S13" s="2812"/>
      <c r="T13" s="2812"/>
      <c r="U13" s="2812"/>
      <c r="V13" s="2820"/>
    </row>
    <row r="14" spans="1:22" s="2824" customFormat="1" ht="13.2" customHeight="1">
      <c r="A14" s="2867" t="s">
        <v>2349</v>
      </c>
      <c r="B14" s="3775" t="s">
        <v>2350</v>
      </c>
      <c r="C14" s="3776"/>
      <c r="D14" s="2868">
        <f>ROUND(E14*B5/10000,0)</f>
        <v>0</v>
      </c>
      <c r="E14" s="2857"/>
      <c r="F14" s="2862" t="s">
        <v>2351</v>
      </c>
      <c r="G14" s="2863"/>
      <c r="H14" s="2819"/>
      <c r="I14" s="2820"/>
      <c r="J14" s="3765"/>
      <c r="K14" s="3768"/>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2" customHeight="1">
      <c r="A15" s="2867" t="s">
        <v>2353</v>
      </c>
      <c r="B15" s="3775" t="s">
        <v>2354</v>
      </c>
      <c r="C15" s="3776"/>
      <c r="D15" s="2868">
        <f>ROUND(D6*E15,0)</f>
        <v>0</v>
      </c>
      <c r="E15" s="2869">
        <v>5.5E-2</v>
      </c>
      <c r="F15" s="2862" t="s">
        <v>2355</v>
      </c>
      <c r="G15" s="2844"/>
      <c r="H15" s="2819"/>
      <c r="I15" s="2820"/>
      <c r="J15" s="3765">
        <v>2</v>
      </c>
      <c r="K15" s="3766"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2" customHeight="1">
      <c r="A16" s="2867" t="s">
        <v>2362</v>
      </c>
      <c r="B16" s="3775" t="s">
        <v>2363</v>
      </c>
      <c r="C16" s="3776"/>
      <c r="D16" s="2879">
        <f>D6*E16</f>
        <v>0</v>
      </c>
      <c r="E16" s="2880"/>
      <c r="F16" s="2865" t="s">
        <v>2364</v>
      </c>
      <c r="G16" s="2844"/>
      <c r="H16" s="2819"/>
      <c r="I16" s="2820"/>
      <c r="J16" s="3765"/>
      <c r="K16" s="3767"/>
      <c r="L16" s="2854" t="s">
        <v>2365</v>
      </c>
      <c r="M16" s="2855"/>
      <c r="N16" s="2855"/>
      <c r="O16" s="2856"/>
      <c r="P16" s="2857">
        <v>365</v>
      </c>
      <c r="Q16" s="2831"/>
      <c r="R16" s="2878">
        <f>ROUND(M16*N16*O16*P16/10000,0)</f>
        <v>0</v>
      </c>
      <c r="S16" s="2812"/>
      <c r="T16" s="2812"/>
      <c r="U16" s="2812"/>
      <c r="V16" s="2820"/>
    </row>
    <row r="17" spans="1:22" s="2824" customFormat="1" ht="13.2" customHeight="1" thickBot="1">
      <c r="A17" s="2881">
        <v>4</v>
      </c>
      <c r="B17" s="3777" t="s">
        <v>2366</v>
      </c>
      <c r="C17" s="3778"/>
      <c r="D17" s="2882">
        <f>ROUND(D6*E17,0)</f>
        <v>0</v>
      </c>
      <c r="E17" s="2883"/>
      <c r="F17" s="2884" t="s">
        <v>2367</v>
      </c>
      <c r="G17" s="2844"/>
      <c r="H17" s="2819"/>
      <c r="I17" s="2820"/>
      <c r="J17" s="3765"/>
      <c r="K17" s="3767"/>
      <c r="L17" s="2854" t="s">
        <v>2368</v>
      </c>
      <c r="M17" s="2855"/>
      <c r="N17" s="2855"/>
      <c r="O17" s="2856"/>
      <c r="P17" s="2857">
        <v>365</v>
      </c>
      <c r="Q17" s="2831"/>
      <c r="R17" s="2878">
        <f>ROUND(M17*N17*O17*P17/10000,0)</f>
        <v>0</v>
      </c>
      <c r="S17" s="2812"/>
      <c r="T17" s="2812"/>
      <c r="U17" s="2812"/>
      <c r="V17" s="2820"/>
    </row>
    <row r="18" spans="1:22" s="2824" customFormat="1" ht="13.2" customHeight="1" thickBot="1">
      <c r="A18" s="2847" t="s">
        <v>2369</v>
      </c>
      <c r="B18" s="2848"/>
      <c r="C18" s="2848"/>
      <c r="D18" s="2885">
        <f>ROUND(D6*E18,0)</f>
        <v>0</v>
      </c>
      <c r="E18" s="2886"/>
      <c r="F18" s="2887" t="s">
        <v>2370</v>
      </c>
      <c r="G18" s="2844"/>
      <c r="H18" s="2819"/>
      <c r="I18" s="2820"/>
      <c r="J18" s="3765"/>
      <c r="K18" s="3767"/>
      <c r="L18" s="2854" t="s">
        <v>2371</v>
      </c>
      <c r="M18" s="2855"/>
      <c r="N18" s="2855"/>
      <c r="O18" s="2856"/>
      <c r="P18" s="2857">
        <v>365</v>
      </c>
      <c r="Q18" s="2831"/>
      <c r="R18" s="2878">
        <f>ROUND(M18*N18*O18*P18/10000,0)</f>
        <v>0</v>
      </c>
      <c r="S18" s="2812"/>
      <c r="T18" s="2812"/>
      <c r="U18" s="2812"/>
      <c r="V18" s="2820"/>
    </row>
    <row r="19" spans="1:22" s="2824" customFormat="1" ht="13.2" customHeight="1" thickBot="1">
      <c r="A19" s="2888" t="s">
        <v>2372</v>
      </c>
      <c r="B19" s="2842"/>
      <c r="C19" s="2842"/>
      <c r="D19" s="2842"/>
      <c r="E19" s="2842"/>
      <c r="F19" s="2843"/>
      <c r="G19" s="2863"/>
      <c r="H19" s="2819"/>
      <c r="I19" s="2820"/>
      <c r="J19" s="3765"/>
      <c r="K19" s="3768"/>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2" customHeight="1">
      <c r="A20" s="2847"/>
      <c r="B20" s="2848"/>
      <c r="C20" s="2848"/>
      <c r="D20" s="2848"/>
      <c r="E20" s="2848"/>
      <c r="F20" s="2891"/>
      <c r="G20" s="2863"/>
      <c r="H20" s="2819"/>
      <c r="I20" s="2820"/>
      <c r="J20" s="3765">
        <v>3</v>
      </c>
      <c r="K20" s="3766"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2" customHeight="1">
      <c r="A21" s="2847"/>
      <c r="B21" s="2848"/>
      <c r="C21" s="2894" t="s">
        <v>2381</v>
      </c>
      <c r="D21" s="2895" t="s">
        <v>2382</v>
      </c>
      <c r="E21" s="2896" t="s">
        <v>2383</v>
      </c>
      <c r="F21" s="2891"/>
      <c r="G21" s="2863"/>
      <c r="H21" s="2819"/>
      <c r="I21" s="2820"/>
      <c r="J21" s="3765"/>
      <c r="K21" s="3767"/>
      <c r="L21" s="2854" t="s">
        <v>2384</v>
      </c>
      <c r="M21" s="2855"/>
      <c r="N21" s="2855"/>
      <c r="O21" s="2856"/>
      <c r="P21" s="2857">
        <v>365</v>
      </c>
      <c r="Q21" s="2831"/>
      <c r="R21" s="2897">
        <f>ROUND(M21*N21*O21*P21/10000,0)</f>
        <v>0</v>
      </c>
      <c r="S21" s="2893"/>
      <c r="T21" s="2893"/>
      <c r="U21" s="2893"/>
      <c r="V21" s="2820"/>
    </row>
    <row r="22" spans="1:22" s="2824" customFormat="1" ht="13.2" customHeight="1">
      <c r="A22" s="2847"/>
      <c r="B22" s="2848"/>
      <c r="C22" s="2898" t="s">
        <v>2385</v>
      </c>
      <c r="D22" s="2899" t="s">
        <v>2386</v>
      </c>
      <c r="E22" s="2900" t="s">
        <v>2387</v>
      </c>
      <c r="F22" s="2891"/>
      <c r="G22" s="2901"/>
      <c r="H22" s="2819"/>
      <c r="I22" s="2820"/>
      <c r="J22" s="3765"/>
      <c r="K22" s="3767"/>
      <c r="L22" s="2854" t="s">
        <v>2388</v>
      </c>
      <c r="M22" s="2855"/>
      <c r="N22" s="2855"/>
      <c r="O22" s="2856"/>
      <c r="P22" s="2857">
        <v>365</v>
      </c>
      <c r="Q22" s="2831"/>
      <c r="R22" s="2897">
        <f>ROUND(M22*N22*O22*P22/10000,0)</f>
        <v>0</v>
      </c>
      <c r="S22" s="2893"/>
      <c r="T22" s="2893"/>
      <c r="U22" s="2893"/>
      <c r="V22" s="2820"/>
    </row>
    <row r="23" spans="1:22" s="2824" customFormat="1" ht="13.2" customHeight="1">
      <c r="A23" s="2902">
        <v>1</v>
      </c>
      <c r="B23" s="2903" t="s">
        <v>2389</v>
      </c>
      <c r="C23" s="2904">
        <f>D6</f>
        <v>0</v>
      </c>
      <c r="D23" s="2905">
        <f>C23*(1+D24)</f>
        <v>0</v>
      </c>
      <c r="E23" s="2906">
        <f>D23*(1+E24)</f>
        <v>0</v>
      </c>
      <c r="F23" s="2907"/>
      <c r="G23" s="2908"/>
      <c r="H23" s="2819"/>
      <c r="I23" s="2820"/>
      <c r="J23" s="3765"/>
      <c r="K23" s="3767"/>
      <c r="L23" s="2854" t="s">
        <v>2390</v>
      </c>
      <c r="M23" s="2855"/>
      <c r="N23" s="2855"/>
      <c r="O23" s="2856"/>
      <c r="P23" s="2857">
        <v>365</v>
      </c>
      <c r="Q23" s="2831"/>
      <c r="R23" s="2897">
        <f>ROUND(M23*N23*O23*P23/10000,0)</f>
        <v>0</v>
      </c>
      <c r="S23" s="2812"/>
      <c r="T23" s="2812"/>
      <c r="U23" s="2812"/>
      <c r="V23" s="2820"/>
    </row>
    <row r="24" spans="1:22" s="2824" customFormat="1" ht="13.2" customHeight="1">
      <c r="A24" s="2909"/>
      <c r="B24" s="2910" t="s">
        <v>2391</v>
      </c>
      <c r="C24" s="2911"/>
      <c r="D24" s="2912"/>
      <c r="E24" s="2913"/>
      <c r="F24" s="2914"/>
      <c r="G24" s="2908"/>
      <c r="H24" s="2819"/>
      <c r="I24" s="2820"/>
      <c r="J24" s="3765"/>
      <c r="K24" s="3768"/>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2"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2" customHeight="1">
      <c r="A26" s="2902">
        <v>2</v>
      </c>
      <c r="B26" s="2903" t="s">
        <v>2393</v>
      </c>
      <c r="C26" s="2904">
        <f>D7</f>
        <v>0</v>
      </c>
      <c r="D26" s="2905">
        <f>D23*D27</f>
        <v>0</v>
      </c>
      <c r="E26" s="2906">
        <f>E23*E27</f>
        <v>0</v>
      </c>
      <c r="F26" s="2907"/>
      <c r="G26" s="2908"/>
      <c r="H26" s="2819"/>
      <c r="I26" s="2820"/>
      <c r="J26" s="3769">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2" customHeight="1">
      <c r="A27" s="2909"/>
      <c r="B27" s="2910" t="s">
        <v>2399</v>
      </c>
      <c r="C27" s="2928" t="e">
        <f>E7</f>
        <v>#DIV/0!</v>
      </c>
      <c r="D27" s="2912"/>
      <c r="E27" s="2913"/>
      <c r="F27" s="2914"/>
      <c r="G27" s="2908"/>
      <c r="H27" s="2929"/>
      <c r="I27" s="2920"/>
      <c r="J27" s="3770"/>
      <c r="K27" s="2930"/>
      <c r="L27" s="2931"/>
      <c r="M27" s="2932"/>
      <c r="N27" s="2933"/>
      <c r="O27" s="2933"/>
      <c r="P27" s="2933"/>
      <c r="Q27" s="2934"/>
      <c r="R27" s="2890">
        <f>ROUND(O27*N27*P27*(1-Q27)/10000,0)</f>
        <v>0</v>
      </c>
      <c r="S27" s="2812"/>
      <c r="T27" s="2812"/>
      <c r="U27" s="2812"/>
      <c r="V27" s="2820"/>
    </row>
    <row r="28" spans="1:22" s="2921" customFormat="1" ht="13.2"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2"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2"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2"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2" customHeight="1">
      <c r="A32" s="2902">
        <v>4</v>
      </c>
      <c r="B32" s="2903" t="s">
        <v>2407</v>
      </c>
      <c r="C32" s="2904">
        <f>C23-C26-C29</f>
        <v>0</v>
      </c>
      <c r="D32" s="2905">
        <f>D23-D26-D29</f>
        <v>0</v>
      </c>
      <c r="E32" s="2906">
        <f>E23-E26-E29</f>
        <v>0</v>
      </c>
      <c r="F32" s="2907"/>
      <c r="G32" s="2901"/>
      <c r="H32" s="2819"/>
      <c r="I32" s="2820"/>
      <c r="J32" s="3771" t="s">
        <v>2299</v>
      </c>
      <c r="K32" s="3772"/>
      <c r="L32" s="2821" t="s">
        <v>2300</v>
      </c>
      <c r="M32" s="2821" t="s">
        <v>2301</v>
      </c>
      <c r="N32" s="2821" t="s">
        <v>2302</v>
      </c>
      <c r="O32" s="2821" t="s">
        <v>2303</v>
      </c>
      <c r="P32" s="2821" t="s">
        <v>2304</v>
      </c>
      <c r="Q32" s="2822" t="s">
        <v>2305</v>
      </c>
      <c r="R32" s="2944" t="s">
        <v>2306</v>
      </c>
      <c r="S32" s="2893"/>
      <c r="T32" s="2812"/>
      <c r="U32" s="2812"/>
      <c r="V32" s="2920"/>
    </row>
    <row r="33" spans="1:23" s="2824" customFormat="1" ht="13.2" customHeight="1">
      <c r="A33" s="2902"/>
      <c r="B33" s="2903"/>
      <c r="C33" s="2904"/>
      <c r="D33" s="2945"/>
      <c r="E33" s="2946"/>
      <c r="F33" s="2907"/>
      <c r="G33" s="2901"/>
      <c r="H33" s="2929"/>
      <c r="I33" s="2920"/>
      <c r="J33" s="3773" t="s">
        <v>2309</v>
      </c>
      <c r="K33" s="3774"/>
      <c r="L33" s="2827"/>
      <c r="M33" s="2827"/>
      <c r="N33" s="2827"/>
      <c r="O33" s="2827"/>
      <c r="P33" s="2827"/>
      <c r="Q33" s="2828"/>
      <c r="R33" s="2947">
        <f>SUM(L33:Q33)</f>
        <v>0</v>
      </c>
      <c r="S33" s="2893"/>
      <c r="T33" s="2812"/>
      <c r="U33" s="2812"/>
      <c r="V33" s="2820"/>
    </row>
    <row r="34" spans="1:23" s="2824" customFormat="1" ht="13.2" customHeight="1">
      <c r="A34" s="2902">
        <v>5</v>
      </c>
      <c r="B34" s="2903" t="s">
        <v>2408</v>
      </c>
      <c r="C34" s="2948"/>
      <c r="D34" s="2949"/>
      <c r="E34" s="2950"/>
      <c r="F34" s="2907"/>
      <c r="G34" s="2901"/>
      <c r="H34" s="2929"/>
      <c r="I34" s="2920"/>
      <c r="J34" s="3773" t="s">
        <v>2311</v>
      </c>
      <c r="K34" s="3774"/>
      <c r="L34" s="2832"/>
      <c r="M34" s="2832"/>
      <c r="N34" s="2832"/>
      <c r="O34" s="2832"/>
      <c r="P34" s="2832"/>
      <c r="Q34" s="2833"/>
      <c r="R34" s="2951">
        <f>SUM(L34:Q34)</f>
        <v>0</v>
      </c>
      <c r="S34" s="2893"/>
      <c r="T34" s="2812"/>
      <c r="U34" s="2812" t="e">
        <f>ROUND(R35*10000/365/R33,1)</f>
        <v>#DIV/0!</v>
      </c>
      <c r="V34" s="2820"/>
    </row>
    <row r="35" spans="1:23" s="2824" customFormat="1" ht="13.2"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2" customHeight="1" thickBot="1">
      <c r="A36" s="2902">
        <v>7</v>
      </c>
      <c r="B36" s="2957" t="s">
        <v>2410</v>
      </c>
      <c r="C36" s="2958"/>
      <c r="D36" s="2959"/>
      <c r="E36" s="2960"/>
      <c r="F36" s="2961">
        <f>C36+D36+E36</f>
        <v>0</v>
      </c>
      <c r="G36" s="2901"/>
      <c r="H36" s="2819"/>
      <c r="I36" s="2820"/>
      <c r="J36" s="3765">
        <v>1</v>
      </c>
      <c r="K36" s="3766" t="s">
        <v>2411</v>
      </c>
      <c r="L36" s="2845"/>
      <c r="M36" s="2846"/>
      <c r="N36" s="2846"/>
      <c r="O36" s="2846"/>
      <c r="P36" s="2846"/>
      <c r="Q36" s="2846"/>
      <c r="R36" s="2829" t="s">
        <v>2323</v>
      </c>
      <c r="S36" s="2893"/>
      <c r="T36" s="2812" t="s">
        <v>2324</v>
      </c>
      <c r="U36" s="2812"/>
      <c r="V36" s="2820"/>
    </row>
    <row r="37" spans="1:23" s="2824" customFormat="1" ht="13.2" customHeight="1">
      <c r="A37" s="2902"/>
      <c r="B37" s="2903"/>
      <c r="C37" s="2903"/>
      <c r="D37" s="2903"/>
      <c r="E37" s="2903"/>
      <c r="F37" s="2907"/>
      <c r="G37" s="2901"/>
      <c r="H37" s="2819"/>
      <c r="I37" s="2820"/>
      <c r="J37" s="3765"/>
      <c r="K37" s="3767"/>
      <c r="L37" s="2854"/>
      <c r="M37" s="2855"/>
      <c r="N37" s="2831"/>
      <c r="O37" s="2856"/>
      <c r="P37" s="2856"/>
      <c r="Q37" s="2857"/>
      <c r="R37" s="2858"/>
      <c r="S37" s="2893"/>
      <c r="T37" s="2812" t="s">
        <v>2327</v>
      </c>
      <c r="U37" s="2812"/>
      <c r="V37" s="2820"/>
    </row>
    <row r="38" spans="1:23" s="2824" customFormat="1" ht="13.2" customHeight="1">
      <c r="A38" s="2902">
        <v>8</v>
      </c>
      <c r="B38" s="2903"/>
      <c r="C38" s="2860" t="e">
        <f>ROUND(C32*(1-((1+C35)/(1+C34))^C36)/(C34-C35),0)</f>
        <v>#DIV/0!</v>
      </c>
      <c r="D38" s="2860">
        <f>IF(D23=0,0,ROUND(D32*(1-((1+D35)/(1+D34))^D36)/(D34-D35),0))</f>
        <v>0</v>
      </c>
      <c r="E38" s="2860">
        <f>IF(E23=0,0,ROUND(E32*(1-((1+E35)/(1+E34))^E36)/(E34-E35),0))</f>
        <v>0</v>
      </c>
      <c r="F38" s="2907"/>
      <c r="G38" s="2901"/>
      <c r="H38" s="2819"/>
      <c r="I38" s="2820"/>
      <c r="J38" s="3765"/>
      <c r="K38" s="3767"/>
      <c r="L38" s="2854"/>
      <c r="M38" s="2855"/>
      <c r="N38" s="2831"/>
      <c r="O38" s="2856"/>
      <c r="P38" s="2856"/>
      <c r="Q38" s="2857"/>
      <c r="R38" s="2858"/>
      <c r="S38" s="2893"/>
      <c r="T38" s="2812" t="s">
        <v>2334</v>
      </c>
      <c r="U38" s="2812"/>
      <c r="V38" s="2820"/>
    </row>
    <row r="39" spans="1:23" s="2824" customFormat="1" ht="13.2" customHeight="1">
      <c r="A39" s="2902">
        <v>9</v>
      </c>
      <c r="B39" s="2903" t="s">
        <v>2412</v>
      </c>
      <c r="C39" s="2868" t="e">
        <f>C38</f>
        <v>#DIV/0!</v>
      </c>
      <c r="D39" s="2903">
        <f>D38/(1+D34)^C36</f>
        <v>0</v>
      </c>
      <c r="E39" s="2903">
        <f>E38/(1+E34)^(C36+D36)</f>
        <v>0</v>
      </c>
      <c r="F39" s="2907"/>
      <c r="G39" s="2962"/>
      <c r="H39" s="2819"/>
      <c r="I39" s="2820"/>
      <c r="J39" s="3765"/>
      <c r="K39" s="3767"/>
      <c r="L39" s="2854"/>
      <c r="M39" s="2855"/>
      <c r="N39" s="2831"/>
      <c r="O39" s="2856"/>
      <c r="P39" s="2856"/>
      <c r="Q39" s="2857"/>
      <c r="R39" s="2858"/>
      <c r="S39" s="2893"/>
      <c r="T39" s="2812"/>
      <c r="U39" s="2812"/>
      <c r="V39" s="2820"/>
    </row>
    <row r="40" spans="1:23" s="2824" customFormat="1" ht="13.2" customHeight="1">
      <c r="A40" s="2963">
        <v>10</v>
      </c>
      <c r="B40" s="2903" t="s">
        <v>2413</v>
      </c>
      <c r="C40" s="2964" t="e">
        <f>C39+D39+E39</f>
        <v>#DIV/0!</v>
      </c>
      <c r="D40" s="2965"/>
      <c r="E40" s="2965"/>
      <c r="F40" s="2966"/>
      <c r="G40" s="2901"/>
      <c r="H40" s="2819"/>
      <c r="I40" s="2820"/>
      <c r="J40" s="3765"/>
      <c r="K40" s="3768"/>
      <c r="L40" s="2874" t="s">
        <v>2352</v>
      </c>
      <c r="M40" s="2875"/>
      <c r="N40" s="2875"/>
      <c r="O40" s="2876"/>
      <c r="P40" s="2876"/>
      <c r="Q40" s="2877"/>
      <c r="R40" s="2823">
        <f>SUM(R37:R39)</f>
        <v>0</v>
      </c>
      <c r="S40" s="2893"/>
      <c r="T40" s="2812"/>
      <c r="U40" s="2812"/>
      <c r="V40" s="2820"/>
    </row>
    <row r="41" spans="1:23" s="2824" customFormat="1" ht="13.2"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2" customHeight="1">
      <c r="G42" s="2971"/>
      <c r="H42" s="2819"/>
      <c r="I42" s="2820"/>
      <c r="J42" s="3769">
        <v>3</v>
      </c>
      <c r="K42" s="2922" t="s">
        <v>2394</v>
      </c>
      <c r="L42" s="2923"/>
      <c r="M42" s="2924"/>
      <c r="N42" s="2925" t="s">
        <v>2395</v>
      </c>
      <c r="O42" s="2925" t="s">
        <v>2396</v>
      </c>
      <c r="P42" s="2926" t="s">
        <v>2397</v>
      </c>
      <c r="Q42" s="2926" t="s">
        <v>2398</v>
      </c>
      <c r="R42" s="2829" t="s">
        <v>2323</v>
      </c>
      <c r="S42" s="2927"/>
      <c r="T42" s="2927"/>
      <c r="U42" s="2812"/>
      <c r="V42" s="2820"/>
    </row>
    <row r="43" spans="1:23" ht="13.2" customHeight="1">
      <c r="A43" s="2824"/>
      <c r="B43" s="2824"/>
      <c r="C43" s="2824"/>
      <c r="D43" s="2824"/>
      <c r="E43" s="2824"/>
      <c r="F43" s="2824"/>
      <c r="I43" s="2807"/>
      <c r="J43" s="3770"/>
      <c r="K43" s="2930"/>
      <c r="L43" s="2931"/>
      <c r="M43" s="2932"/>
      <c r="N43" s="2855"/>
      <c r="O43" s="2855"/>
      <c r="P43" s="2855"/>
      <c r="Q43" s="2919"/>
      <c r="R43" s="2890">
        <f>ROUND(O43*N43*P43*(1-Q43)/10000,0)</f>
        <v>0</v>
      </c>
      <c r="S43" s="2893"/>
      <c r="T43" s="2812"/>
      <c r="V43" s="2973"/>
      <c r="W43" s="2974"/>
    </row>
    <row r="44" spans="1:23" ht="13.2"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36" width="9" style="357"/>
    <col min="37" max="37" width="10.88671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4.4">
      <c r="A4" s="355" t="s">
        <v>1753</v>
      </c>
      <c r="B4" s="356"/>
      <c r="C4" s="3802" t="s">
        <v>1754</v>
      </c>
      <c r="D4" s="3803"/>
      <c r="E4" s="3804" t="s">
        <v>1755</v>
      </c>
      <c r="F4" s="3805"/>
      <c r="G4" s="3802" t="s">
        <v>1756</v>
      </c>
      <c r="H4" s="3803"/>
      <c r="I4" s="3802" t="s">
        <v>1757</v>
      </c>
      <c r="J4" s="3803"/>
      <c r="K4" s="559" t="s">
        <v>1758</v>
      </c>
      <c r="L4" s="2686"/>
      <c r="M4" s="2687"/>
      <c r="N4" s="2687"/>
      <c r="O4" s="2687"/>
      <c r="P4" s="3806" t="s">
        <v>1759</v>
      </c>
      <c r="Q4" s="3807"/>
      <c r="R4" s="3812" t="s">
        <v>1755</v>
      </c>
      <c r="S4" s="3813"/>
      <c r="T4" s="3812" t="s">
        <v>1756</v>
      </c>
      <c r="U4" s="3813"/>
      <c r="V4" s="3818" t="s">
        <v>1757</v>
      </c>
      <c r="W4" s="3818"/>
      <c r="X4" s="1953"/>
      <c r="Y4" s="3812" t="s">
        <v>1759</v>
      </c>
      <c r="Z4" s="3813"/>
      <c r="AA4" s="3831" t="s">
        <v>1755</v>
      </c>
      <c r="AB4" s="3831" t="s">
        <v>1756</v>
      </c>
      <c r="AC4" s="3799" t="s">
        <v>1757</v>
      </c>
    </row>
    <row r="5" spans="1:29">
      <c r="A5" s="358"/>
      <c r="B5" s="359"/>
      <c r="C5" s="3828" t="s">
        <v>1657</v>
      </c>
      <c r="D5" s="3823"/>
      <c r="E5" s="3834" t="e">
        <f>#REF!</f>
        <v>#REF!</v>
      </c>
      <c r="F5" s="3835"/>
      <c r="G5" s="3822" t="e">
        <f>#REF!</f>
        <v>#REF!</v>
      </c>
      <c r="H5" s="3823"/>
      <c r="I5" s="3828" t="e">
        <f>#REF!</f>
        <v>#REF!</v>
      </c>
      <c r="J5" s="3823"/>
      <c r="K5" s="559"/>
      <c r="L5" s="2686"/>
      <c r="M5" s="2687"/>
      <c r="N5" s="2687"/>
      <c r="O5" s="2687"/>
      <c r="P5" s="3808"/>
      <c r="Q5" s="3809"/>
      <c r="R5" s="3814"/>
      <c r="S5" s="3815"/>
      <c r="T5" s="3814"/>
      <c r="U5" s="3815"/>
      <c r="V5" s="3819"/>
      <c r="W5" s="3819"/>
      <c r="X5" s="1350"/>
      <c r="Y5" s="3814"/>
      <c r="Z5" s="3815"/>
      <c r="AA5" s="3832"/>
      <c r="AB5" s="3832"/>
      <c r="AC5" s="3800"/>
    </row>
    <row r="6" spans="1:29" ht="15" thickBot="1">
      <c r="A6" s="360"/>
      <c r="B6" s="361"/>
      <c r="C6" s="3820" t="s">
        <v>1661</v>
      </c>
      <c r="D6" s="3821"/>
      <c r="E6" s="3829" t="s">
        <v>1661</v>
      </c>
      <c r="F6" s="3830"/>
      <c r="G6" s="3820" t="s">
        <v>1661</v>
      </c>
      <c r="H6" s="3821"/>
      <c r="I6" s="3820" t="s">
        <v>1661</v>
      </c>
      <c r="J6" s="3821"/>
      <c r="K6" s="559" t="s">
        <v>1662</v>
      </c>
      <c r="L6" s="2686"/>
      <c r="M6" s="2687"/>
      <c r="N6" s="2687"/>
      <c r="O6" s="2687"/>
      <c r="P6" s="3810"/>
      <c r="Q6" s="3811"/>
      <c r="R6" s="3814"/>
      <c r="S6" s="3815"/>
      <c r="T6" s="3816"/>
      <c r="U6" s="3817"/>
      <c r="V6" s="3819"/>
      <c r="W6" s="3819"/>
      <c r="X6" s="1350"/>
      <c r="Y6" s="3816"/>
      <c r="Z6" s="3817"/>
      <c r="AA6" s="3833"/>
      <c r="AB6" s="3833"/>
      <c r="AC6" s="3801"/>
    </row>
    <row r="7" spans="1:29" s="108" customFormat="1" ht="15" thickBot="1">
      <c r="A7" s="362" t="s">
        <v>1663</v>
      </c>
      <c r="B7" s="363"/>
      <c r="C7" s="364">
        <f>'数据-取费表'!B2</f>
        <v>45309</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24" t="s">
        <v>1664</v>
      </c>
      <c r="Q7" s="3827"/>
      <c r="R7" s="700" t="s">
        <v>14</v>
      </c>
      <c r="S7" s="701">
        <f t="shared" ref="S7:S15" si="0">F7</f>
        <v>100</v>
      </c>
      <c r="T7" s="700" t="s">
        <v>14</v>
      </c>
      <c r="U7" s="701">
        <f t="shared" ref="U7:U15" si="1">H7</f>
        <v>100</v>
      </c>
      <c r="V7" s="700" t="s">
        <v>14</v>
      </c>
      <c r="W7" s="701">
        <f t="shared" ref="W7:W15" si="2">J7</f>
        <v>100</v>
      </c>
      <c r="X7" s="702"/>
      <c r="Y7" s="3826" t="s">
        <v>1664</v>
      </c>
      <c r="Z7" s="3825"/>
      <c r="AA7" s="703">
        <f>D7/F7</f>
        <v>1</v>
      </c>
      <c r="AB7" s="703">
        <f>D7/H7</f>
        <v>1</v>
      </c>
      <c r="AC7" s="1954">
        <f>D7/J7</f>
        <v>1</v>
      </c>
    </row>
    <row r="8" spans="1:29" s="108" customFormat="1" ht="1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24" t="s">
        <v>1667</v>
      </c>
      <c r="Q8" s="3825"/>
      <c r="R8" s="700" t="s">
        <v>14</v>
      </c>
      <c r="S8" s="701">
        <f t="shared" si="0"/>
        <v>102</v>
      </c>
      <c r="T8" s="700" t="s">
        <v>14</v>
      </c>
      <c r="U8" s="701">
        <f t="shared" si="1"/>
        <v>102</v>
      </c>
      <c r="V8" s="700" t="s">
        <v>14</v>
      </c>
      <c r="W8" s="701">
        <f t="shared" si="2"/>
        <v>102</v>
      </c>
      <c r="X8" s="702"/>
      <c r="Y8" s="3826" t="s">
        <v>1667</v>
      </c>
      <c r="Z8" s="3825"/>
      <c r="AA8" s="703">
        <f t="shared" ref="AA8:AA47" si="3">D8/F8</f>
        <v>0.98039215686274506</v>
      </c>
      <c r="AB8" s="703">
        <f t="shared" ref="AB8:AB47" si="4">D8/H8</f>
        <v>0.98039215686274506</v>
      </c>
      <c r="AC8" s="1954">
        <f t="shared" ref="AC8:AC47" si="5">D8/J8</f>
        <v>0.98039215686274506</v>
      </c>
    </row>
    <row r="9" spans="1:29" s="108" customFormat="1" ht="14.4">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784" t="s">
        <v>1670</v>
      </c>
      <c r="Q9" s="1338" t="str">
        <f t="shared" ref="Q9:Q15" si="6">B9</f>
        <v>用途</v>
      </c>
      <c r="R9" s="700" t="s">
        <v>14</v>
      </c>
      <c r="S9" s="701">
        <f t="shared" si="0"/>
        <v>95</v>
      </c>
      <c r="T9" s="700" t="s">
        <v>14</v>
      </c>
      <c r="U9" s="701">
        <f t="shared" si="1"/>
        <v>95</v>
      </c>
      <c r="V9" s="700" t="s">
        <v>14</v>
      </c>
      <c r="W9" s="701">
        <f t="shared" si="2"/>
        <v>95</v>
      </c>
      <c r="X9" s="702"/>
      <c r="Y9" s="3663" t="s">
        <v>1671</v>
      </c>
      <c r="Z9" s="52" t="str">
        <f t="shared" ref="Z9:Z15" si="7">Q9</f>
        <v>用途</v>
      </c>
      <c r="AA9" s="703">
        <f t="shared" si="3"/>
        <v>1.0526315789473684</v>
      </c>
      <c r="AB9" s="703">
        <f t="shared" si="4"/>
        <v>1.0526315789473684</v>
      </c>
      <c r="AC9" s="1954">
        <f t="shared" si="5"/>
        <v>1.0526315789473684</v>
      </c>
    </row>
    <row r="10" spans="1:29" s="378" customFormat="1" ht="28.8">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784"/>
      <c r="Q10" s="1338" t="str">
        <f t="shared" si="6"/>
        <v>土地使用年限（年）</v>
      </c>
      <c r="R10" s="700" t="s">
        <v>14</v>
      </c>
      <c r="S10" s="701">
        <f t="shared" si="0"/>
        <v>104</v>
      </c>
      <c r="T10" s="700" t="s">
        <v>14</v>
      </c>
      <c r="U10" s="701">
        <f t="shared" si="1"/>
        <v>102</v>
      </c>
      <c r="V10" s="700" t="s">
        <v>14</v>
      </c>
      <c r="W10" s="701">
        <f t="shared" si="2"/>
        <v>104</v>
      </c>
      <c r="X10" s="702"/>
      <c r="Y10" s="3663"/>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784"/>
      <c r="Q11" s="1338"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784"/>
      <c r="Q12" s="1338" t="str">
        <f t="shared" si="6"/>
        <v>建成</v>
      </c>
      <c r="R12" s="700" t="s">
        <v>14</v>
      </c>
      <c r="S12" s="701">
        <f t="shared" si="0"/>
        <v>100</v>
      </c>
      <c r="T12" s="700" t="s">
        <v>14</v>
      </c>
      <c r="U12" s="701">
        <f t="shared" si="1"/>
        <v>100</v>
      </c>
      <c r="V12" s="700" t="s">
        <v>14</v>
      </c>
      <c r="W12" s="701">
        <f t="shared" si="2"/>
        <v>100</v>
      </c>
      <c r="X12" s="702"/>
      <c r="Y12" s="3663"/>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784"/>
      <c r="Q13" s="1338" t="str">
        <f t="shared" si="6"/>
        <v>剩余年限</v>
      </c>
      <c r="R13" s="700" t="s">
        <v>14</v>
      </c>
      <c r="S13" s="701">
        <f t="shared" si="0"/>
        <v>100</v>
      </c>
      <c r="T13" s="700" t="s">
        <v>14</v>
      </c>
      <c r="U13" s="701">
        <f t="shared" si="1"/>
        <v>100</v>
      </c>
      <c r="V13" s="700" t="s">
        <v>14</v>
      </c>
      <c r="W13" s="701">
        <f t="shared" si="2"/>
        <v>100</v>
      </c>
      <c r="X13" s="702"/>
      <c r="Y13" s="3663"/>
      <c r="Z13" s="52" t="str">
        <f t="shared" si="7"/>
        <v>剩余年限</v>
      </c>
      <c r="AA13" s="703">
        <f t="shared" si="3"/>
        <v>1</v>
      </c>
      <c r="AB13" s="703">
        <f t="shared" si="4"/>
        <v>1</v>
      </c>
      <c r="AC13" s="1954">
        <f t="shared" si="5"/>
        <v>1</v>
      </c>
    </row>
    <row r="14" spans="1:29" ht="15.6"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84"/>
      <c r="Q14" s="1338">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790" t="s">
        <v>1675</v>
      </c>
      <c r="Q15" s="1347" t="str">
        <f t="shared" si="6"/>
        <v>办公集聚程度</v>
      </c>
      <c r="R15" s="704" t="s">
        <v>14</v>
      </c>
      <c r="S15" s="705">
        <f t="shared" si="0"/>
        <v>100</v>
      </c>
      <c r="T15" s="704" t="s">
        <v>14</v>
      </c>
      <c r="U15" s="705">
        <f t="shared" si="1"/>
        <v>100</v>
      </c>
      <c r="V15" s="704" t="s">
        <v>14</v>
      </c>
      <c r="W15" s="705">
        <f t="shared" si="2"/>
        <v>100</v>
      </c>
      <c r="X15" s="1350"/>
      <c r="Y15" s="3792"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791"/>
      <c r="Q16" s="1347"/>
      <c r="R16" s="704"/>
      <c r="S16" s="705"/>
      <c r="T16" s="704"/>
      <c r="U16" s="705"/>
      <c r="V16" s="704"/>
      <c r="W16" s="705"/>
      <c r="X16" s="1350"/>
      <c r="Y16" s="3793"/>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791"/>
      <c r="Q17" s="1347" t="str">
        <f>B17</f>
        <v>交通便捷度</v>
      </c>
      <c r="R17" s="704" t="s">
        <v>14</v>
      </c>
      <c r="S17" s="705">
        <f>F17</f>
        <v>100</v>
      </c>
      <c r="T17" s="704" t="s">
        <v>14</v>
      </c>
      <c r="U17" s="705">
        <f>H17</f>
        <v>100</v>
      </c>
      <c r="V17" s="704" t="s">
        <v>14</v>
      </c>
      <c r="W17" s="705">
        <f>J17</f>
        <v>100</v>
      </c>
      <c r="X17" s="1350"/>
      <c r="Y17" s="3793"/>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791"/>
      <c r="Q18" s="1347"/>
      <c r="R18" s="704"/>
      <c r="S18" s="705"/>
      <c r="T18" s="704"/>
      <c r="U18" s="705"/>
      <c r="V18" s="704"/>
      <c r="W18" s="705"/>
      <c r="X18" s="1350"/>
      <c r="Y18" s="3793"/>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791"/>
      <c r="Q19" s="1347" t="str">
        <f>B19</f>
        <v>公共配套设施</v>
      </c>
      <c r="R19" s="704" t="s">
        <v>14</v>
      </c>
      <c r="S19" s="705">
        <f>F19</f>
        <v>100</v>
      </c>
      <c r="T19" s="704" t="s">
        <v>14</v>
      </c>
      <c r="U19" s="705">
        <f>H19</f>
        <v>100</v>
      </c>
      <c r="V19" s="704" t="s">
        <v>14</v>
      </c>
      <c r="W19" s="705">
        <f>J19</f>
        <v>100</v>
      </c>
      <c r="X19" s="1350"/>
      <c r="Y19" s="3793"/>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791"/>
      <c r="Q20" s="1347"/>
      <c r="R20" s="704"/>
      <c r="S20" s="705"/>
      <c r="T20" s="704"/>
      <c r="U20" s="705"/>
      <c r="V20" s="704"/>
      <c r="W20" s="705"/>
      <c r="X20" s="1350"/>
      <c r="Y20" s="3793"/>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791"/>
      <c r="Q21" s="1347" t="str">
        <f>B21</f>
        <v>基础设施水平</v>
      </c>
      <c r="R21" s="704" t="s">
        <v>14</v>
      </c>
      <c r="S21" s="705">
        <f>F21</f>
        <v>100</v>
      </c>
      <c r="T21" s="704" t="s">
        <v>14</v>
      </c>
      <c r="U21" s="705">
        <f>H21</f>
        <v>100</v>
      </c>
      <c r="V21" s="704" t="s">
        <v>14</v>
      </c>
      <c r="W21" s="705">
        <f>J21</f>
        <v>100</v>
      </c>
      <c r="X21" s="1350"/>
      <c r="Y21" s="3793"/>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791"/>
      <c r="Q22" s="1347"/>
      <c r="R22" s="704"/>
      <c r="S22" s="705"/>
      <c r="T22" s="704"/>
      <c r="U22" s="705"/>
      <c r="V22" s="704"/>
      <c r="W22" s="705"/>
      <c r="X22" s="1350"/>
      <c r="Y22" s="3793"/>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791"/>
      <c r="Q23" s="1347" t="str">
        <f>B23</f>
        <v>环境质量</v>
      </c>
      <c r="R23" s="704" t="s">
        <v>14</v>
      </c>
      <c r="S23" s="705">
        <f>F23</f>
        <v>100</v>
      </c>
      <c r="T23" s="704" t="s">
        <v>14</v>
      </c>
      <c r="U23" s="705">
        <f>H23</f>
        <v>100</v>
      </c>
      <c r="V23" s="704" t="s">
        <v>14</v>
      </c>
      <c r="W23" s="705">
        <f>J23</f>
        <v>100</v>
      </c>
      <c r="X23" s="1350"/>
      <c r="Y23" s="3793"/>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791"/>
      <c r="Q24" s="1347"/>
      <c r="R24" s="704"/>
      <c r="S24" s="705"/>
      <c r="T24" s="704"/>
      <c r="U24" s="705"/>
      <c r="V24" s="704"/>
      <c r="W24" s="705"/>
      <c r="X24" s="1350"/>
      <c r="Y24" s="3793"/>
      <c r="Z24" s="1351"/>
      <c r="AA24" s="1348">
        <v>1</v>
      </c>
      <c r="AB24" s="1348">
        <v>1</v>
      </c>
      <c r="AC24" s="1957">
        <v>1</v>
      </c>
    </row>
    <row r="25" spans="1:29" ht="28.8">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791"/>
      <c r="Q25" s="1347" t="str">
        <f>B25</f>
        <v>毗邻道路的类型与等级</v>
      </c>
      <c r="R25" s="704" t="s">
        <v>14</v>
      </c>
      <c r="S25" s="705">
        <f>F25</f>
        <v>99</v>
      </c>
      <c r="T25" s="704" t="s">
        <v>14</v>
      </c>
      <c r="U25" s="705">
        <f>H25</f>
        <v>99</v>
      </c>
      <c r="V25" s="704" t="s">
        <v>14</v>
      </c>
      <c r="W25" s="705">
        <f>J25</f>
        <v>99</v>
      </c>
      <c r="X25" s="1350"/>
      <c r="Y25" s="3793"/>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791"/>
      <c r="Q26" s="1347"/>
      <c r="R26" s="704"/>
      <c r="S26" s="705"/>
      <c r="T26" s="704"/>
      <c r="U26" s="705"/>
      <c r="V26" s="704"/>
      <c r="W26" s="705"/>
      <c r="X26" s="1350"/>
      <c r="Y26" s="3793"/>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791"/>
      <c r="Q27" s="1347" t="str">
        <f t="shared" ref="Q27:Q47" si="11">B27</f>
        <v>楼层</v>
      </c>
      <c r="R27" s="704" t="s">
        <v>14</v>
      </c>
      <c r="S27" s="705">
        <f>F27</f>
        <v>104</v>
      </c>
      <c r="T27" s="704" t="s">
        <v>14</v>
      </c>
      <c r="U27" s="705">
        <f>H27</f>
        <v>102</v>
      </c>
      <c r="V27" s="704" t="s">
        <v>14</v>
      </c>
      <c r="W27" s="705">
        <f>J27</f>
        <v>102</v>
      </c>
      <c r="X27" s="1350"/>
      <c r="Y27" s="3793"/>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791"/>
      <c r="Q28" s="1338" t="str">
        <f t="shared" si="11"/>
        <v>朝向</v>
      </c>
      <c r="R28" s="700" t="s">
        <v>14</v>
      </c>
      <c r="S28" s="701">
        <f>F28</f>
        <v>100</v>
      </c>
      <c r="T28" s="700" t="s">
        <v>14</v>
      </c>
      <c r="U28" s="701">
        <f>H28</f>
        <v>100</v>
      </c>
      <c r="V28" s="700" t="s">
        <v>14</v>
      </c>
      <c r="W28" s="701">
        <f>J28</f>
        <v>100</v>
      </c>
      <c r="X28" s="702"/>
      <c r="Y28" s="3793"/>
      <c r="Z28" s="52" t="str">
        <f>Q28</f>
        <v>朝向</v>
      </c>
      <c r="AA28" s="1348">
        <f>D28/F28</f>
        <v>1</v>
      </c>
      <c r="AB28" s="1348">
        <f>D28/H28</f>
        <v>1</v>
      </c>
      <c r="AC28" s="1957">
        <f>D28/J28</f>
        <v>1</v>
      </c>
    </row>
    <row r="29" spans="1:29" ht="15.6"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791"/>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793"/>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791"/>
      <c r="Q30" s="1347">
        <f t="shared" si="11"/>
        <v>111</v>
      </c>
      <c r="R30" s="704" t="s">
        <v>14</v>
      </c>
      <c r="S30" s="705">
        <f t="shared" si="12"/>
        <v>100</v>
      </c>
      <c r="T30" s="704" t="s">
        <v>14</v>
      </c>
      <c r="U30" s="705">
        <f t="shared" si="13"/>
        <v>100</v>
      </c>
      <c r="V30" s="704" t="s">
        <v>14</v>
      </c>
      <c r="W30" s="705">
        <f t="shared" si="14"/>
        <v>100</v>
      </c>
      <c r="X30" s="1350"/>
      <c r="Y30" s="3793"/>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791"/>
      <c r="Q31" s="1347">
        <f t="shared" si="11"/>
        <v>111</v>
      </c>
      <c r="R31" s="704" t="s">
        <v>14</v>
      </c>
      <c r="S31" s="705">
        <f t="shared" si="12"/>
        <v>100</v>
      </c>
      <c r="T31" s="704" t="s">
        <v>14</v>
      </c>
      <c r="U31" s="705">
        <f t="shared" si="13"/>
        <v>100</v>
      </c>
      <c r="V31" s="704" t="s">
        <v>14</v>
      </c>
      <c r="W31" s="705">
        <f t="shared" si="14"/>
        <v>100</v>
      </c>
      <c r="X31" s="1350"/>
      <c r="Y31" s="3793"/>
      <c r="Z31" s="1351">
        <f t="shared" si="15"/>
        <v>111</v>
      </c>
      <c r="AA31" s="1348">
        <f t="shared" si="3"/>
        <v>1</v>
      </c>
      <c r="AB31" s="1348">
        <f t="shared" si="4"/>
        <v>1</v>
      </c>
      <c r="AC31" s="1957">
        <f t="shared" si="5"/>
        <v>1</v>
      </c>
    </row>
    <row r="32" spans="1:29" ht="15.6"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791"/>
      <c r="Q32" s="1347">
        <f t="shared" si="11"/>
        <v>111</v>
      </c>
      <c r="R32" s="704" t="s">
        <v>14</v>
      </c>
      <c r="S32" s="705">
        <f t="shared" si="12"/>
        <v>100</v>
      </c>
      <c r="T32" s="704" t="s">
        <v>14</v>
      </c>
      <c r="U32" s="705">
        <f t="shared" si="13"/>
        <v>100</v>
      </c>
      <c r="V32" s="704" t="s">
        <v>14</v>
      </c>
      <c r="W32" s="705">
        <f t="shared" si="14"/>
        <v>100</v>
      </c>
      <c r="X32" s="1350"/>
      <c r="Y32" s="3793"/>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794" t="s">
        <v>1680</v>
      </c>
      <c r="Q33" s="1347" t="str">
        <f t="shared" si="11"/>
        <v>建筑类型</v>
      </c>
      <c r="R33" s="704" t="s">
        <v>14</v>
      </c>
      <c r="S33" s="705">
        <f t="shared" si="12"/>
        <v>100</v>
      </c>
      <c r="T33" s="704" t="s">
        <v>14</v>
      </c>
      <c r="U33" s="705">
        <f t="shared" si="13"/>
        <v>100</v>
      </c>
      <c r="V33" s="704" t="s">
        <v>14</v>
      </c>
      <c r="W33" s="705">
        <f t="shared" si="14"/>
        <v>100</v>
      </c>
      <c r="X33" s="1350"/>
      <c r="Y33" s="3797"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795"/>
      <c r="Q34" s="706" t="str">
        <f t="shared" si="11"/>
        <v>项目建筑规模</v>
      </c>
      <c r="R34" s="707" t="s">
        <v>14</v>
      </c>
      <c r="S34" s="708" t="e">
        <f t="shared" si="12"/>
        <v>#REF!</v>
      </c>
      <c r="T34" s="707" t="s">
        <v>14</v>
      </c>
      <c r="U34" s="708" t="e">
        <f t="shared" si="13"/>
        <v>#REF!</v>
      </c>
      <c r="V34" s="707" t="s">
        <v>14</v>
      </c>
      <c r="W34" s="708" t="e">
        <f t="shared" si="14"/>
        <v>#REF!</v>
      </c>
      <c r="X34" s="709"/>
      <c r="Y34" s="3797"/>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795"/>
      <c r="Q35" s="1347" t="str">
        <f t="shared" si="11"/>
        <v>建筑结构</v>
      </c>
      <c r="R35" s="704" t="s">
        <v>14</v>
      </c>
      <c r="S35" s="705">
        <f t="shared" si="12"/>
        <v>100</v>
      </c>
      <c r="T35" s="704" t="s">
        <v>14</v>
      </c>
      <c r="U35" s="705">
        <f t="shared" si="13"/>
        <v>100</v>
      </c>
      <c r="V35" s="704" t="s">
        <v>14</v>
      </c>
      <c r="W35" s="705">
        <f t="shared" si="14"/>
        <v>100</v>
      </c>
      <c r="X35" s="1350"/>
      <c r="Y35" s="3797"/>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795"/>
      <c r="Q36" s="1347" t="str">
        <f t="shared" si="11"/>
        <v>公共部分装修</v>
      </c>
      <c r="R36" s="704" t="s">
        <v>14</v>
      </c>
      <c r="S36" s="705">
        <f t="shared" si="12"/>
        <v>100</v>
      </c>
      <c r="T36" s="704" t="s">
        <v>14</v>
      </c>
      <c r="U36" s="705">
        <f t="shared" si="13"/>
        <v>100</v>
      </c>
      <c r="V36" s="704" t="s">
        <v>14</v>
      </c>
      <c r="W36" s="705">
        <f t="shared" si="14"/>
        <v>100</v>
      </c>
      <c r="X36" s="1350"/>
      <c r="Y36" s="3797"/>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795"/>
      <c r="Q37" s="1347" t="str">
        <f t="shared" si="11"/>
        <v>成新度</v>
      </c>
      <c r="R37" s="704" t="s">
        <v>14</v>
      </c>
      <c r="S37" s="705">
        <f t="shared" si="12"/>
        <v>96</v>
      </c>
      <c r="T37" s="704" t="s">
        <v>14</v>
      </c>
      <c r="U37" s="705">
        <f t="shared" si="13"/>
        <v>96</v>
      </c>
      <c r="V37" s="704" t="s">
        <v>14</v>
      </c>
      <c r="W37" s="705">
        <f t="shared" si="14"/>
        <v>96</v>
      </c>
      <c r="X37" s="1350"/>
      <c r="Y37" s="3797"/>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795"/>
      <c r="Q38" s="1338" t="str">
        <f t="shared" si="11"/>
        <v>写字楼等级</v>
      </c>
      <c r="R38" s="700" t="s">
        <v>14</v>
      </c>
      <c r="S38" s="701">
        <f t="shared" si="12"/>
        <v>100</v>
      </c>
      <c r="T38" s="700" t="s">
        <v>14</v>
      </c>
      <c r="U38" s="701">
        <f t="shared" si="13"/>
        <v>100</v>
      </c>
      <c r="V38" s="700" t="s">
        <v>14</v>
      </c>
      <c r="W38" s="701">
        <f t="shared" si="14"/>
        <v>100</v>
      </c>
      <c r="X38" s="702"/>
      <c r="Y38" s="3797"/>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795" t="s">
        <v>1680</v>
      </c>
      <c r="Q39" s="1347" t="str">
        <f t="shared" si="11"/>
        <v>物业管理</v>
      </c>
      <c r="R39" s="704" t="s">
        <v>14</v>
      </c>
      <c r="S39" s="705">
        <f t="shared" si="12"/>
        <v>100</v>
      </c>
      <c r="T39" s="704" t="s">
        <v>14</v>
      </c>
      <c r="U39" s="705">
        <f t="shared" si="13"/>
        <v>100</v>
      </c>
      <c r="V39" s="704" t="s">
        <v>14</v>
      </c>
      <c r="W39" s="705">
        <f t="shared" si="14"/>
        <v>100</v>
      </c>
      <c r="X39" s="1350"/>
      <c r="Y39" s="3797"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795"/>
      <c r="Q40" s="1347" t="str">
        <f t="shared" si="11"/>
        <v>市政基础设施</v>
      </c>
      <c r="R40" s="704" t="s">
        <v>14</v>
      </c>
      <c r="S40" s="705">
        <f t="shared" si="12"/>
        <v>100</v>
      </c>
      <c r="T40" s="704" t="s">
        <v>14</v>
      </c>
      <c r="U40" s="705">
        <f t="shared" si="13"/>
        <v>100</v>
      </c>
      <c r="V40" s="704" t="s">
        <v>14</v>
      </c>
      <c r="W40" s="705">
        <f t="shared" si="14"/>
        <v>100</v>
      </c>
      <c r="X40" s="1350"/>
      <c r="Y40" s="3797"/>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795"/>
      <c r="Q41" s="1347" t="str">
        <f t="shared" si="11"/>
        <v>层高</v>
      </c>
      <c r="R41" s="704" t="s">
        <v>14</v>
      </c>
      <c r="S41" s="705">
        <f t="shared" si="12"/>
        <v>100</v>
      </c>
      <c r="T41" s="704" t="s">
        <v>14</v>
      </c>
      <c r="U41" s="705">
        <f t="shared" si="13"/>
        <v>100</v>
      </c>
      <c r="V41" s="704" t="s">
        <v>14</v>
      </c>
      <c r="W41" s="705">
        <f t="shared" si="14"/>
        <v>100</v>
      </c>
      <c r="X41" s="1350"/>
      <c r="Y41" s="3797"/>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795"/>
      <c r="Q42" s="706" t="str">
        <f t="shared" si="11"/>
        <v>单套建筑面积</v>
      </c>
      <c r="R42" s="707" t="s">
        <v>14</v>
      </c>
      <c r="S42" s="708">
        <f t="shared" si="12"/>
        <v>100</v>
      </c>
      <c r="T42" s="707" t="s">
        <v>14</v>
      </c>
      <c r="U42" s="708">
        <f t="shared" si="13"/>
        <v>100</v>
      </c>
      <c r="V42" s="707" t="s">
        <v>14</v>
      </c>
      <c r="W42" s="708">
        <f t="shared" si="14"/>
        <v>100</v>
      </c>
      <c r="X42" s="709"/>
      <c r="Y42" s="3797"/>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795"/>
      <c r="Q43" s="1347" t="str">
        <f t="shared" si="11"/>
        <v>内部装修</v>
      </c>
      <c r="R43" s="704" t="s">
        <v>14</v>
      </c>
      <c r="S43" s="705">
        <f t="shared" si="12"/>
        <v>100</v>
      </c>
      <c r="T43" s="704" t="s">
        <v>14</v>
      </c>
      <c r="U43" s="705">
        <f t="shared" si="13"/>
        <v>100</v>
      </c>
      <c r="V43" s="704" t="s">
        <v>14</v>
      </c>
      <c r="W43" s="705">
        <f t="shared" si="14"/>
        <v>100</v>
      </c>
      <c r="X43" s="1350"/>
      <c r="Y43" s="3797"/>
      <c r="Z43" s="1351" t="str">
        <f t="shared" si="15"/>
        <v>内部装修</v>
      </c>
      <c r="AA43" s="1348">
        <f t="shared" si="3"/>
        <v>1</v>
      </c>
      <c r="AB43" s="1348">
        <f t="shared" si="4"/>
        <v>1</v>
      </c>
      <c r="AC43" s="1957">
        <f t="shared" si="5"/>
        <v>1</v>
      </c>
    </row>
    <row r="44" spans="1:29" ht="29.4"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795"/>
      <c r="Q44" s="1347" t="str">
        <f t="shared" si="11"/>
        <v>内部装修维护情况</v>
      </c>
      <c r="R44" s="704" t="s">
        <v>14</v>
      </c>
      <c r="S44" s="705">
        <f t="shared" si="12"/>
        <v>100</v>
      </c>
      <c r="T44" s="704" t="s">
        <v>14</v>
      </c>
      <c r="U44" s="705">
        <f t="shared" si="13"/>
        <v>100</v>
      </c>
      <c r="V44" s="704" t="s">
        <v>14</v>
      </c>
      <c r="W44" s="705">
        <f t="shared" si="14"/>
        <v>100</v>
      </c>
      <c r="X44" s="1350"/>
      <c r="Y44" s="3797"/>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795"/>
      <c r="Q45" s="1338">
        <f t="shared" si="11"/>
        <v>0</v>
      </c>
      <c r="R45" s="700" t="s">
        <v>14</v>
      </c>
      <c r="S45" s="701">
        <f t="shared" si="12"/>
        <v>100</v>
      </c>
      <c r="T45" s="700" t="s">
        <v>14</v>
      </c>
      <c r="U45" s="701">
        <f t="shared" si="13"/>
        <v>100</v>
      </c>
      <c r="V45" s="700" t="s">
        <v>14</v>
      </c>
      <c r="W45" s="701">
        <f t="shared" si="14"/>
        <v>100</v>
      </c>
      <c r="X45" s="702"/>
      <c r="Y45" s="3797"/>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795"/>
      <c r="Q46" s="1347">
        <f t="shared" si="11"/>
        <v>0</v>
      </c>
      <c r="R46" s="704" t="s">
        <v>14</v>
      </c>
      <c r="S46" s="705">
        <f t="shared" si="12"/>
        <v>100</v>
      </c>
      <c r="T46" s="704" t="s">
        <v>14</v>
      </c>
      <c r="U46" s="705">
        <f t="shared" si="13"/>
        <v>100</v>
      </c>
      <c r="V46" s="704" t="s">
        <v>14</v>
      </c>
      <c r="W46" s="705">
        <f t="shared" si="14"/>
        <v>100</v>
      </c>
      <c r="X46" s="1350"/>
      <c r="Y46" s="3797"/>
      <c r="Z46" s="1351">
        <f t="shared" si="15"/>
        <v>0</v>
      </c>
      <c r="AA46" s="1348">
        <f t="shared" si="3"/>
        <v>1</v>
      </c>
      <c r="AB46" s="1348">
        <f t="shared" si="4"/>
        <v>1</v>
      </c>
      <c r="AC46" s="1957">
        <f t="shared" si="5"/>
        <v>1</v>
      </c>
    </row>
    <row r="47" spans="1:29" ht="15.6"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796"/>
      <c r="Q47" s="1347">
        <f t="shared" si="11"/>
        <v>0</v>
      </c>
      <c r="R47" s="704" t="s">
        <v>14</v>
      </c>
      <c r="S47" s="705">
        <f t="shared" si="12"/>
        <v>100</v>
      </c>
      <c r="T47" s="704" t="s">
        <v>14</v>
      </c>
      <c r="U47" s="705">
        <f t="shared" si="13"/>
        <v>100</v>
      </c>
      <c r="V47" s="704" t="s">
        <v>14</v>
      </c>
      <c r="W47" s="705">
        <f t="shared" si="14"/>
        <v>100</v>
      </c>
      <c r="X47" s="1350"/>
      <c r="Y47" s="3798"/>
      <c r="Z47" s="1351">
        <f t="shared" si="15"/>
        <v>0</v>
      </c>
      <c r="AA47" s="1348">
        <f t="shared" si="3"/>
        <v>1</v>
      </c>
      <c r="AB47" s="1348">
        <f t="shared" si="4"/>
        <v>1</v>
      </c>
      <c r="AC47" s="1957">
        <f t="shared" si="5"/>
        <v>1</v>
      </c>
    </row>
    <row r="48" spans="1:29" ht="14.4">
      <c r="A48" s="430" t="s">
        <v>1692</v>
      </c>
      <c r="B48" s="431"/>
      <c r="C48" s="1150" t="s">
        <v>0</v>
      </c>
      <c r="D48" s="1151"/>
      <c r="E48" s="1152" t="e">
        <f>#REF!</f>
        <v>#REF!</v>
      </c>
      <c r="F48" s="1153"/>
      <c r="G48" s="1154" t="e">
        <f>#REF!</f>
        <v>#REF!</v>
      </c>
      <c r="H48" s="1155"/>
      <c r="I48" s="1152" t="e">
        <f>#REF!</f>
        <v>#REF!</v>
      </c>
      <c r="J48" s="436"/>
      <c r="K48" s="713"/>
      <c r="L48" s="2695"/>
      <c r="M48" s="2687"/>
      <c r="N48" s="2687"/>
      <c r="O48" s="2687"/>
      <c r="P48" s="3784" t="str">
        <f>A48</f>
        <v>成交单价（元/平方米）</v>
      </c>
      <c r="Q48" s="3785"/>
      <c r="R48" s="3786" t="e">
        <f>E48</f>
        <v>#REF!</v>
      </c>
      <c r="S48" s="3786"/>
      <c r="T48" s="3786" t="e">
        <f>G48</f>
        <v>#REF!</v>
      </c>
      <c r="U48" s="3786"/>
      <c r="V48" s="3786" t="e">
        <f>I48</f>
        <v>#REF!</v>
      </c>
      <c r="W48" s="3786"/>
      <c r="X48" s="397"/>
      <c r="Y48" s="711"/>
      <c r="Z48" s="397"/>
      <c r="AA48" s="397"/>
      <c r="AB48" s="397"/>
      <c r="AC48" s="578"/>
    </row>
    <row r="49" spans="1:60" ht="1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784" t="str">
        <f>A49</f>
        <v>比较价值（元/平方米）</v>
      </c>
      <c r="Q49" s="3785"/>
      <c r="R49" s="3786" t="e">
        <f>IF(F1="售价",ROUND(PRODUCT(R48,AA7:AA47),0),ROUND(PRODUCT(R48,AA7:AA47),1))</f>
        <v>#REF!</v>
      </c>
      <c r="S49" s="3786"/>
      <c r="T49" s="3786" t="e">
        <f>IF(F1="售价",ROUND(PRODUCT(T48,AB7:AB47),0),ROUND(PRODUCT(T48,AB7:AB47),1))</f>
        <v>#REF!</v>
      </c>
      <c r="U49" s="3786"/>
      <c r="V49" s="3786" t="e">
        <f>IF(F1="售价",ROUND(PRODUCT(V48,AC7:AC47),0),ROUND(PRODUCT(V48,AC7:AC47),1))</f>
        <v>#REF!</v>
      </c>
      <c r="W49" s="3786"/>
      <c r="X49" s="397"/>
      <c r="Y49" s="397"/>
      <c r="Z49" s="397"/>
      <c r="AA49" s="397"/>
      <c r="AB49" s="397"/>
      <c r="AC49" s="578"/>
    </row>
    <row r="50" spans="1:60" ht="15" thickBot="1">
      <c r="A50" s="441" t="s">
        <v>1778</v>
      </c>
      <c r="B50" s="442"/>
      <c r="C50" s="1159" t="e">
        <f>R50</f>
        <v>#REF!</v>
      </c>
      <c r="D50" s="1159"/>
      <c r="E50" s="1159"/>
      <c r="F50" s="1159"/>
      <c r="G50" s="1159"/>
      <c r="H50" s="1159"/>
      <c r="I50" s="1159"/>
      <c r="J50" s="443"/>
      <c r="K50" s="714"/>
      <c r="L50" s="2695"/>
      <c r="M50" s="2687"/>
      <c r="N50" s="2687"/>
      <c r="O50" s="2687"/>
      <c r="P50" s="3787" t="str">
        <f>A50</f>
        <v>估价对象XX用房的比较价值（楼面单价，元/平方米）</v>
      </c>
      <c r="Q50" s="3788"/>
      <c r="R50" s="3789" t="e">
        <f>IF(F1="售价",ROUND(IF(D49="简单平均",AVERAGE(R49:V49),R49*F49+T49*H49+V49*J49),0),ROUND(IF(D49="简单平均",AVERAGE(R49:V49),R49*F49+T49*H49+V49*J49),1))</f>
        <v>#REF!</v>
      </c>
      <c r="S50" s="3789"/>
      <c r="T50" s="3789"/>
      <c r="U50" s="3789"/>
      <c r="V50" s="3789"/>
      <c r="W50" s="3789"/>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2.2"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4.4">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4.4">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4.4"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ht="14.4">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4.4"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9.4"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4.4"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4.4"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4.4"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4.4"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4.4"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4.4"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4.4"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4.4"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ht="14.4">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4.4"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4.4"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4.4"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4.4"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4.4"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9.4"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4.4"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4.4"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4.4"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4.4"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4.4"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4.4"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4.4"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4.4"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4.4"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4.4"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4.4"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ht="14.4">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4.4"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28.2"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4.4"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4.4"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4.4"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4.4"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4.4"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4.4"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4.4"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4.4"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4.4"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29.4"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4.4"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4.4"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4.4"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4.4"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4.4"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4.4"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1"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4.4">
      <c r="A4" s="355" t="s">
        <v>1650</v>
      </c>
      <c r="B4" s="356"/>
      <c r="C4" s="3802" t="s">
        <v>1651</v>
      </c>
      <c r="D4" s="3803"/>
      <c r="E4" s="3804" t="s">
        <v>1652</v>
      </c>
      <c r="F4" s="3805"/>
      <c r="G4" s="3802" t="s">
        <v>1653</v>
      </c>
      <c r="H4" s="3803"/>
      <c r="I4" s="3802" t="s">
        <v>1654</v>
      </c>
      <c r="J4" s="3803"/>
      <c r="K4" s="1884" t="s">
        <v>1655</v>
      </c>
      <c r="L4" s="2686"/>
      <c r="M4" s="2687"/>
      <c r="N4" s="2687"/>
      <c r="O4" s="2687"/>
      <c r="P4" s="3840" t="s">
        <v>1656</v>
      </c>
      <c r="Q4" s="3841"/>
      <c r="R4" s="3844" t="s">
        <v>1652</v>
      </c>
      <c r="S4" s="3845"/>
      <c r="T4" s="3844" t="s">
        <v>1653</v>
      </c>
      <c r="U4" s="3845"/>
      <c r="V4" s="3819" t="s">
        <v>1654</v>
      </c>
      <c r="W4" s="3819"/>
      <c r="X4" s="1350"/>
      <c r="Y4" s="3844" t="s">
        <v>1656</v>
      </c>
      <c r="Z4" s="3845"/>
      <c r="AA4" s="3839" t="s">
        <v>1652</v>
      </c>
      <c r="AB4" s="3839" t="s">
        <v>1653</v>
      </c>
      <c r="AC4" s="3839" t="s">
        <v>1654</v>
      </c>
    </row>
    <row r="5" spans="1:29">
      <c r="A5" s="358"/>
      <c r="B5" s="359"/>
      <c r="C5" s="3828" t="s">
        <v>1657</v>
      </c>
      <c r="D5" s="3823"/>
      <c r="E5" s="3834" t="s">
        <v>1658</v>
      </c>
      <c r="F5" s="3835"/>
      <c r="G5" s="3828" t="s">
        <v>1659</v>
      </c>
      <c r="H5" s="3823"/>
      <c r="I5" s="3828" t="s">
        <v>1660</v>
      </c>
      <c r="J5" s="3823"/>
      <c r="K5" s="1885"/>
      <c r="L5" s="2686"/>
      <c r="M5" s="2687"/>
      <c r="N5" s="2687"/>
      <c r="O5" s="2687"/>
      <c r="P5" s="3842"/>
      <c r="Q5" s="3809"/>
      <c r="R5" s="3814"/>
      <c r="S5" s="3815"/>
      <c r="T5" s="3814"/>
      <c r="U5" s="3815"/>
      <c r="V5" s="3819"/>
      <c r="W5" s="3819"/>
      <c r="X5" s="1350"/>
      <c r="Y5" s="3814"/>
      <c r="Z5" s="3815"/>
      <c r="AA5" s="3832"/>
      <c r="AB5" s="3832"/>
      <c r="AC5" s="3832"/>
    </row>
    <row r="6" spans="1:29" ht="15" thickBot="1">
      <c r="A6" s="360"/>
      <c r="B6" s="361"/>
      <c r="C6" s="3820" t="s">
        <v>1661</v>
      </c>
      <c r="D6" s="3821"/>
      <c r="E6" s="3829" t="s">
        <v>1661</v>
      </c>
      <c r="F6" s="3830"/>
      <c r="G6" s="3820" t="s">
        <v>1661</v>
      </c>
      <c r="H6" s="3821"/>
      <c r="I6" s="3820" t="s">
        <v>1661</v>
      </c>
      <c r="J6" s="3821"/>
      <c r="K6" s="1885" t="s">
        <v>1662</v>
      </c>
      <c r="L6" s="2686"/>
      <c r="M6" s="2687"/>
      <c r="N6" s="2687"/>
      <c r="O6" s="2687"/>
      <c r="P6" s="3843"/>
      <c r="Q6" s="3811"/>
      <c r="R6" s="3814"/>
      <c r="S6" s="3815"/>
      <c r="T6" s="3816"/>
      <c r="U6" s="3817"/>
      <c r="V6" s="3819"/>
      <c r="W6" s="3819"/>
      <c r="X6" s="1350"/>
      <c r="Y6" s="3816"/>
      <c r="Z6" s="3817"/>
      <c r="AA6" s="3833"/>
      <c r="AB6" s="3833"/>
      <c r="AC6" s="3833"/>
    </row>
    <row r="7" spans="1:29" s="108" customFormat="1" ht="1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826" t="s">
        <v>1664</v>
      </c>
      <c r="Q7" s="3827"/>
      <c r="R7" s="700" t="s">
        <v>20</v>
      </c>
      <c r="S7" s="701">
        <f t="shared" ref="S7:S15" si="0">F7</f>
        <v>0</v>
      </c>
      <c r="T7" s="700" t="s">
        <v>20</v>
      </c>
      <c r="U7" s="701">
        <f t="shared" ref="U7:U15" si="1">H7</f>
        <v>0</v>
      </c>
      <c r="V7" s="700" t="s">
        <v>20</v>
      </c>
      <c r="W7" s="701">
        <f t="shared" ref="W7:W15" si="2">J7</f>
        <v>0</v>
      </c>
      <c r="X7" s="702"/>
      <c r="Y7" s="3826" t="s">
        <v>1664</v>
      </c>
      <c r="Z7" s="3825"/>
      <c r="AA7" s="703" t="e">
        <f>D7/F7</f>
        <v>#DIV/0!</v>
      </c>
      <c r="AB7" s="703" t="e">
        <f>D7/H7</f>
        <v>#DIV/0!</v>
      </c>
      <c r="AC7" s="703" t="e">
        <f>D7/J7</f>
        <v>#DIV/0!</v>
      </c>
    </row>
    <row r="8" spans="1:29" s="108" customFormat="1" ht="1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826" t="s">
        <v>1667</v>
      </c>
      <c r="Q8" s="3825"/>
      <c r="R8" s="700" t="s">
        <v>20</v>
      </c>
      <c r="S8" s="701">
        <f t="shared" si="0"/>
        <v>100</v>
      </c>
      <c r="T8" s="700" t="s">
        <v>20</v>
      </c>
      <c r="U8" s="701">
        <f t="shared" si="1"/>
        <v>100</v>
      </c>
      <c r="V8" s="700" t="s">
        <v>20</v>
      </c>
      <c r="W8" s="701">
        <f t="shared" si="2"/>
        <v>100</v>
      </c>
      <c r="X8" s="702"/>
      <c r="Y8" s="3826" t="s">
        <v>1667</v>
      </c>
      <c r="Z8" s="3825"/>
      <c r="AA8" s="703">
        <f t="shared" ref="AA8:AA19" si="3">D8/F8</f>
        <v>1</v>
      </c>
      <c r="AB8" s="703">
        <f t="shared" ref="AB8:AB19" si="4">D8/H8</f>
        <v>1</v>
      </c>
      <c r="AC8" s="703">
        <f t="shared" ref="AC8:AC19" si="5">D8/J8</f>
        <v>1</v>
      </c>
    </row>
    <row r="9" spans="1:29" s="108" customFormat="1" ht="14.4">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784" t="s">
        <v>1670</v>
      </c>
      <c r="Q9" s="1338" t="str">
        <f t="shared" ref="Q9:Q15" si="6">B9</f>
        <v>用途</v>
      </c>
      <c r="R9" s="700" t="s">
        <v>14</v>
      </c>
      <c r="S9" s="701">
        <f t="shared" si="0"/>
        <v>100</v>
      </c>
      <c r="T9" s="700" t="s">
        <v>14</v>
      </c>
      <c r="U9" s="701">
        <f t="shared" si="1"/>
        <v>100</v>
      </c>
      <c r="V9" s="700" t="s">
        <v>14</v>
      </c>
      <c r="W9" s="701">
        <f t="shared" si="2"/>
        <v>100</v>
      </c>
      <c r="X9" s="702"/>
      <c r="Y9" s="3663" t="s">
        <v>1671</v>
      </c>
      <c r="Z9" s="52" t="str">
        <f t="shared" ref="Z9:Z15" si="7">Q9</f>
        <v>用途</v>
      </c>
      <c r="AA9" s="703">
        <f t="shared" si="3"/>
        <v>1</v>
      </c>
      <c r="AB9" s="703">
        <f t="shared" si="4"/>
        <v>1</v>
      </c>
      <c r="AC9" s="703">
        <f t="shared" si="5"/>
        <v>1</v>
      </c>
    </row>
    <row r="10" spans="1:29" s="378" customFormat="1" ht="28.8">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784"/>
      <c r="Q10" s="1338"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784"/>
      <c r="Q11" s="1338" t="str">
        <f t="shared" si="6"/>
        <v>容积率</v>
      </c>
      <c r="R11" s="700" t="s">
        <v>18</v>
      </c>
      <c r="S11" s="701" t="e">
        <f t="shared" si="0"/>
        <v>#N/A</v>
      </c>
      <c r="T11" s="700" t="s">
        <v>18</v>
      </c>
      <c r="U11" s="701" t="e">
        <f t="shared" si="1"/>
        <v>#N/A</v>
      </c>
      <c r="V11" s="700" t="s">
        <v>18</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784"/>
      <c r="Q12" s="1338">
        <f t="shared" si="6"/>
        <v>111</v>
      </c>
      <c r="R12" s="700" t="s">
        <v>18</v>
      </c>
      <c r="S12" s="701">
        <f t="shared" si="0"/>
        <v>100</v>
      </c>
      <c r="T12" s="700" t="s">
        <v>18</v>
      </c>
      <c r="U12" s="701">
        <f t="shared" si="1"/>
        <v>100</v>
      </c>
      <c r="V12" s="700" t="s">
        <v>18</v>
      </c>
      <c r="W12" s="701">
        <f t="shared" si="2"/>
        <v>100</v>
      </c>
      <c r="X12" s="702"/>
      <c r="Y12" s="3663"/>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784"/>
      <c r="Q13" s="1338">
        <f t="shared" si="6"/>
        <v>111</v>
      </c>
      <c r="R13" s="700" t="s">
        <v>18</v>
      </c>
      <c r="S13" s="701">
        <f t="shared" si="0"/>
        <v>100</v>
      </c>
      <c r="T13" s="700" t="s">
        <v>18</v>
      </c>
      <c r="U13" s="701">
        <f t="shared" si="1"/>
        <v>100</v>
      </c>
      <c r="V13" s="700" t="s">
        <v>18</v>
      </c>
      <c r="W13" s="701">
        <f t="shared" si="2"/>
        <v>100</v>
      </c>
      <c r="X13" s="702"/>
      <c r="Y13" s="3663"/>
      <c r="Z13" s="52">
        <f t="shared" si="7"/>
        <v>111</v>
      </c>
      <c r="AA13" s="703">
        <f t="shared" si="3"/>
        <v>1</v>
      </c>
      <c r="AB13" s="703">
        <f t="shared" si="4"/>
        <v>1</v>
      </c>
      <c r="AC13" s="703">
        <f t="shared" si="5"/>
        <v>1</v>
      </c>
    </row>
    <row r="14" spans="1:29" ht="15.6"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784"/>
      <c r="Q14" s="1338">
        <f t="shared" si="6"/>
        <v>111</v>
      </c>
      <c r="R14" s="700" t="s">
        <v>18</v>
      </c>
      <c r="S14" s="701">
        <f t="shared" si="0"/>
        <v>100</v>
      </c>
      <c r="T14" s="700" t="s">
        <v>18</v>
      </c>
      <c r="U14" s="701">
        <f t="shared" si="1"/>
        <v>100</v>
      </c>
      <c r="V14" s="700" t="s">
        <v>18</v>
      </c>
      <c r="W14" s="701">
        <f t="shared" si="2"/>
        <v>100</v>
      </c>
      <c r="X14" s="702"/>
      <c r="Y14" s="3663"/>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790" t="s">
        <v>1675</v>
      </c>
      <c r="Q15" s="1347" t="str">
        <f t="shared" si="6"/>
        <v>居住社区成熟度</v>
      </c>
      <c r="R15" s="704" t="s">
        <v>18</v>
      </c>
      <c r="S15" s="705">
        <f t="shared" si="0"/>
        <v>100</v>
      </c>
      <c r="T15" s="704" t="s">
        <v>18</v>
      </c>
      <c r="U15" s="705">
        <f t="shared" si="1"/>
        <v>100</v>
      </c>
      <c r="V15" s="704" t="s">
        <v>18</v>
      </c>
      <c r="W15" s="705">
        <f t="shared" si="2"/>
        <v>100</v>
      </c>
      <c r="X15" s="1350"/>
      <c r="Y15" s="3792"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791"/>
      <c r="Q16" s="1347"/>
      <c r="R16" s="704"/>
      <c r="S16" s="705"/>
      <c r="T16" s="704"/>
      <c r="U16" s="705"/>
      <c r="V16" s="704"/>
      <c r="W16" s="705"/>
      <c r="X16" s="1350"/>
      <c r="Y16" s="3793"/>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791"/>
      <c r="Q17" s="1347" t="str">
        <f>B17</f>
        <v>交通便捷度</v>
      </c>
      <c r="R17" s="704" t="s">
        <v>18</v>
      </c>
      <c r="S17" s="705">
        <f>F17</f>
        <v>100</v>
      </c>
      <c r="T17" s="704" t="s">
        <v>18</v>
      </c>
      <c r="U17" s="705">
        <f>H17</f>
        <v>100</v>
      </c>
      <c r="V17" s="704" t="s">
        <v>18</v>
      </c>
      <c r="W17" s="705">
        <f>J17</f>
        <v>100</v>
      </c>
      <c r="X17" s="1350"/>
      <c r="Y17" s="3793"/>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791"/>
      <c r="Q18" s="1347"/>
      <c r="R18" s="704"/>
      <c r="S18" s="705"/>
      <c r="T18" s="704"/>
      <c r="U18" s="705"/>
      <c r="V18" s="704"/>
      <c r="W18" s="705"/>
      <c r="X18" s="1350"/>
      <c r="Y18" s="3793"/>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791"/>
      <c r="Q19" s="1347" t="str">
        <f>B19</f>
        <v>公共配套设施</v>
      </c>
      <c r="R19" s="704" t="s">
        <v>18</v>
      </c>
      <c r="S19" s="705">
        <f>F19</f>
        <v>100</v>
      </c>
      <c r="T19" s="704" t="s">
        <v>18</v>
      </c>
      <c r="U19" s="705">
        <f>H19</f>
        <v>100</v>
      </c>
      <c r="V19" s="704" t="s">
        <v>18</v>
      </c>
      <c r="W19" s="705">
        <f>J19</f>
        <v>100</v>
      </c>
      <c r="X19" s="1350"/>
      <c r="Y19" s="3793"/>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791"/>
      <c r="Q20" s="1347"/>
      <c r="R20" s="704"/>
      <c r="S20" s="705"/>
      <c r="T20" s="704"/>
      <c r="U20" s="705"/>
      <c r="V20" s="704"/>
      <c r="W20" s="705"/>
      <c r="X20" s="1350"/>
      <c r="Y20" s="3793"/>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791"/>
      <c r="Q21" s="1347" t="str">
        <f>B21</f>
        <v>基础设施水平</v>
      </c>
      <c r="R21" s="704" t="s">
        <v>14</v>
      </c>
      <c r="S21" s="705">
        <f>F21</f>
        <v>100</v>
      </c>
      <c r="T21" s="704" t="s">
        <v>14</v>
      </c>
      <c r="U21" s="705">
        <f>H21</f>
        <v>100</v>
      </c>
      <c r="V21" s="704" t="s">
        <v>14</v>
      </c>
      <c r="W21" s="705">
        <f>J21</f>
        <v>100</v>
      </c>
      <c r="X21" s="1350"/>
      <c r="Y21" s="3793"/>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791"/>
      <c r="Q22" s="1347"/>
      <c r="R22" s="704"/>
      <c r="S22" s="705"/>
      <c r="T22" s="704"/>
      <c r="U22" s="705"/>
      <c r="V22" s="704"/>
      <c r="W22" s="705"/>
      <c r="X22" s="1350"/>
      <c r="Y22" s="3793"/>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791"/>
      <c r="Q23" s="1347" t="str">
        <f>B23</f>
        <v>自然及人文环境</v>
      </c>
      <c r="R23" s="704" t="s">
        <v>18</v>
      </c>
      <c r="S23" s="705">
        <f>F23</f>
        <v>100</v>
      </c>
      <c r="T23" s="704" t="s">
        <v>18</v>
      </c>
      <c r="U23" s="705">
        <f>H23</f>
        <v>100</v>
      </c>
      <c r="V23" s="704" t="s">
        <v>18</v>
      </c>
      <c r="W23" s="705">
        <f>J23</f>
        <v>100</v>
      </c>
      <c r="X23" s="1350"/>
      <c r="Y23" s="3793"/>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791"/>
      <c r="Q24" s="1347"/>
      <c r="R24" s="704"/>
      <c r="S24" s="705"/>
      <c r="T24" s="704"/>
      <c r="U24" s="705"/>
      <c r="V24" s="704"/>
      <c r="W24" s="705"/>
      <c r="X24" s="1350"/>
      <c r="Y24" s="3793"/>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791"/>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793"/>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791"/>
      <c r="Q26" s="1347" t="str">
        <f t="shared" si="11"/>
        <v>朝向</v>
      </c>
      <c r="R26" s="704" t="s">
        <v>18</v>
      </c>
      <c r="S26" s="705">
        <f t="shared" si="12"/>
        <v>100</v>
      </c>
      <c r="T26" s="704" t="s">
        <v>18</v>
      </c>
      <c r="U26" s="705">
        <f t="shared" si="13"/>
        <v>100</v>
      </c>
      <c r="V26" s="704" t="s">
        <v>18</v>
      </c>
      <c r="W26" s="705">
        <f t="shared" si="14"/>
        <v>100</v>
      </c>
      <c r="X26" s="1350"/>
      <c r="Y26" s="3793"/>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791"/>
      <c r="Q27" s="1338">
        <f t="shared" si="11"/>
        <v>111</v>
      </c>
      <c r="R27" s="700" t="s">
        <v>18</v>
      </c>
      <c r="S27" s="701">
        <f t="shared" si="12"/>
        <v>100</v>
      </c>
      <c r="T27" s="700" t="s">
        <v>18</v>
      </c>
      <c r="U27" s="701">
        <f t="shared" si="13"/>
        <v>100</v>
      </c>
      <c r="V27" s="700" t="s">
        <v>18</v>
      </c>
      <c r="W27" s="701">
        <f t="shared" si="14"/>
        <v>100</v>
      </c>
      <c r="X27" s="702"/>
      <c r="Y27" s="3793"/>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791"/>
      <c r="Q28" s="1347">
        <f t="shared" si="11"/>
        <v>111</v>
      </c>
      <c r="R28" s="704" t="s">
        <v>18</v>
      </c>
      <c r="S28" s="705">
        <f t="shared" si="12"/>
        <v>100</v>
      </c>
      <c r="T28" s="704" t="s">
        <v>18</v>
      </c>
      <c r="U28" s="705">
        <f t="shared" si="13"/>
        <v>100</v>
      </c>
      <c r="V28" s="704" t="s">
        <v>18</v>
      </c>
      <c r="W28" s="705">
        <f t="shared" si="14"/>
        <v>100</v>
      </c>
      <c r="X28" s="1350"/>
      <c r="Y28" s="3793"/>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791"/>
      <c r="Q29" s="1347">
        <f t="shared" si="11"/>
        <v>111</v>
      </c>
      <c r="R29" s="704" t="s">
        <v>18</v>
      </c>
      <c r="S29" s="705">
        <f t="shared" si="12"/>
        <v>100</v>
      </c>
      <c r="T29" s="704" t="s">
        <v>18</v>
      </c>
      <c r="U29" s="705">
        <f t="shared" si="13"/>
        <v>100</v>
      </c>
      <c r="V29" s="704" t="s">
        <v>18</v>
      </c>
      <c r="W29" s="705">
        <f t="shared" si="14"/>
        <v>100</v>
      </c>
      <c r="X29" s="1350"/>
      <c r="Y29" s="3793"/>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791"/>
      <c r="Q30" s="1347">
        <f t="shared" si="11"/>
        <v>111</v>
      </c>
      <c r="R30" s="704" t="s">
        <v>18</v>
      </c>
      <c r="S30" s="705">
        <f t="shared" si="12"/>
        <v>100</v>
      </c>
      <c r="T30" s="704" t="s">
        <v>18</v>
      </c>
      <c r="U30" s="705">
        <f t="shared" si="13"/>
        <v>100</v>
      </c>
      <c r="V30" s="704" t="s">
        <v>18</v>
      </c>
      <c r="W30" s="705">
        <f t="shared" si="14"/>
        <v>100</v>
      </c>
      <c r="X30" s="1350"/>
      <c r="Y30" s="3793"/>
      <c r="Z30" s="1351">
        <f t="shared" si="18"/>
        <v>111</v>
      </c>
      <c r="AA30" s="1348">
        <f t="shared" si="15"/>
        <v>1</v>
      </c>
      <c r="AB30" s="1348">
        <f t="shared" si="16"/>
        <v>1</v>
      </c>
      <c r="AC30" s="1348">
        <f t="shared" si="17"/>
        <v>1</v>
      </c>
    </row>
    <row r="31" spans="1:29" ht="15.6"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791"/>
      <c r="Q31" s="1347">
        <f t="shared" si="11"/>
        <v>111</v>
      </c>
      <c r="R31" s="704" t="s">
        <v>18</v>
      </c>
      <c r="S31" s="705">
        <f t="shared" si="12"/>
        <v>100</v>
      </c>
      <c r="T31" s="704" t="s">
        <v>18</v>
      </c>
      <c r="U31" s="705">
        <f t="shared" si="13"/>
        <v>100</v>
      </c>
      <c r="V31" s="704" t="s">
        <v>18</v>
      </c>
      <c r="W31" s="705">
        <f t="shared" si="14"/>
        <v>100</v>
      </c>
      <c r="X31" s="1350"/>
      <c r="Y31" s="3793"/>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794" t="s">
        <v>1680</v>
      </c>
      <c r="Q32" s="1347" t="str">
        <f t="shared" si="11"/>
        <v>建筑类型</v>
      </c>
      <c r="R32" s="704" t="s">
        <v>18</v>
      </c>
      <c r="S32" s="705">
        <f t="shared" si="12"/>
        <v>100</v>
      </c>
      <c r="T32" s="704" t="s">
        <v>18</v>
      </c>
      <c r="U32" s="705">
        <f t="shared" si="13"/>
        <v>100</v>
      </c>
      <c r="V32" s="704" t="s">
        <v>18</v>
      </c>
      <c r="W32" s="705">
        <f t="shared" si="14"/>
        <v>100</v>
      </c>
      <c r="X32" s="1350"/>
      <c r="Y32" s="3797"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795"/>
      <c r="Q33" s="706" t="str">
        <f t="shared" si="11"/>
        <v>项目建筑规模</v>
      </c>
      <c r="R33" s="707" t="s">
        <v>18</v>
      </c>
      <c r="S33" s="708" t="e">
        <f t="shared" si="12"/>
        <v>#N/A</v>
      </c>
      <c r="T33" s="707" t="s">
        <v>18</v>
      </c>
      <c r="U33" s="708" t="e">
        <f t="shared" si="13"/>
        <v>#N/A</v>
      </c>
      <c r="V33" s="707" t="s">
        <v>18</v>
      </c>
      <c r="W33" s="708" t="e">
        <f t="shared" si="14"/>
        <v>#N/A</v>
      </c>
      <c r="X33" s="709"/>
      <c r="Y33" s="3797"/>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795"/>
      <c r="Q34" s="1347" t="str">
        <f t="shared" si="11"/>
        <v>建筑结构</v>
      </c>
      <c r="R34" s="704" t="s">
        <v>18</v>
      </c>
      <c r="S34" s="705">
        <f t="shared" si="12"/>
        <v>100</v>
      </c>
      <c r="T34" s="704" t="s">
        <v>18</v>
      </c>
      <c r="U34" s="705">
        <f t="shared" si="13"/>
        <v>100</v>
      </c>
      <c r="V34" s="704" t="s">
        <v>18</v>
      </c>
      <c r="W34" s="705">
        <f t="shared" si="14"/>
        <v>100</v>
      </c>
      <c r="X34" s="1350"/>
      <c r="Y34" s="3797"/>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795"/>
      <c r="Q35" s="1347" t="str">
        <f t="shared" si="11"/>
        <v>建筑品质</v>
      </c>
      <c r="R35" s="704" t="s">
        <v>18</v>
      </c>
      <c r="S35" s="705">
        <f t="shared" si="12"/>
        <v>100</v>
      </c>
      <c r="T35" s="704" t="s">
        <v>18</v>
      </c>
      <c r="U35" s="705">
        <f t="shared" si="13"/>
        <v>100</v>
      </c>
      <c r="V35" s="704" t="s">
        <v>18</v>
      </c>
      <c r="W35" s="705">
        <f t="shared" si="14"/>
        <v>100</v>
      </c>
      <c r="X35" s="1350"/>
      <c r="Y35" s="3797"/>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795"/>
      <c r="Q36" s="1347" t="str">
        <f t="shared" si="11"/>
        <v>公共部分装修</v>
      </c>
      <c r="R36" s="704" t="s">
        <v>18</v>
      </c>
      <c r="S36" s="705">
        <f t="shared" si="12"/>
        <v>100</v>
      </c>
      <c r="T36" s="704" t="s">
        <v>18</v>
      </c>
      <c r="U36" s="705">
        <f t="shared" si="13"/>
        <v>100</v>
      </c>
      <c r="V36" s="704" t="s">
        <v>18</v>
      </c>
      <c r="W36" s="705">
        <f t="shared" si="14"/>
        <v>100</v>
      </c>
      <c r="X36" s="1350"/>
      <c r="Y36" s="3797"/>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795"/>
      <c r="Q37" s="1338" t="str">
        <f t="shared" si="11"/>
        <v>成新度</v>
      </c>
      <c r="R37" s="700" t="s">
        <v>18</v>
      </c>
      <c r="S37" s="701" t="e">
        <f t="shared" si="12"/>
        <v>#N/A</v>
      </c>
      <c r="T37" s="700" t="s">
        <v>18</v>
      </c>
      <c r="U37" s="701" t="e">
        <f t="shared" si="13"/>
        <v>#N/A</v>
      </c>
      <c r="V37" s="700" t="s">
        <v>18</v>
      </c>
      <c r="W37" s="701" t="e">
        <f t="shared" si="14"/>
        <v>#N/A</v>
      </c>
      <c r="X37" s="702"/>
      <c r="Y37" s="3797"/>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795" t="s">
        <v>1680</v>
      </c>
      <c r="Q38" s="1347" t="str">
        <f t="shared" si="11"/>
        <v>物业管理</v>
      </c>
      <c r="R38" s="704" t="s">
        <v>18</v>
      </c>
      <c r="S38" s="705">
        <f t="shared" si="12"/>
        <v>100</v>
      </c>
      <c r="T38" s="704" t="s">
        <v>18</v>
      </c>
      <c r="U38" s="705">
        <f t="shared" si="13"/>
        <v>100</v>
      </c>
      <c r="V38" s="704" t="s">
        <v>18</v>
      </c>
      <c r="W38" s="705">
        <f t="shared" si="14"/>
        <v>100</v>
      </c>
      <c r="X38" s="1350"/>
      <c r="Y38" s="3797"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795"/>
      <c r="Q39" s="1347" t="str">
        <f t="shared" si="11"/>
        <v>市政基础设施</v>
      </c>
      <c r="R39" s="704" t="s">
        <v>18</v>
      </c>
      <c r="S39" s="705">
        <f t="shared" si="12"/>
        <v>100</v>
      </c>
      <c r="T39" s="704" t="s">
        <v>18</v>
      </c>
      <c r="U39" s="705">
        <f t="shared" si="13"/>
        <v>100</v>
      </c>
      <c r="V39" s="704" t="s">
        <v>18</v>
      </c>
      <c r="W39" s="705">
        <f t="shared" si="14"/>
        <v>100</v>
      </c>
      <c r="X39" s="1350"/>
      <c r="Y39" s="3797"/>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795"/>
      <c r="Q40" s="1347" t="str">
        <f t="shared" si="11"/>
        <v>房型</v>
      </c>
      <c r="R40" s="704" t="s">
        <v>18</v>
      </c>
      <c r="S40" s="705">
        <f t="shared" si="12"/>
        <v>100</v>
      </c>
      <c r="T40" s="704" t="s">
        <v>18</v>
      </c>
      <c r="U40" s="705">
        <f t="shared" si="13"/>
        <v>100</v>
      </c>
      <c r="V40" s="704" t="s">
        <v>18</v>
      </c>
      <c r="W40" s="705">
        <f t="shared" si="14"/>
        <v>100</v>
      </c>
      <c r="X40" s="1350"/>
      <c r="Y40" s="3797"/>
      <c r="Z40" s="1351" t="str">
        <f t="shared" si="18"/>
        <v>房型</v>
      </c>
      <c r="AA40" s="1348">
        <f t="shared" si="15"/>
        <v>1</v>
      </c>
      <c r="AB40" s="1348">
        <f t="shared" si="16"/>
        <v>1</v>
      </c>
      <c r="AC40" s="1348">
        <f t="shared" si="17"/>
        <v>1</v>
      </c>
    </row>
    <row r="41" spans="1:29" s="422" customFormat="1" ht="28.8">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795"/>
      <c r="Q41" s="706" t="str">
        <f t="shared" si="11"/>
        <v>单套/主力户型建筑面积</v>
      </c>
      <c r="R41" s="707" t="s">
        <v>18</v>
      </c>
      <c r="S41" s="708">
        <f t="shared" si="12"/>
        <v>100</v>
      </c>
      <c r="T41" s="707" t="s">
        <v>18</v>
      </c>
      <c r="U41" s="708">
        <f t="shared" si="13"/>
        <v>100</v>
      </c>
      <c r="V41" s="707" t="s">
        <v>18</v>
      </c>
      <c r="W41" s="708">
        <f t="shared" si="14"/>
        <v>100</v>
      </c>
      <c r="X41" s="709"/>
      <c r="Y41" s="3797"/>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795"/>
      <c r="Q42" s="1347" t="str">
        <f t="shared" si="11"/>
        <v>内部装修</v>
      </c>
      <c r="R42" s="704" t="s">
        <v>18</v>
      </c>
      <c r="S42" s="705">
        <f t="shared" si="12"/>
        <v>100</v>
      </c>
      <c r="T42" s="704" t="s">
        <v>18</v>
      </c>
      <c r="U42" s="705">
        <f t="shared" si="13"/>
        <v>100</v>
      </c>
      <c r="V42" s="704" t="s">
        <v>18</v>
      </c>
      <c r="W42" s="705">
        <f t="shared" si="14"/>
        <v>100</v>
      </c>
      <c r="X42" s="1350"/>
      <c r="Y42" s="3797"/>
      <c r="Z42" s="1351" t="str">
        <f t="shared" si="18"/>
        <v>内部装修</v>
      </c>
      <c r="AA42" s="1348">
        <f t="shared" si="15"/>
        <v>1</v>
      </c>
      <c r="AB42" s="1348">
        <f t="shared" si="16"/>
        <v>1</v>
      </c>
      <c r="AC42" s="1348">
        <f t="shared" si="17"/>
        <v>1</v>
      </c>
    </row>
    <row r="43" spans="1:29" ht="28.8">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795"/>
      <c r="Q43" s="1347" t="str">
        <f t="shared" si="11"/>
        <v>内部装修维护情况</v>
      </c>
      <c r="R43" s="704" t="s">
        <v>18</v>
      </c>
      <c r="S43" s="705">
        <f t="shared" si="12"/>
        <v>100</v>
      </c>
      <c r="T43" s="704" t="s">
        <v>18</v>
      </c>
      <c r="U43" s="705">
        <f t="shared" si="13"/>
        <v>100</v>
      </c>
      <c r="V43" s="704" t="s">
        <v>18</v>
      </c>
      <c r="W43" s="705">
        <f t="shared" si="14"/>
        <v>100</v>
      </c>
      <c r="X43" s="1350"/>
      <c r="Y43" s="3797"/>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795"/>
      <c r="Q44" s="1338">
        <f t="shared" si="11"/>
        <v>111</v>
      </c>
      <c r="R44" s="700" t="s">
        <v>18</v>
      </c>
      <c r="S44" s="701">
        <f t="shared" si="12"/>
        <v>100</v>
      </c>
      <c r="T44" s="700" t="s">
        <v>18</v>
      </c>
      <c r="U44" s="701">
        <f t="shared" si="13"/>
        <v>100</v>
      </c>
      <c r="V44" s="700" t="s">
        <v>18</v>
      </c>
      <c r="W44" s="701">
        <f t="shared" si="14"/>
        <v>100</v>
      </c>
      <c r="X44" s="702"/>
      <c r="Y44" s="3797"/>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795"/>
      <c r="Q45" s="1347">
        <f t="shared" si="11"/>
        <v>111</v>
      </c>
      <c r="R45" s="704" t="s">
        <v>18</v>
      </c>
      <c r="S45" s="705">
        <f t="shared" si="12"/>
        <v>100</v>
      </c>
      <c r="T45" s="704" t="s">
        <v>18</v>
      </c>
      <c r="U45" s="705">
        <f t="shared" si="13"/>
        <v>100</v>
      </c>
      <c r="V45" s="704" t="s">
        <v>18</v>
      </c>
      <c r="W45" s="705">
        <f t="shared" si="14"/>
        <v>100</v>
      </c>
      <c r="X45" s="1350"/>
      <c r="Y45" s="3797"/>
      <c r="Z45" s="1351">
        <f t="shared" si="18"/>
        <v>111</v>
      </c>
      <c r="AA45" s="1348">
        <f t="shared" si="15"/>
        <v>1</v>
      </c>
      <c r="AB45" s="1348">
        <f t="shared" si="16"/>
        <v>1</v>
      </c>
      <c r="AC45" s="1348">
        <f t="shared" si="17"/>
        <v>1</v>
      </c>
    </row>
    <row r="46" spans="1:29" ht="15.6"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796"/>
      <c r="Q46" s="1347">
        <f t="shared" si="11"/>
        <v>111</v>
      </c>
      <c r="R46" s="704" t="s">
        <v>17</v>
      </c>
      <c r="S46" s="705">
        <f t="shared" si="12"/>
        <v>100</v>
      </c>
      <c r="T46" s="704" t="s">
        <v>17</v>
      </c>
      <c r="U46" s="705">
        <f t="shared" si="13"/>
        <v>100</v>
      </c>
      <c r="V46" s="704" t="s">
        <v>17</v>
      </c>
      <c r="W46" s="705">
        <f t="shared" si="14"/>
        <v>100</v>
      </c>
      <c r="X46" s="1350"/>
      <c r="Y46" s="3798"/>
      <c r="Z46" s="1351">
        <f t="shared" si="18"/>
        <v>111</v>
      </c>
      <c r="AA46" s="1348">
        <f t="shared" si="15"/>
        <v>1</v>
      </c>
      <c r="AB46" s="1348">
        <f t="shared" si="16"/>
        <v>1</v>
      </c>
      <c r="AC46" s="1348">
        <f t="shared" si="17"/>
        <v>1</v>
      </c>
    </row>
    <row r="47" spans="1:29" ht="14.4">
      <c r="A47" s="430" t="s">
        <v>1692</v>
      </c>
      <c r="B47" s="431"/>
      <c r="C47" s="1150" t="s">
        <v>16</v>
      </c>
      <c r="D47" s="1151"/>
      <c r="E47" s="1152"/>
      <c r="F47" s="1153"/>
      <c r="G47" s="1154"/>
      <c r="H47" s="1155"/>
      <c r="I47" s="1152"/>
      <c r="J47" s="1155"/>
      <c r="K47" s="1909"/>
      <c r="L47" s="2695"/>
      <c r="M47" s="2696"/>
      <c r="N47" s="2687"/>
      <c r="O47" s="2696"/>
      <c r="P47" s="3785" t="str">
        <f>A47</f>
        <v>成交单价（元/平方米）</v>
      </c>
      <c r="Q47" s="3785"/>
      <c r="R47" s="3786">
        <f>E47</f>
        <v>0</v>
      </c>
      <c r="S47" s="3786"/>
      <c r="T47" s="3786">
        <f>G47</f>
        <v>0</v>
      </c>
      <c r="U47" s="3786"/>
      <c r="V47" s="3786">
        <f>I47</f>
        <v>0</v>
      </c>
      <c r="W47" s="3786"/>
      <c r="X47" s="689"/>
      <c r="Y47" s="711"/>
      <c r="Z47" s="689"/>
      <c r="AA47" s="689"/>
      <c r="AB47" s="689"/>
      <c r="AC47" s="689"/>
    </row>
    <row r="48" spans="1:29" ht="1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785" t="str">
        <f>A48</f>
        <v>比较价值（元/平方米）</v>
      </c>
      <c r="Q48" s="3785"/>
      <c r="R48" s="3786" t="e">
        <f>IF(F1="售价",ROUND(PRODUCT(R47,AA7:AA46),0),ROUND(PRODUCT(R47,AA7:AA46),1))</f>
        <v>#DIV/0!</v>
      </c>
      <c r="S48" s="3786"/>
      <c r="T48" s="3786" t="e">
        <f>IF(F1="售价",ROUND(PRODUCT(T47,AB7:AB46),0),ROUND(PRODUCT(T47,AB7:AB46),1))</f>
        <v>#DIV/0!</v>
      </c>
      <c r="U48" s="3786"/>
      <c r="V48" s="3786" t="e">
        <f>IF(F1="售价",ROUND(PRODUCT(V47,AC7:AC46),0),ROUND(PRODUCT(V47,AC7:AC46),1))</f>
        <v>#DIV/0!</v>
      </c>
      <c r="W48" s="3786"/>
      <c r="X48" s="689"/>
      <c r="Y48" s="689"/>
      <c r="Z48" s="689"/>
      <c r="AA48" s="689"/>
      <c r="AB48" s="689"/>
      <c r="AC48" s="689"/>
    </row>
    <row r="49" spans="1:29" ht="15" thickBot="1">
      <c r="A49" s="441" t="s">
        <v>1694</v>
      </c>
      <c r="B49" s="442"/>
      <c r="C49" s="1158" t="e">
        <f>R49</f>
        <v>#DIV/0!</v>
      </c>
      <c r="D49" s="1159"/>
      <c r="E49" s="1159"/>
      <c r="F49" s="1159"/>
      <c r="G49" s="1159"/>
      <c r="H49" s="1159"/>
      <c r="I49" s="1159"/>
      <c r="J49" s="1159"/>
      <c r="K49" s="1910"/>
      <c r="L49" s="2695"/>
      <c r="M49" s="2696"/>
      <c r="N49" s="2696"/>
      <c r="O49" s="2696"/>
      <c r="P49" s="3836" t="str">
        <f>A49</f>
        <v>估价对象XX用房的比较价值（楼面单价，元/平方米）</v>
      </c>
      <c r="Q49" s="3837"/>
      <c r="R49" s="3838" t="e">
        <f>IF(F1="售价",ROUND(IF(D48="简单平均",AVERAGE(R48:V48),R48*F48+T48*H48+V48*J48),0),ROUND(IF(D48="简单平均",AVERAGE(R48:V48),R48*F48+T48*H48+V48*J48),1))</f>
        <v>#DIV/0!</v>
      </c>
      <c r="S49" s="3838"/>
      <c r="T49" s="3838"/>
      <c r="U49" s="3838"/>
      <c r="V49" s="3838"/>
      <c r="W49" s="3838"/>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2.2" thickBot="1">
      <c r="A57" s="693" t="s">
        <v>1698</v>
      </c>
      <c r="B57" s="689"/>
      <c r="C57" s="694"/>
      <c r="D57" s="694"/>
      <c r="E57" s="694"/>
      <c r="F57" s="695"/>
      <c r="G57" s="695"/>
      <c r="H57" s="694"/>
      <c r="I57" s="694"/>
      <c r="J57" s="694"/>
      <c r="K57" s="937"/>
      <c r="L57" s="938"/>
      <c r="M57" s="936"/>
      <c r="N57" s="936"/>
      <c r="O57" s="936"/>
      <c r="P57" s="1913"/>
      <c r="Q57" s="453"/>
    </row>
    <row r="58" spans="1:29" s="457" customFormat="1" ht="14.4">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c r="A59" s="458"/>
      <c r="B59" s="1914"/>
      <c r="C59" s="1178">
        <v>100</v>
      </c>
      <c r="D59" s="460"/>
      <c r="E59" s="461"/>
      <c r="F59" s="461"/>
      <c r="G59" s="461"/>
      <c r="H59" s="461"/>
      <c r="I59" s="461"/>
      <c r="J59" s="461"/>
      <c r="K59" s="461"/>
      <c r="L59" s="461"/>
      <c r="M59" s="462"/>
      <c r="N59" s="461"/>
      <c r="O59" s="462"/>
      <c r="P59" s="1915"/>
    </row>
    <row r="60" spans="1:29" s="108" customFormat="1" ht="15" thickBot="1">
      <c r="A60" s="464" t="s">
        <v>1700</v>
      </c>
      <c r="B60" s="465"/>
      <c r="C60" s="466"/>
      <c r="D60" s="467"/>
      <c r="E60" s="467"/>
      <c r="F60" s="467"/>
      <c r="G60" s="467"/>
      <c r="H60" s="467"/>
      <c r="I60" s="467"/>
      <c r="J60" s="467"/>
      <c r="K60" s="467"/>
      <c r="L60" s="467"/>
      <c r="M60" s="468"/>
      <c r="N60" s="467"/>
      <c r="O60" s="468"/>
      <c r="P60" s="1915"/>
      <c r="Q60" s="453"/>
    </row>
    <row r="61" spans="1:29" s="108" customFormat="1" ht="14.4">
      <c r="A61" s="470" t="s">
        <v>1701</v>
      </c>
      <c r="B61" s="459"/>
      <c r="C61" s="471" t="s">
        <v>1702</v>
      </c>
      <c r="D61" s="472"/>
      <c r="E61" s="472"/>
      <c r="F61" s="472"/>
      <c r="G61" s="472"/>
      <c r="H61" s="472"/>
      <c r="I61" s="472"/>
      <c r="J61" s="472"/>
      <c r="K61" s="472"/>
      <c r="L61" s="473"/>
      <c r="M61" s="474"/>
      <c r="N61" s="928"/>
      <c r="O61" s="928"/>
      <c r="P61" s="1916"/>
      <c r="Q61" s="453"/>
    </row>
    <row r="62" spans="1:29" s="108" customFormat="1" ht="14.4" thickBot="1">
      <c r="A62" s="470"/>
      <c r="B62" s="459"/>
      <c r="C62" s="460">
        <v>100</v>
      </c>
      <c r="D62" s="461"/>
      <c r="E62" s="461"/>
      <c r="F62" s="461"/>
      <c r="G62" s="461"/>
      <c r="H62" s="461"/>
      <c r="I62" s="461"/>
      <c r="J62" s="461"/>
      <c r="K62" s="461"/>
      <c r="L62" s="461"/>
      <c r="M62" s="463"/>
      <c r="N62" s="928"/>
      <c r="O62" s="928"/>
      <c r="P62" s="1915"/>
      <c r="Q62" s="453"/>
    </row>
    <row r="63" spans="1:29" ht="14.4">
      <c r="A63" s="476" t="s">
        <v>1703</v>
      </c>
      <c r="B63" s="477" t="s">
        <v>1669</v>
      </c>
      <c r="C63" s="478">
        <f>C9</f>
        <v>0</v>
      </c>
      <c r="D63" s="479"/>
      <c r="E63" s="479"/>
      <c r="F63" s="479"/>
      <c r="G63" s="479"/>
      <c r="H63" s="479"/>
      <c r="I63" s="479"/>
      <c r="J63" s="479"/>
      <c r="K63" s="480"/>
      <c r="L63" s="481"/>
      <c r="M63" s="482"/>
      <c r="N63" s="929"/>
      <c r="O63" s="929"/>
      <c r="P63" s="1917"/>
      <c r="Q63" s="453"/>
    </row>
    <row r="64" spans="1:29" ht="14.4" thickBot="1">
      <c r="A64" s="483"/>
      <c r="B64" s="484"/>
      <c r="C64" s="485">
        <v>100</v>
      </c>
      <c r="D64" s="485"/>
      <c r="E64" s="485"/>
      <c r="F64" s="485"/>
      <c r="G64" s="485"/>
      <c r="H64" s="485"/>
      <c r="I64" s="485"/>
      <c r="J64" s="485"/>
      <c r="K64" s="485"/>
      <c r="L64" s="485"/>
      <c r="M64" s="486"/>
      <c r="N64" s="930"/>
      <c r="O64" s="930"/>
      <c r="P64" s="1917"/>
      <c r="Q64" s="453"/>
    </row>
    <row r="65" spans="1:17" ht="29.4" thickTop="1">
      <c r="A65" s="483"/>
      <c r="B65" s="487" t="s">
        <v>1672</v>
      </c>
      <c r="C65" s="532"/>
      <c r="D65" s="532"/>
      <c r="E65" s="532"/>
      <c r="F65" s="532"/>
      <c r="G65" s="532"/>
      <c r="H65" s="532"/>
      <c r="I65" s="532"/>
      <c r="J65" s="532"/>
      <c r="K65" s="532"/>
      <c r="L65" s="532"/>
      <c r="M65" s="532"/>
      <c r="N65" s="930"/>
      <c r="O65" s="930"/>
      <c r="P65" s="1917"/>
      <c r="Q65" s="453"/>
    </row>
    <row r="66" spans="1:17" ht="14.4" thickBot="1">
      <c r="A66" s="483"/>
      <c r="B66" s="492"/>
      <c r="C66" s="485"/>
      <c r="D66" s="485"/>
      <c r="E66" s="485"/>
      <c r="F66" s="485"/>
      <c r="G66" s="485"/>
      <c r="H66" s="485"/>
      <c r="I66" s="485"/>
      <c r="J66" s="485"/>
      <c r="K66" s="485"/>
      <c r="L66" s="485"/>
      <c r="M66" s="486"/>
      <c r="N66" s="930"/>
      <c r="O66" s="930"/>
      <c r="P66" s="1917"/>
      <c r="Q66" s="453"/>
    </row>
    <row r="67" spans="1:17" ht="1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c r="A68" s="483"/>
      <c r="B68" s="497"/>
      <c r="C68" s="498"/>
      <c r="D68" s="498"/>
      <c r="E68" s="498"/>
      <c r="F68" s="498"/>
      <c r="G68" s="498"/>
      <c r="H68" s="498"/>
      <c r="I68" s="498"/>
      <c r="J68" s="498"/>
      <c r="K68" s="499"/>
      <c r="L68" s="500"/>
      <c r="M68" s="501"/>
      <c r="N68" s="929"/>
      <c r="O68" s="929"/>
      <c r="P68" s="1917"/>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4.4" thickTop="1">
      <c r="A70" s="502"/>
      <c r="B70" s="487">
        <f>B12</f>
        <v>111</v>
      </c>
      <c r="C70" s="503"/>
      <c r="D70" s="503"/>
      <c r="E70" s="503"/>
      <c r="F70" s="503"/>
      <c r="G70" s="503"/>
      <c r="H70" s="504"/>
      <c r="I70" s="504"/>
      <c r="J70" s="504"/>
      <c r="K70" s="504"/>
      <c r="L70" s="505"/>
      <c r="M70" s="506"/>
      <c r="N70" s="931"/>
      <c r="O70" s="931"/>
      <c r="P70" s="1918"/>
      <c r="Q70" s="508"/>
    </row>
    <row r="71" spans="1:17" s="422" customFormat="1" ht="14.4" thickBot="1">
      <c r="A71" s="502"/>
      <c r="B71" s="492"/>
      <c r="C71" s="509"/>
      <c r="D71" s="485"/>
      <c r="E71" s="485"/>
      <c r="F71" s="485"/>
      <c r="G71" s="485"/>
      <c r="H71" s="485"/>
      <c r="I71" s="485"/>
      <c r="J71" s="485"/>
      <c r="K71" s="485"/>
      <c r="L71" s="485"/>
      <c r="M71" s="486"/>
      <c r="N71" s="930"/>
      <c r="O71" s="930"/>
      <c r="P71" s="1918"/>
      <c r="Q71" s="508"/>
    </row>
    <row r="72" spans="1:17" s="422" customFormat="1" ht="14.4" thickTop="1">
      <c r="A72" s="502"/>
      <c r="B72" s="487">
        <f>B13</f>
        <v>111</v>
      </c>
      <c r="C72" s="503"/>
      <c r="D72" s="503"/>
      <c r="E72" s="503"/>
      <c r="F72" s="503"/>
      <c r="G72" s="503"/>
      <c r="H72" s="504"/>
      <c r="I72" s="504"/>
      <c r="J72" s="504"/>
      <c r="K72" s="504"/>
      <c r="L72" s="505"/>
      <c r="M72" s="506"/>
      <c r="N72" s="931"/>
      <c r="O72" s="931"/>
      <c r="P72" s="1919"/>
      <c r="Q72" s="510"/>
    </row>
    <row r="73" spans="1:17" s="422" customFormat="1" ht="14.4" thickBot="1">
      <c r="A73" s="502"/>
      <c r="B73" s="492"/>
      <c r="C73" s="509"/>
      <c r="D73" s="509"/>
      <c r="E73" s="509"/>
      <c r="F73" s="509"/>
      <c r="G73" s="509"/>
      <c r="H73" s="511"/>
      <c r="I73" s="511"/>
      <c r="J73" s="511"/>
      <c r="K73" s="511"/>
      <c r="L73" s="511"/>
      <c r="M73" s="512"/>
      <c r="N73" s="931"/>
      <c r="O73" s="931"/>
      <c r="P73" s="1918"/>
      <c r="Q73" s="508"/>
    </row>
    <row r="74" spans="1:17" s="422" customFormat="1" ht="14.4" thickTop="1">
      <c r="A74" s="502"/>
      <c r="B74" s="495">
        <f>B14</f>
        <v>111</v>
      </c>
      <c r="C74" s="503"/>
      <c r="D74" s="503"/>
      <c r="E74" s="503"/>
      <c r="F74" s="503"/>
      <c r="G74" s="472"/>
      <c r="H74" s="513"/>
      <c r="I74" s="513"/>
      <c r="J74" s="513"/>
      <c r="K74" s="513"/>
      <c r="L74" s="514"/>
      <c r="M74" s="515"/>
      <c r="N74" s="931"/>
      <c r="O74" s="931"/>
      <c r="P74" s="1920"/>
      <c r="Q74" s="508"/>
    </row>
    <row r="75" spans="1:17" s="422" customFormat="1" ht="14.4" thickBot="1">
      <c r="A75" s="517"/>
      <c r="B75" s="518"/>
      <c r="C75" s="519"/>
      <c r="D75" s="519"/>
      <c r="E75" s="519"/>
      <c r="F75" s="519"/>
      <c r="G75" s="519"/>
      <c r="H75" s="520"/>
      <c r="I75" s="520"/>
      <c r="J75" s="520"/>
      <c r="K75" s="520"/>
      <c r="L75" s="520"/>
      <c r="M75" s="521"/>
      <c r="N75" s="931"/>
      <c r="O75" s="931"/>
      <c r="P75" s="1918"/>
      <c r="Q75" s="508"/>
    </row>
    <row r="76" spans="1:17" ht="14.4">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 thickTop="1">
      <c r="A86" s="528"/>
      <c r="B86" s="487" t="s">
        <v>1718</v>
      </c>
      <c r="C86" s="503"/>
      <c r="D86" s="503"/>
      <c r="E86" s="503"/>
      <c r="F86" s="503"/>
      <c r="G86" s="503"/>
      <c r="H86" s="503"/>
      <c r="I86" s="503"/>
      <c r="J86" s="503"/>
      <c r="K86" s="503"/>
      <c r="L86" s="529"/>
      <c r="M86" s="530"/>
      <c r="N86" s="928"/>
      <c r="O86" s="928"/>
      <c r="P86" s="1917"/>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 thickTop="1">
      <c r="A88" s="528"/>
      <c r="B88" s="487" t="s">
        <v>1719</v>
      </c>
      <c r="C88" s="503"/>
      <c r="D88" s="503"/>
      <c r="E88" s="503"/>
      <c r="F88" s="1922"/>
      <c r="G88" s="503"/>
      <c r="H88" s="503"/>
      <c r="I88" s="503"/>
      <c r="J88" s="503"/>
      <c r="K88" s="503"/>
      <c r="L88" s="503"/>
      <c r="M88" s="530"/>
      <c r="N88" s="928"/>
      <c r="O88" s="928"/>
      <c r="P88" s="1917"/>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4.4" thickTop="1">
      <c r="A90" s="502"/>
      <c r="B90" s="487">
        <f>B27</f>
        <v>111</v>
      </c>
      <c r="C90" s="503"/>
      <c r="D90" s="503"/>
      <c r="E90" s="503"/>
      <c r="F90" s="503"/>
      <c r="G90" s="503"/>
      <c r="H90" s="504"/>
      <c r="I90" s="504"/>
      <c r="J90" s="504"/>
      <c r="K90" s="504"/>
      <c r="L90" s="505"/>
      <c r="M90" s="506"/>
      <c r="N90" s="931"/>
      <c r="O90" s="931"/>
      <c r="P90" s="1918"/>
      <c r="Q90" s="508"/>
    </row>
    <row r="91" spans="1:17" s="422" customFormat="1" ht="14.4" thickBot="1">
      <c r="A91" s="502"/>
      <c r="B91" s="492"/>
      <c r="C91" s="509"/>
      <c r="D91" s="509"/>
      <c r="E91" s="509"/>
      <c r="F91" s="509"/>
      <c r="G91" s="509"/>
      <c r="H91" s="511"/>
      <c r="I91" s="511"/>
      <c r="J91" s="511"/>
      <c r="K91" s="511"/>
      <c r="L91" s="511"/>
      <c r="M91" s="512"/>
      <c r="N91" s="931"/>
      <c r="O91" s="931"/>
      <c r="P91" s="1918"/>
      <c r="Q91" s="508"/>
    </row>
    <row r="92" spans="1:17" ht="14.4" thickTop="1">
      <c r="A92" s="483"/>
      <c r="B92" s="487">
        <f>B28</f>
        <v>111</v>
      </c>
      <c r="C92" s="503"/>
      <c r="D92" s="503"/>
      <c r="E92" s="503"/>
      <c r="F92" s="503"/>
      <c r="G92" s="532"/>
      <c r="H92" s="532"/>
      <c r="I92" s="532"/>
      <c r="J92" s="532"/>
      <c r="K92" s="533"/>
      <c r="L92" s="534"/>
      <c r="M92" s="535"/>
      <c r="N92" s="929"/>
      <c r="O92" s="929"/>
      <c r="P92" s="1917"/>
      <c r="Q92" s="453"/>
    </row>
    <row r="93" spans="1:17" ht="14.4" thickBot="1">
      <c r="A93" s="483"/>
      <c r="B93" s="492"/>
      <c r="C93" s="509"/>
      <c r="D93" s="485"/>
      <c r="E93" s="485"/>
      <c r="F93" s="485"/>
      <c r="G93" s="485"/>
      <c r="H93" s="485"/>
      <c r="I93" s="485"/>
      <c r="J93" s="485"/>
      <c r="K93" s="485"/>
      <c r="L93" s="485"/>
      <c r="M93" s="486"/>
      <c r="N93" s="930"/>
      <c r="O93" s="930"/>
      <c r="P93" s="1917"/>
      <c r="Q93" s="453"/>
    </row>
    <row r="94" spans="1:17" ht="14.4" thickTop="1">
      <c r="A94" s="483"/>
      <c r="B94" s="487">
        <f>B29</f>
        <v>111</v>
      </c>
      <c r="C94" s="503"/>
      <c r="D94" s="503"/>
      <c r="E94" s="503"/>
      <c r="F94" s="503"/>
      <c r="G94" s="532"/>
      <c r="H94" s="532"/>
      <c r="I94" s="532"/>
      <c r="J94" s="532"/>
      <c r="K94" s="533"/>
      <c r="L94" s="534"/>
      <c r="M94" s="535"/>
      <c r="N94" s="929"/>
      <c r="O94" s="929"/>
      <c r="P94" s="1917"/>
      <c r="Q94" s="453"/>
    </row>
    <row r="95" spans="1:17" ht="14.4" thickBot="1">
      <c r="A95" s="483"/>
      <c r="B95" s="492"/>
      <c r="C95" s="509"/>
      <c r="D95" s="509"/>
      <c r="E95" s="509"/>
      <c r="F95" s="509"/>
      <c r="G95" s="485"/>
      <c r="H95" s="485"/>
      <c r="I95" s="485"/>
      <c r="J95" s="485"/>
      <c r="K95" s="485"/>
      <c r="L95" s="485"/>
      <c r="M95" s="486"/>
      <c r="N95" s="930"/>
      <c r="O95" s="930"/>
      <c r="P95" s="1917"/>
      <c r="Q95" s="453"/>
    </row>
    <row r="96" spans="1:17" ht="14.4" thickTop="1">
      <c r="A96" s="483"/>
      <c r="B96" s="487">
        <f>B30</f>
        <v>111</v>
      </c>
      <c r="C96" s="503"/>
      <c r="D96" s="503"/>
      <c r="E96" s="503"/>
      <c r="F96" s="503"/>
      <c r="G96" s="532"/>
      <c r="H96" s="532"/>
      <c r="I96" s="532"/>
      <c r="J96" s="532"/>
      <c r="K96" s="533"/>
      <c r="L96" s="534"/>
      <c r="M96" s="535"/>
      <c r="N96" s="929"/>
      <c r="O96" s="929"/>
      <c r="P96" s="1917"/>
      <c r="Q96" s="453"/>
    </row>
    <row r="97" spans="1:17" ht="14.4" thickBot="1">
      <c r="A97" s="483"/>
      <c r="B97" s="492"/>
      <c r="C97" s="519"/>
      <c r="D97" s="519"/>
      <c r="E97" s="519"/>
      <c r="F97" s="519"/>
      <c r="G97" s="485"/>
      <c r="H97" s="485"/>
      <c r="I97" s="485"/>
      <c r="J97" s="485"/>
      <c r="K97" s="485"/>
      <c r="L97" s="485"/>
      <c r="M97" s="486"/>
      <c r="N97" s="930"/>
      <c r="O97" s="930"/>
      <c r="P97" s="1917"/>
      <c r="Q97" s="453"/>
    </row>
    <row r="98" spans="1:17" ht="14.4" thickTop="1">
      <c r="A98" s="483"/>
      <c r="B98" s="495">
        <f>B31</f>
        <v>111</v>
      </c>
      <c r="C98" s="536"/>
      <c r="D98" s="536"/>
      <c r="E98" s="536"/>
      <c r="F98" s="536"/>
      <c r="G98" s="536"/>
      <c r="H98" s="536"/>
      <c r="I98" s="536"/>
      <c r="J98" s="536"/>
      <c r="K98" s="537"/>
      <c r="L98" s="538"/>
      <c r="M98" s="539"/>
      <c r="N98" s="929"/>
      <c r="O98" s="929"/>
      <c r="P98" s="1917"/>
      <c r="Q98" s="453"/>
    </row>
    <row r="99" spans="1:17" ht="14.4" thickBot="1">
      <c r="A99" s="1923"/>
      <c r="B99" s="518"/>
      <c r="C99" s="540"/>
      <c r="D99" s="540"/>
      <c r="E99" s="540"/>
      <c r="F99" s="540"/>
      <c r="G99" s="540"/>
      <c r="H99" s="540"/>
      <c r="I99" s="540"/>
      <c r="J99" s="540"/>
      <c r="K99" s="540"/>
      <c r="L99" s="540"/>
      <c r="M99" s="541"/>
      <c r="N99" s="930"/>
      <c r="O99" s="930"/>
      <c r="P99" s="1917"/>
      <c r="Q99" s="453"/>
    </row>
    <row r="100" spans="1:17" ht="14.4">
      <c r="A100" s="476" t="s">
        <v>1678</v>
      </c>
      <c r="B100" s="477" t="s">
        <v>1720</v>
      </c>
      <c r="C100" s="479"/>
      <c r="D100" s="479"/>
      <c r="E100" s="479"/>
      <c r="F100" s="479"/>
      <c r="G100" s="479"/>
      <c r="H100" s="479"/>
      <c r="I100" s="479"/>
      <c r="J100" s="479"/>
      <c r="K100" s="480"/>
      <c r="L100" s="481"/>
      <c r="M100" s="482"/>
      <c r="N100" s="929"/>
      <c r="O100" s="929"/>
      <c r="P100" s="1917"/>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4.4"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9.4"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4.4"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29.4"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4.4" thickBot="1">
      <c r="A127" s="502"/>
      <c r="B127" s="492"/>
      <c r="C127" s="509"/>
      <c r="D127" s="485"/>
      <c r="E127" s="485"/>
      <c r="F127" s="485"/>
      <c r="G127" s="509"/>
      <c r="H127" s="511"/>
      <c r="I127" s="511"/>
      <c r="J127" s="511"/>
      <c r="K127" s="511"/>
      <c r="L127" s="511"/>
      <c r="M127" s="512"/>
      <c r="N127" s="931"/>
      <c r="O127" s="931"/>
      <c r="P127" s="1918"/>
      <c r="Q127" s="508"/>
    </row>
    <row r="128" spans="1:17" ht="14.4" thickTop="1">
      <c r="A128" s="548"/>
      <c r="B128" s="487">
        <f>B45</f>
        <v>111</v>
      </c>
      <c r="C128" s="503"/>
      <c r="D128" s="503"/>
      <c r="E128" s="503"/>
      <c r="F128" s="503"/>
      <c r="G128" s="532"/>
      <c r="H128" s="532"/>
      <c r="I128" s="532"/>
      <c r="J128" s="532"/>
      <c r="K128" s="533"/>
      <c r="L128" s="534"/>
      <c r="M128" s="535"/>
      <c r="N128" s="929"/>
      <c r="O128" s="929"/>
      <c r="P128" s="1917"/>
      <c r="Q128" s="453"/>
    </row>
    <row r="129" spans="1:17" ht="14.4" thickBot="1">
      <c r="A129" s="483"/>
      <c r="B129" s="492"/>
      <c r="C129" s="509"/>
      <c r="D129" s="509"/>
      <c r="E129" s="509"/>
      <c r="F129" s="509"/>
      <c r="G129" s="485"/>
      <c r="H129" s="485"/>
      <c r="I129" s="485"/>
      <c r="J129" s="485"/>
      <c r="K129" s="485"/>
      <c r="L129" s="485"/>
      <c r="M129" s="486"/>
      <c r="N129" s="930"/>
      <c r="O129" s="930"/>
      <c r="P129" s="1917"/>
      <c r="Q129" s="453"/>
    </row>
    <row r="130" spans="1:17" ht="14.4" thickTop="1">
      <c r="A130" s="548"/>
      <c r="B130" s="495">
        <f>B46</f>
        <v>111</v>
      </c>
      <c r="C130" s="503"/>
      <c r="D130" s="503"/>
      <c r="E130" s="503"/>
      <c r="F130" s="503"/>
      <c r="G130" s="536"/>
      <c r="H130" s="536"/>
      <c r="I130" s="536"/>
      <c r="J130" s="536"/>
      <c r="K130" s="472"/>
      <c r="L130" s="473"/>
      <c r="M130" s="539"/>
      <c r="N130" s="929"/>
      <c r="O130" s="929"/>
      <c r="P130" s="1917"/>
      <c r="Q130" s="453"/>
    </row>
    <row r="131" spans="1:17" ht="14.4"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6.2"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ht="14.4">
      <c r="B147" s="1924" t="s">
        <v>1748</v>
      </c>
    </row>
    <row r="148" spans="2:11" ht="14.4">
      <c r="B148" s="1924"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1"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4.4">
      <c r="A4" s="355" t="s">
        <v>1753</v>
      </c>
      <c r="B4" s="356"/>
      <c r="C4" s="3802" t="s">
        <v>1754</v>
      </c>
      <c r="D4" s="3803"/>
      <c r="E4" s="3804" t="s">
        <v>1755</v>
      </c>
      <c r="F4" s="3805"/>
      <c r="G4" s="3802" t="s">
        <v>1756</v>
      </c>
      <c r="H4" s="3803"/>
      <c r="I4" s="3802" t="s">
        <v>1757</v>
      </c>
      <c r="J4" s="3803"/>
      <c r="K4" s="559" t="s">
        <v>1758</v>
      </c>
      <c r="L4" s="2686"/>
      <c r="M4" s="2687"/>
      <c r="N4" s="2687"/>
      <c r="O4" s="2687"/>
      <c r="P4" s="3840" t="s">
        <v>1759</v>
      </c>
      <c r="Q4" s="3841"/>
      <c r="R4" s="3844" t="s">
        <v>1755</v>
      </c>
      <c r="S4" s="3845"/>
      <c r="T4" s="3844" t="s">
        <v>1756</v>
      </c>
      <c r="U4" s="3845"/>
      <c r="V4" s="3819" t="s">
        <v>1757</v>
      </c>
      <c r="W4" s="3819"/>
      <c r="X4" s="1350"/>
      <c r="Y4" s="3844" t="s">
        <v>1759</v>
      </c>
      <c r="Z4" s="3845"/>
      <c r="AA4" s="3839" t="s">
        <v>1755</v>
      </c>
      <c r="AB4" s="3819" t="s">
        <v>1756</v>
      </c>
      <c r="AC4" s="3839" t="s">
        <v>1757</v>
      </c>
    </row>
    <row r="5" spans="1:29">
      <c r="A5" s="358"/>
      <c r="B5" s="359"/>
      <c r="C5" s="3828" t="s">
        <v>1657</v>
      </c>
      <c r="D5" s="3823"/>
      <c r="E5" s="3834" t="s">
        <v>1658</v>
      </c>
      <c r="F5" s="3835"/>
      <c r="G5" s="3828" t="s">
        <v>1659</v>
      </c>
      <c r="H5" s="3823"/>
      <c r="I5" s="3828" t="s">
        <v>1660</v>
      </c>
      <c r="J5" s="3823"/>
      <c r="K5" s="559"/>
      <c r="L5" s="2686"/>
      <c r="M5" s="2687"/>
      <c r="N5" s="2687"/>
      <c r="O5" s="2687"/>
      <c r="P5" s="3842"/>
      <c r="Q5" s="3809"/>
      <c r="R5" s="3814"/>
      <c r="S5" s="3815"/>
      <c r="T5" s="3814"/>
      <c r="U5" s="3815"/>
      <c r="V5" s="3819"/>
      <c r="W5" s="3819"/>
      <c r="X5" s="1350"/>
      <c r="Y5" s="3814"/>
      <c r="Z5" s="3815"/>
      <c r="AA5" s="3832"/>
      <c r="AB5" s="3819"/>
      <c r="AC5" s="3832"/>
    </row>
    <row r="6" spans="1:29" ht="15" thickBot="1">
      <c r="A6" s="360"/>
      <c r="B6" s="361"/>
      <c r="C6" s="3820" t="s">
        <v>1661</v>
      </c>
      <c r="D6" s="3821"/>
      <c r="E6" s="3829" t="s">
        <v>1661</v>
      </c>
      <c r="F6" s="3830"/>
      <c r="G6" s="3820" t="s">
        <v>1661</v>
      </c>
      <c r="H6" s="3821"/>
      <c r="I6" s="3820" t="s">
        <v>1661</v>
      </c>
      <c r="J6" s="3821"/>
      <c r="K6" s="559" t="s">
        <v>1662</v>
      </c>
      <c r="L6" s="2686"/>
      <c r="M6" s="2687"/>
      <c r="N6" s="2687"/>
      <c r="O6" s="2687"/>
      <c r="P6" s="3843"/>
      <c r="Q6" s="3811"/>
      <c r="R6" s="3814"/>
      <c r="S6" s="3815"/>
      <c r="T6" s="3816"/>
      <c r="U6" s="3817"/>
      <c r="V6" s="3819"/>
      <c r="W6" s="3819"/>
      <c r="X6" s="1350"/>
      <c r="Y6" s="3816"/>
      <c r="Z6" s="3817"/>
      <c r="AA6" s="3833"/>
      <c r="AB6" s="3819"/>
      <c r="AC6" s="3833"/>
    </row>
    <row r="7" spans="1:29" s="108" customFormat="1" ht="1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560"/>
      <c r="L7" s="2688"/>
      <c r="M7" s="2689"/>
      <c r="N7" s="2689"/>
      <c r="O7" s="2689"/>
      <c r="P7" s="3826" t="s">
        <v>1664</v>
      </c>
      <c r="Q7" s="3827"/>
      <c r="R7" s="700" t="s">
        <v>14</v>
      </c>
      <c r="S7" s="701">
        <f t="shared" ref="S7:S15" si="0">F7</f>
        <v>0</v>
      </c>
      <c r="T7" s="700" t="s">
        <v>14</v>
      </c>
      <c r="U7" s="701">
        <f t="shared" ref="U7:U15" si="1">H7</f>
        <v>0</v>
      </c>
      <c r="V7" s="700" t="s">
        <v>14</v>
      </c>
      <c r="W7" s="701">
        <f t="shared" ref="W7:W15" si="2">J7</f>
        <v>0</v>
      </c>
      <c r="X7" s="702"/>
      <c r="Y7" s="3826" t="s">
        <v>1664</v>
      </c>
      <c r="Z7" s="3825"/>
      <c r="AA7" s="703" t="e">
        <f>D7/F7</f>
        <v>#DIV/0!</v>
      </c>
      <c r="AB7" s="703" t="e">
        <f>D7/H7</f>
        <v>#DIV/0!</v>
      </c>
      <c r="AC7" s="703" t="e">
        <f>D7/J7</f>
        <v>#DIV/0!</v>
      </c>
    </row>
    <row r="8" spans="1:29" s="108" customFormat="1" ht="1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826" t="s">
        <v>1667</v>
      </c>
      <c r="Q8" s="3825"/>
      <c r="R8" s="700" t="s">
        <v>14</v>
      </c>
      <c r="S8" s="701">
        <f t="shared" si="0"/>
        <v>100</v>
      </c>
      <c r="T8" s="700" t="s">
        <v>14</v>
      </c>
      <c r="U8" s="701">
        <f t="shared" si="1"/>
        <v>100</v>
      </c>
      <c r="V8" s="700" t="s">
        <v>14</v>
      </c>
      <c r="W8" s="701">
        <f t="shared" si="2"/>
        <v>100</v>
      </c>
      <c r="X8" s="702"/>
      <c r="Y8" s="3826" t="s">
        <v>1667</v>
      </c>
      <c r="Z8" s="3825"/>
      <c r="AA8" s="703">
        <f t="shared" ref="AA8:AA46" si="3">D8/F8</f>
        <v>1</v>
      </c>
      <c r="AB8" s="703">
        <f t="shared" ref="AB8:AB46" si="4">D8/H8</f>
        <v>1</v>
      </c>
      <c r="AC8" s="703">
        <f t="shared" ref="AC8:AC46" si="5">D8/J8</f>
        <v>1</v>
      </c>
    </row>
    <row r="9" spans="1:29" s="108" customFormat="1" ht="14.4">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784" t="s">
        <v>1670</v>
      </c>
      <c r="Q9" s="1338" t="str">
        <f t="shared" ref="Q9:Q15" si="6">B9</f>
        <v>用途</v>
      </c>
      <c r="R9" s="700" t="s">
        <v>14</v>
      </c>
      <c r="S9" s="701">
        <f t="shared" si="0"/>
        <v>100</v>
      </c>
      <c r="T9" s="700" t="s">
        <v>14</v>
      </c>
      <c r="U9" s="701">
        <f t="shared" si="1"/>
        <v>100</v>
      </c>
      <c r="V9" s="700" t="s">
        <v>14</v>
      </c>
      <c r="W9" s="701">
        <f t="shared" si="2"/>
        <v>100</v>
      </c>
      <c r="X9" s="702"/>
      <c r="Y9" s="3663" t="s">
        <v>1671</v>
      </c>
      <c r="Z9" s="52" t="str">
        <f t="shared" ref="Z9:Z15" si="7">Q9</f>
        <v>用途</v>
      </c>
      <c r="AA9" s="703">
        <f t="shared" si="3"/>
        <v>1</v>
      </c>
      <c r="AB9" s="703">
        <f t="shared" si="4"/>
        <v>1</v>
      </c>
      <c r="AC9" s="703">
        <f t="shared" si="5"/>
        <v>1</v>
      </c>
    </row>
    <row r="10" spans="1:29" s="378" customFormat="1" ht="28.8">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784"/>
      <c r="Q10" s="1338"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784"/>
      <c r="Q11" s="1338" t="str">
        <f t="shared" si="6"/>
        <v>容积率</v>
      </c>
      <c r="R11" s="700" t="s">
        <v>14</v>
      </c>
      <c r="S11" s="701" t="e">
        <f t="shared" si="0"/>
        <v>#N/A</v>
      </c>
      <c r="T11" s="700" t="s">
        <v>14</v>
      </c>
      <c r="U11" s="701" t="e">
        <f t="shared" si="1"/>
        <v>#N/A</v>
      </c>
      <c r="V11" s="700" t="s">
        <v>14</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784"/>
      <c r="Q12" s="1338">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784"/>
      <c r="Q13" s="1338">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6"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784"/>
      <c r="Q14" s="1338">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790" t="s">
        <v>1675</v>
      </c>
      <c r="Q15" s="1347" t="str">
        <f t="shared" si="6"/>
        <v>商业繁华度</v>
      </c>
      <c r="R15" s="704" t="s">
        <v>14</v>
      </c>
      <c r="S15" s="705">
        <f t="shared" si="0"/>
        <v>100</v>
      </c>
      <c r="T15" s="704" t="s">
        <v>14</v>
      </c>
      <c r="U15" s="705">
        <f t="shared" si="1"/>
        <v>100</v>
      </c>
      <c r="V15" s="704" t="s">
        <v>14</v>
      </c>
      <c r="W15" s="705">
        <f t="shared" si="2"/>
        <v>100</v>
      </c>
      <c r="X15" s="1350"/>
      <c r="Y15" s="3792"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791"/>
      <c r="Q16" s="1347"/>
      <c r="R16" s="704"/>
      <c r="S16" s="705"/>
      <c r="T16" s="704"/>
      <c r="U16" s="705"/>
      <c r="V16" s="704"/>
      <c r="W16" s="705"/>
      <c r="X16" s="1350"/>
      <c r="Y16" s="3793"/>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791"/>
      <c r="Q17" s="1347" t="str">
        <f>B17</f>
        <v>交通便捷度</v>
      </c>
      <c r="R17" s="704" t="s">
        <v>14</v>
      </c>
      <c r="S17" s="705">
        <f>F17</f>
        <v>100</v>
      </c>
      <c r="T17" s="704" t="s">
        <v>14</v>
      </c>
      <c r="U17" s="705">
        <f>H17</f>
        <v>100</v>
      </c>
      <c r="V17" s="704" t="s">
        <v>14</v>
      </c>
      <c r="W17" s="705">
        <f>J17</f>
        <v>100</v>
      </c>
      <c r="X17" s="1350"/>
      <c r="Y17" s="3793"/>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791"/>
      <c r="Q18" s="1347"/>
      <c r="R18" s="704"/>
      <c r="S18" s="705"/>
      <c r="T18" s="704"/>
      <c r="U18" s="705"/>
      <c r="V18" s="704"/>
      <c r="W18" s="705"/>
      <c r="X18" s="1350"/>
      <c r="Y18" s="3793"/>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791"/>
      <c r="Q19" s="1347" t="str">
        <f>B19</f>
        <v>公共配套设施</v>
      </c>
      <c r="R19" s="704" t="s">
        <v>14</v>
      </c>
      <c r="S19" s="705">
        <f>F19</f>
        <v>100</v>
      </c>
      <c r="T19" s="704" t="s">
        <v>14</v>
      </c>
      <c r="U19" s="705">
        <f>H19</f>
        <v>100</v>
      </c>
      <c r="V19" s="704" t="s">
        <v>14</v>
      </c>
      <c r="W19" s="705">
        <f>J19</f>
        <v>100</v>
      </c>
      <c r="X19" s="1350"/>
      <c r="Y19" s="3793"/>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791"/>
      <c r="Q20" s="1347"/>
      <c r="R20" s="704"/>
      <c r="S20" s="705"/>
      <c r="T20" s="704"/>
      <c r="U20" s="705"/>
      <c r="V20" s="704"/>
      <c r="W20" s="705"/>
      <c r="X20" s="1350"/>
      <c r="Y20" s="3793"/>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791"/>
      <c r="Q21" s="1347" t="str">
        <f>B21</f>
        <v>基础设施水平</v>
      </c>
      <c r="R21" s="704" t="s">
        <v>14</v>
      </c>
      <c r="S21" s="705">
        <f>F21</f>
        <v>100</v>
      </c>
      <c r="T21" s="704" t="s">
        <v>14</v>
      </c>
      <c r="U21" s="705">
        <f>H21</f>
        <v>100</v>
      </c>
      <c r="V21" s="704" t="s">
        <v>14</v>
      </c>
      <c r="W21" s="705">
        <f>J21</f>
        <v>100</v>
      </c>
      <c r="X21" s="1350"/>
      <c r="Y21" s="3793"/>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791"/>
      <c r="Q22" s="1347"/>
      <c r="R22" s="704"/>
      <c r="S22" s="705"/>
      <c r="T22" s="704"/>
      <c r="U22" s="705"/>
      <c r="V22" s="704"/>
      <c r="W22" s="705"/>
      <c r="X22" s="1350"/>
      <c r="Y22" s="3793"/>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791"/>
      <c r="Q23" s="1347" t="str">
        <f>B23</f>
        <v>自然及人文环境</v>
      </c>
      <c r="R23" s="704" t="s">
        <v>14</v>
      </c>
      <c r="S23" s="705">
        <f>F23</f>
        <v>100</v>
      </c>
      <c r="T23" s="704" t="s">
        <v>14</v>
      </c>
      <c r="U23" s="705">
        <f>H23</f>
        <v>100</v>
      </c>
      <c r="V23" s="704" t="s">
        <v>14</v>
      </c>
      <c r="W23" s="705">
        <f>J23</f>
        <v>100</v>
      </c>
      <c r="X23" s="1350"/>
      <c r="Y23" s="3793"/>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791"/>
      <c r="Q24" s="1347"/>
      <c r="R24" s="704"/>
      <c r="S24" s="705"/>
      <c r="T24" s="704"/>
      <c r="U24" s="705"/>
      <c r="V24" s="704"/>
      <c r="W24" s="705"/>
      <c r="X24" s="1350"/>
      <c r="Y24" s="3793"/>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791"/>
      <c r="Q25" s="1347" t="str">
        <f t="shared" ref="Q25:Q46" si="11">B25</f>
        <v>临街状况</v>
      </c>
      <c r="R25" s="704" t="s">
        <v>14</v>
      </c>
      <c r="S25" s="705">
        <f>F25</f>
        <v>100</v>
      </c>
      <c r="T25" s="704" t="s">
        <v>14</v>
      </c>
      <c r="U25" s="705">
        <f>H25</f>
        <v>100</v>
      </c>
      <c r="V25" s="704" t="s">
        <v>14</v>
      </c>
      <c r="W25" s="705">
        <f>J25</f>
        <v>100</v>
      </c>
      <c r="X25" s="1350"/>
      <c r="Y25" s="3793"/>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791"/>
      <c r="Q26" s="1347" t="str">
        <f t="shared" si="11"/>
        <v>平面位置/可视性</v>
      </c>
      <c r="R26" s="704" t="s">
        <v>14</v>
      </c>
      <c r="S26" s="705">
        <f>F26</f>
        <v>100</v>
      </c>
      <c r="T26" s="704" t="s">
        <v>14</v>
      </c>
      <c r="U26" s="705">
        <f>H26</f>
        <v>100</v>
      </c>
      <c r="V26" s="704" t="s">
        <v>14</v>
      </c>
      <c r="W26" s="705">
        <f>J26</f>
        <v>100</v>
      </c>
      <c r="X26" s="1350"/>
      <c r="Y26" s="3793"/>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791"/>
      <c r="Q27" s="1338" t="str">
        <f t="shared" si="11"/>
        <v>人流量</v>
      </c>
      <c r="R27" s="700" t="s">
        <v>14</v>
      </c>
      <c r="S27" s="701">
        <f>F27</f>
        <v>100</v>
      </c>
      <c r="T27" s="700" t="s">
        <v>14</v>
      </c>
      <c r="U27" s="701">
        <f>H27</f>
        <v>100</v>
      </c>
      <c r="V27" s="700" t="s">
        <v>14</v>
      </c>
      <c r="W27" s="701">
        <f>J27</f>
        <v>100</v>
      </c>
      <c r="X27" s="702"/>
      <c r="Y27" s="3793"/>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791"/>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793"/>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791"/>
      <c r="Q29" s="1347">
        <f t="shared" si="11"/>
        <v>111</v>
      </c>
      <c r="R29" s="704" t="s">
        <v>14</v>
      </c>
      <c r="S29" s="705">
        <f t="shared" si="12"/>
        <v>100</v>
      </c>
      <c r="T29" s="704" t="s">
        <v>14</v>
      </c>
      <c r="U29" s="705">
        <f t="shared" si="13"/>
        <v>100</v>
      </c>
      <c r="V29" s="704" t="s">
        <v>14</v>
      </c>
      <c r="W29" s="705">
        <f t="shared" si="14"/>
        <v>100</v>
      </c>
      <c r="X29" s="1350"/>
      <c r="Y29" s="3793"/>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791"/>
      <c r="Q30" s="1347">
        <f t="shared" si="11"/>
        <v>111</v>
      </c>
      <c r="R30" s="704" t="s">
        <v>14</v>
      </c>
      <c r="S30" s="705">
        <f t="shared" si="12"/>
        <v>100</v>
      </c>
      <c r="T30" s="704" t="s">
        <v>14</v>
      </c>
      <c r="U30" s="705">
        <f t="shared" si="13"/>
        <v>100</v>
      </c>
      <c r="V30" s="704" t="s">
        <v>14</v>
      </c>
      <c r="W30" s="705">
        <f t="shared" si="14"/>
        <v>100</v>
      </c>
      <c r="X30" s="1350"/>
      <c r="Y30" s="3793"/>
      <c r="Z30" s="1351">
        <f t="shared" si="15"/>
        <v>111</v>
      </c>
      <c r="AA30" s="1348">
        <f t="shared" si="3"/>
        <v>1</v>
      </c>
      <c r="AB30" s="1348">
        <f t="shared" si="4"/>
        <v>1</v>
      </c>
      <c r="AC30" s="1348">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791"/>
      <c r="Q31" s="1347">
        <f t="shared" si="11"/>
        <v>111</v>
      </c>
      <c r="R31" s="704" t="s">
        <v>14</v>
      </c>
      <c r="S31" s="705">
        <f t="shared" si="12"/>
        <v>100</v>
      </c>
      <c r="T31" s="704" t="s">
        <v>14</v>
      </c>
      <c r="U31" s="705">
        <f t="shared" si="13"/>
        <v>100</v>
      </c>
      <c r="V31" s="704" t="s">
        <v>14</v>
      </c>
      <c r="W31" s="705">
        <f t="shared" si="14"/>
        <v>100</v>
      </c>
      <c r="X31" s="1350"/>
      <c r="Y31" s="3793"/>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794" t="s">
        <v>1680</v>
      </c>
      <c r="Q32" s="1347" t="str">
        <f t="shared" si="11"/>
        <v>商业类型</v>
      </c>
      <c r="R32" s="704" t="s">
        <v>14</v>
      </c>
      <c r="S32" s="705">
        <f t="shared" si="12"/>
        <v>100</v>
      </c>
      <c r="T32" s="704" t="s">
        <v>14</v>
      </c>
      <c r="U32" s="705">
        <f t="shared" si="13"/>
        <v>100</v>
      </c>
      <c r="V32" s="704" t="s">
        <v>14</v>
      </c>
      <c r="W32" s="705">
        <f t="shared" si="14"/>
        <v>100</v>
      </c>
      <c r="X32" s="1350"/>
      <c r="Y32" s="3797"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795"/>
      <c r="Q33" s="706" t="str">
        <f t="shared" si="11"/>
        <v>项目建筑规模</v>
      </c>
      <c r="R33" s="707" t="s">
        <v>14</v>
      </c>
      <c r="S33" s="708" t="e">
        <f t="shared" si="12"/>
        <v>#N/A</v>
      </c>
      <c r="T33" s="707" t="s">
        <v>14</v>
      </c>
      <c r="U33" s="708" t="e">
        <f t="shared" si="13"/>
        <v>#N/A</v>
      </c>
      <c r="V33" s="707" t="s">
        <v>14</v>
      </c>
      <c r="W33" s="708" t="e">
        <f t="shared" si="14"/>
        <v>#N/A</v>
      </c>
      <c r="X33" s="709"/>
      <c r="Y33" s="3797"/>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795"/>
      <c r="Q34" s="1347" t="str">
        <f t="shared" si="11"/>
        <v>建筑结构</v>
      </c>
      <c r="R34" s="704" t="s">
        <v>14</v>
      </c>
      <c r="S34" s="705">
        <f t="shared" si="12"/>
        <v>100</v>
      </c>
      <c r="T34" s="704" t="s">
        <v>14</v>
      </c>
      <c r="U34" s="705">
        <f t="shared" si="13"/>
        <v>100</v>
      </c>
      <c r="V34" s="704" t="s">
        <v>14</v>
      </c>
      <c r="W34" s="705">
        <f t="shared" si="14"/>
        <v>100</v>
      </c>
      <c r="X34" s="1350"/>
      <c r="Y34" s="3797"/>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795"/>
      <c r="Q35" s="1347" t="str">
        <f t="shared" si="11"/>
        <v>公共部分装修</v>
      </c>
      <c r="R35" s="704" t="s">
        <v>14</v>
      </c>
      <c r="S35" s="705">
        <f t="shared" si="12"/>
        <v>100</v>
      </c>
      <c r="T35" s="704" t="s">
        <v>14</v>
      </c>
      <c r="U35" s="705">
        <f t="shared" si="13"/>
        <v>100</v>
      </c>
      <c r="V35" s="704" t="s">
        <v>14</v>
      </c>
      <c r="W35" s="705">
        <f t="shared" si="14"/>
        <v>100</v>
      </c>
      <c r="X35" s="1350"/>
      <c r="Y35" s="3797"/>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795"/>
      <c r="Q36" s="1347" t="str">
        <f t="shared" si="11"/>
        <v>成新度</v>
      </c>
      <c r="R36" s="704" t="s">
        <v>14</v>
      </c>
      <c r="S36" s="705" t="e">
        <f t="shared" si="12"/>
        <v>#N/A</v>
      </c>
      <c r="T36" s="704" t="s">
        <v>14</v>
      </c>
      <c r="U36" s="705" t="e">
        <f t="shared" si="13"/>
        <v>#N/A</v>
      </c>
      <c r="V36" s="704" t="s">
        <v>14</v>
      </c>
      <c r="W36" s="705" t="e">
        <f t="shared" si="14"/>
        <v>#N/A</v>
      </c>
      <c r="X36" s="1350"/>
      <c r="Y36" s="3797"/>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795"/>
      <c r="Q37" s="1338" t="str">
        <f t="shared" si="11"/>
        <v>市政基础设施</v>
      </c>
      <c r="R37" s="700" t="s">
        <v>14</v>
      </c>
      <c r="S37" s="701">
        <f t="shared" si="12"/>
        <v>100</v>
      </c>
      <c r="T37" s="700" t="s">
        <v>14</v>
      </c>
      <c r="U37" s="701">
        <f t="shared" si="13"/>
        <v>100</v>
      </c>
      <c r="V37" s="700" t="s">
        <v>14</v>
      </c>
      <c r="W37" s="701">
        <f t="shared" si="14"/>
        <v>100</v>
      </c>
      <c r="X37" s="702"/>
      <c r="Y37" s="3797"/>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795" t="s">
        <v>1680</v>
      </c>
      <c r="Q38" s="1347" t="str">
        <f t="shared" si="11"/>
        <v>业态</v>
      </c>
      <c r="R38" s="704" t="s">
        <v>14</v>
      </c>
      <c r="S38" s="705">
        <f t="shared" si="12"/>
        <v>100</v>
      </c>
      <c r="T38" s="704" t="s">
        <v>14</v>
      </c>
      <c r="U38" s="705">
        <f t="shared" si="13"/>
        <v>100</v>
      </c>
      <c r="V38" s="704" t="s">
        <v>14</v>
      </c>
      <c r="W38" s="705">
        <f t="shared" si="14"/>
        <v>100</v>
      </c>
      <c r="X38" s="1350"/>
      <c r="Y38" s="3797"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795"/>
      <c r="Q39" s="1347" t="str">
        <f t="shared" si="11"/>
        <v>层高</v>
      </c>
      <c r="R39" s="704" t="s">
        <v>14</v>
      </c>
      <c r="S39" s="705">
        <f t="shared" si="12"/>
        <v>100</v>
      </c>
      <c r="T39" s="704" t="s">
        <v>14</v>
      </c>
      <c r="U39" s="705">
        <f t="shared" si="13"/>
        <v>100</v>
      </c>
      <c r="V39" s="704" t="s">
        <v>14</v>
      </c>
      <c r="W39" s="705">
        <f t="shared" si="14"/>
        <v>100</v>
      </c>
      <c r="X39" s="1350"/>
      <c r="Y39" s="3797"/>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795"/>
      <c r="Q40" s="1347" t="str">
        <f t="shared" si="11"/>
        <v>单套建筑面积</v>
      </c>
      <c r="R40" s="704" t="s">
        <v>14</v>
      </c>
      <c r="S40" s="705">
        <f t="shared" si="12"/>
        <v>100</v>
      </c>
      <c r="T40" s="704" t="s">
        <v>14</v>
      </c>
      <c r="U40" s="705">
        <f t="shared" si="13"/>
        <v>100</v>
      </c>
      <c r="V40" s="704" t="s">
        <v>14</v>
      </c>
      <c r="W40" s="705">
        <f t="shared" si="14"/>
        <v>100</v>
      </c>
      <c r="X40" s="1350"/>
      <c r="Y40" s="3797"/>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795"/>
      <c r="Q41" s="706" t="str">
        <f t="shared" si="11"/>
        <v>进深比</v>
      </c>
      <c r="R41" s="707" t="s">
        <v>14</v>
      </c>
      <c r="S41" s="708">
        <f t="shared" si="12"/>
        <v>100</v>
      </c>
      <c r="T41" s="707" t="s">
        <v>14</v>
      </c>
      <c r="U41" s="708">
        <f t="shared" si="13"/>
        <v>100</v>
      </c>
      <c r="V41" s="707" t="s">
        <v>14</v>
      </c>
      <c r="W41" s="708">
        <f t="shared" si="14"/>
        <v>100</v>
      </c>
      <c r="X41" s="709"/>
      <c r="Y41" s="3797"/>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795"/>
      <c r="Q42" s="1347" t="str">
        <f t="shared" si="11"/>
        <v>内部装修</v>
      </c>
      <c r="R42" s="704" t="s">
        <v>14</v>
      </c>
      <c r="S42" s="705">
        <f t="shared" si="12"/>
        <v>100</v>
      </c>
      <c r="T42" s="704" t="s">
        <v>14</v>
      </c>
      <c r="U42" s="705">
        <f t="shared" si="13"/>
        <v>100</v>
      </c>
      <c r="V42" s="704" t="s">
        <v>14</v>
      </c>
      <c r="W42" s="705">
        <f t="shared" si="14"/>
        <v>100</v>
      </c>
      <c r="X42" s="1350"/>
      <c r="Y42" s="3797"/>
      <c r="Z42" s="1351" t="str">
        <f t="shared" si="15"/>
        <v>内部装修</v>
      </c>
      <c r="AA42" s="1348">
        <f t="shared" si="3"/>
        <v>1</v>
      </c>
      <c r="AB42" s="1348">
        <f t="shared" si="4"/>
        <v>1</v>
      </c>
      <c r="AC42" s="1348">
        <f t="shared" si="5"/>
        <v>1</v>
      </c>
    </row>
    <row r="43" spans="1:29" ht="28.8">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795"/>
      <c r="Q43" s="1347" t="str">
        <f t="shared" si="11"/>
        <v>内部装修维护情况</v>
      </c>
      <c r="R43" s="704" t="s">
        <v>14</v>
      </c>
      <c r="S43" s="705">
        <f t="shared" si="12"/>
        <v>100</v>
      </c>
      <c r="T43" s="704" t="s">
        <v>14</v>
      </c>
      <c r="U43" s="705">
        <f t="shared" si="13"/>
        <v>100</v>
      </c>
      <c r="V43" s="704" t="s">
        <v>14</v>
      </c>
      <c r="W43" s="705">
        <f t="shared" si="14"/>
        <v>100</v>
      </c>
      <c r="X43" s="1350"/>
      <c r="Y43" s="3797"/>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795"/>
      <c r="Q44" s="1338">
        <f t="shared" si="11"/>
        <v>111</v>
      </c>
      <c r="R44" s="700" t="s">
        <v>14</v>
      </c>
      <c r="S44" s="701">
        <f t="shared" si="12"/>
        <v>100</v>
      </c>
      <c r="T44" s="700" t="s">
        <v>14</v>
      </c>
      <c r="U44" s="701">
        <f t="shared" si="13"/>
        <v>100</v>
      </c>
      <c r="V44" s="700" t="s">
        <v>14</v>
      </c>
      <c r="W44" s="701">
        <f t="shared" si="14"/>
        <v>100</v>
      </c>
      <c r="X44" s="702"/>
      <c r="Y44" s="3797"/>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795"/>
      <c r="Q45" s="1347">
        <f t="shared" si="11"/>
        <v>111</v>
      </c>
      <c r="R45" s="704" t="s">
        <v>14</v>
      </c>
      <c r="S45" s="705">
        <f t="shared" si="12"/>
        <v>100</v>
      </c>
      <c r="T45" s="704" t="s">
        <v>14</v>
      </c>
      <c r="U45" s="705">
        <f t="shared" si="13"/>
        <v>100</v>
      </c>
      <c r="V45" s="704" t="s">
        <v>14</v>
      </c>
      <c r="W45" s="705">
        <f t="shared" si="14"/>
        <v>100</v>
      </c>
      <c r="X45" s="1350"/>
      <c r="Y45" s="3797"/>
      <c r="Z45" s="1351">
        <f t="shared" si="15"/>
        <v>111</v>
      </c>
      <c r="AA45" s="1348">
        <f t="shared" si="3"/>
        <v>1</v>
      </c>
      <c r="AB45" s="1348">
        <f t="shared" si="4"/>
        <v>1</v>
      </c>
      <c r="AC45" s="1348">
        <f t="shared" si="5"/>
        <v>1</v>
      </c>
    </row>
    <row r="46" spans="1:29" ht="15.6"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796"/>
      <c r="Q46" s="1347">
        <f t="shared" si="11"/>
        <v>111</v>
      </c>
      <c r="R46" s="704" t="s">
        <v>14</v>
      </c>
      <c r="S46" s="705">
        <f t="shared" si="12"/>
        <v>100</v>
      </c>
      <c r="T46" s="704" t="s">
        <v>14</v>
      </c>
      <c r="U46" s="705">
        <f t="shared" si="13"/>
        <v>100</v>
      </c>
      <c r="V46" s="704" t="s">
        <v>14</v>
      </c>
      <c r="W46" s="705">
        <f t="shared" si="14"/>
        <v>100</v>
      </c>
      <c r="X46" s="1350"/>
      <c r="Y46" s="3798"/>
      <c r="Z46" s="1351">
        <f t="shared" si="15"/>
        <v>111</v>
      </c>
      <c r="AA46" s="1348">
        <f t="shared" si="3"/>
        <v>1</v>
      </c>
      <c r="AB46" s="1348">
        <f t="shared" si="4"/>
        <v>1</v>
      </c>
      <c r="AC46" s="1348">
        <f t="shared" si="5"/>
        <v>1</v>
      </c>
    </row>
    <row r="47" spans="1:29" ht="14.4">
      <c r="A47" s="430" t="s">
        <v>1692</v>
      </c>
      <c r="B47" s="431"/>
      <c r="C47" s="1150" t="s">
        <v>0</v>
      </c>
      <c r="D47" s="1151"/>
      <c r="E47" s="1152"/>
      <c r="F47" s="1153"/>
      <c r="G47" s="1154"/>
      <c r="H47" s="1155"/>
      <c r="I47" s="1152"/>
      <c r="J47" s="1155"/>
      <c r="K47" s="713"/>
      <c r="L47" s="2695"/>
      <c r="M47" s="2696"/>
      <c r="N47" s="2687"/>
      <c r="O47" s="2696"/>
      <c r="P47" s="3785" t="str">
        <f>A47</f>
        <v>成交单价（元/平方米）</v>
      </c>
      <c r="Q47" s="3785"/>
      <c r="R47" s="3819">
        <f>E47</f>
        <v>0</v>
      </c>
      <c r="S47" s="3819"/>
      <c r="T47" s="3819">
        <f>G47</f>
        <v>0</v>
      </c>
      <c r="U47" s="3819"/>
      <c r="V47" s="3819">
        <f>I47</f>
        <v>0</v>
      </c>
      <c r="W47" s="3819"/>
      <c r="X47" s="689"/>
      <c r="Y47" s="711"/>
      <c r="Z47" s="689"/>
      <c r="AA47" s="689"/>
      <c r="AB47" s="689"/>
      <c r="AC47" s="689"/>
    </row>
    <row r="48" spans="1:29" ht="1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785" t="str">
        <f>A48</f>
        <v>比较价值（元/平方米）</v>
      </c>
      <c r="Q48" s="3785"/>
      <c r="R48" s="3786" t="e">
        <f>IF(F1="售价",ROUND(PRODUCT(R47,AA7:AA46),0),ROUND(PRODUCT(R47,AA7:AA46),1))</f>
        <v>#DIV/0!</v>
      </c>
      <c r="S48" s="3786"/>
      <c r="T48" s="3786" t="e">
        <f>IF(F1="售价",ROUND(PRODUCT(T47,AB7:AB46),0),ROUND(PRODUCT(T47,AB7:AB46),1))</f>
        <v>#DIV/0!</v>
      </c>
      <c r="U48" s="3786"/>
      <c r="V48" s="3786" t="e">
        <f>IF(F1="售价",ROUND(PRODUCT(V47,AC7:AC46),0),ROUND(PRODUCT(V47,AC7:AC46),1))</f>
        <v>#DIV/0!</v>
      </c>
      <c r="W48" s="3786"/>
      <c r="X48" s="689"/>
      <c r="Y48" s="689"/>
      <c r="Z48" s="689"/>
      <c r="AA48" s="689"/>
      <c r="AB48" s="689"/>
      <c r="AC48" s="689"/>
    </row>
    <row r="49" spans="1:29" ht="15" thickBot="1">
      <c r="A49" s="441" t="s">
        <v>1778</v>
      </c>
      <c r="B49" s="442"/>
      <c r="C49" s="1159" t="e">
        <f>R49</f>
        <v>#DIV/0!</v>
      </c>
      <c r="D49" s="1159"/>
      <c r="E49" s="1159"/>
      <c r="F49" s="1159"/>
      <c r="G49" s="1159"/>
      <c r="H49" s="1159"/>
      <c r="I49" s="1159"/>
      <c r="J49" s="1159"/>
      <c r="K49" s="714"/>
      <c r="L49" s="2695"/>
      <c r="M49" s="2696"/>
      <c r="N49" s="2687"/>
      <c r="O49" s="2696"/>
      <c r="P49" s="3836" t="str">
        <f>A49</f>
        <v>估价对象XX用房的比较价值（楼面单价，元/平方米）</v>
      </c>
      <c r="Q49" s="3837"/>
      <c r="R49" s="3838" t="e">
        <f>IF(F1="售价",ROUND(IF(D48="简单平均",AVERAGE(R48:V48),R48*F48+T48*H48+V48*J48),0),ROUND(IF(D48="简单平均",AVERAGE(R48:V48),R48*F48+T48*H48+V48*J48),1))</f>
        <v>#DIV/0!</v>
      </c>
      <c r="S49" s="3838"/>
      <c r="T49" s="3838"/>
      <c r="U49" s="3838"/>
      <c r="V49" s="3838"/>
      <c r="W49" s="3838"/>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2.2"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4.4">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4.4">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4.4"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ht="14.4">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4.4"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9.4"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4.4"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4.4"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4.4"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4.4"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4.4"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4.4"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4.4"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ht="14.4">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4.4"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4.4"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4.4"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4.4"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4.4"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4.4"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4.4"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4.4"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4.4"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4.4"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4.4"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ht="14.4">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4.4"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4.4"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29.4"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4.4"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4.4"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4.4"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4.4"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4.4"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4.4"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4.4">
      <c r="A4" s="355" t="s">
        <v>1753</v>
      </c>
      <c r="B4" s="356"/>
      <c r="C4" s="3802" t="s">
        <v>1754</v>
      </c>
      <c r="D4" s="3803"/>
      <c r="E4" s="3804" t="s">
        <v>1755</v>
      </c>
      <c r="F4" s="3805"/>
      <c r="G4" s="3802" t="s">
        <v>1756</v>
      </c>
      <c r="H4" s="3803"/>
      <c r="I4" s="3802" t="s">
        <v>1757</v>
      </c>
      <c r="J4" s="3803"/>
      <c r="K4" s="559" t="s">
        <v>1758</v>
      </c>
      <c r="L4" s="909"/>
      <c r="M4" s="910"/>
      <c r="N4" s="910"/>
      <c r="O4" s="910"/>
      <c r="P4" s="3840" t="s">
        <v>1759</v>
      </c>
      <c r="Q4" s="3841"/>
      <c r="R4" s="3844" t="s">
        <v>1755</v>
      </c>
      <c r="S4" s="3845"/>
      <c r="T4" s="3844" t="s">
        <v>1756</v>
      </c>
      <c r="U4" s="3845"/>
      <c r="V4" s="3819" t="s">
        <v>1757</v>
      </c>
      <c r="W4" s="3819"/>
      <c r="X4" s="1350"/>
      <c r="Y4" s="3844" t="s">
        <v>1759</v>
      </c>
      <c r="Z4" s="3845"/>
      <c r="AA4" s="3839" t="s">
        <v>1755</v>
      </c>
      <c r="AB4" s="3832" t="s">
        <v>1756</v>
      </c>
      <c r="AC4" s="3839" t="s">
        <v>1757</v>
      </c>
    </row>
    <row r="5" spans="1:29">
      <c r="A5" s="358"/>
      <c r="B5" s="359"/>
      <c r="C5" s="3828" t="s">
        <v>1657</v>
      </c>
      <c r="D5" s="3823"/>
      <c r="E5" s="3834" t="s">
        <v>1658</v>
      </c>
      <c r="F5" s="3835"/>
      <c r="G5" s="3828" t="s">
        <v>1659</v>
      </c>
      <c r="H5" s="3823"/>
      <c r="I5" s="3828" t="s">
        <v>1660</v>
      </c>
      <c r="J5" s="3823"/>
      <c r="K5" s="559"/>
      <c r="L5" s="909"/>
      <c r="M5" s="910"/>
      <c r="N5" s="910"/>
      <c r="O5" s="910"/>
      <c r="P5" s="3842"/>
      <c r="Q5" s="3809"/>
      <c r="R5" s="3814"/>
      <c r="S5" s="3815"/>
      <c r="T5" s="3814"/>
      <c r="U5" s="3815"/>
      <c r="V5" s="3819"/>
      <c r="W5" s="3819"/>
      <c r="X5" s="1350"/>
      <c r="Y5" s="3814"/>
      <c r="Z5" s="3815"/>
      <c r="AA5" s="3832"/>
      <c r="AB5" s="3832"/>
      <c r="AC5" s="3832"/>
    </row>
    <row r="6" spans="1:29" ht="15" thickBot="1">
      <c r="A6" s="360"/>
      <c r="B6" s="361"/>
      <c r="C6" s="3820" t="s">
        <v>1661</v>
      </c>
      <c r="D6" s="3821"/>
      <c r="E6" s="3829" t="s">
        <v>1661</v>
      </c>
      <c r="F6" s="3830"/>
      <c r="G6" s="3820" t="s">
        <v>1661</v>
      </c>
      <c r="H6" s="3821"/>
      <c r="I6" s="3820" t="s">
        <v>1661</v>
      </c>
      <c r="J6" s="3821"/>
      <c r="K6" s="559" t="s">
        <v>1662</v>
      </c>
      <c r="L6" s="909"/>
      <c r="M6" s="910"/>
      <c r="N6" s="910"/>
      <c r="O6" s="910"/>
      <c r="P6" s="3843"/>
      <c r="Q6" s="3811"/>
      <c r="R6" s="3814"/>
      <c r="S6" s="3815"/>
      <c r="T6" s="3816"/>
      <c r="U6" s="3817"/>
      <c r="V6" s="3819"/>
      <c r="W6" s="3819"/>
      <c r="X6" s="1350"/>
      <c r="Y6" s="3816"/>
      <c r="Z6" s="3817"/>
      <c r="AA6" s="3833"/>
      <c r="AB6" s="3833"/>
      <c r="AC6" s="3833"/>
    </row>
    <row r="7" spans="1:29" s="108" customFormat="1" ht="15" thickBot="1">
      <c r="A7" s="362" t="s">
        <v>1663</v>
      </c>
      <c r="B7" s="363"/>
      <c r="C7" s="364">
        <f>'数据-取费表'!B2</f>
        <v>45309</v>
      </c>
      <c r="D7" s="365">
        <v>100</v>
      </c>
      <c r="E7" s="366"/>
      <c r="F7" s="367">
        <f>SUMIF(52:52,YEAR(E7)&amp;"-"&amp;MONTH(E7),53:53)</f>
        <v>0</v>
      </c>
      <c r="G7" s="366"/>
      <c r="H7" s="365">
        <f>SUMIF(52:52,YEAR(G7)&amp;"-"&amp;MONTH(G7),53:53)</f>
        <v>0</v>
      </c>
      <c r="I7" s="366"/>
      <c r="J7" s="365">
        <f>SUMIF(52:52,YEAR(I7)&amp;"-"&amp;MONTH(I7),53:53)</f>
        <v>0</v>
      </c>
      <c r="K7" s="560"/>
      <c r="L7" s="911"/>
      <c r="M7" s="912"/>
      <c r="N7" s="912"/>
      <c r="O7" s="912"/>
      <c r="P7" s="3826" t="s">
        <v>1664</v>
      </c>
      <c r="Q7" s="3827"/>
      <c r="R7" s="700" t="s">
        <v>14</v>
      </c>
      <c r="S7" s="701">
        <f t="shared" ref="S7:S15" si="0">F7</f>
        <v>0</v>
      </c>
      <c r="T7" s="700" t="s">
        <v>14</v>
      </c>
      <c r="U7" s="701">
        <f t="shared" ref="U7:U15" si="1">H7</f>
        <v>0</v>
      </c>
      <c r="V7" s="700" t="s">
        <v>14</v>
      </c>
      <c r="W7" s="701">
        <f t="shared" ref="W7:W15" si="2">J7</f>
        <v>0</v>
      </c>
      <c r="X7" s="702"/>
      <c r="Y7" s="3826" t="s">
        <v>1664</v>
      </c>
      <c r="Z7" s="3825"/>
      <c r="AA7" s="703" t="e">
        <f>D7/F7</f>
        <v>#DIV/0!</v>
      </c>
      <c r="AB7" s="703" t="e">
        <f>D7/H7</f>
        <v>#DIV/0!</v>
      </c>
      <c r="AC7" s="703" t="e">
        <f>D7/J7</f>
        <v>#DIV/0!</v>
      </c>
    </row>
    <row r="8" spans="1:29" s="108" customFormat="1" ht="1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26" t="s">
        <v>1667</v>
      </c>
      <c r="Q8" s="3825"/>
      <c r="R8" s="700" t="s">
        <v>14</v>
      </c>
      <c r="S8" s="701">
        <f t="shared" si="0"/>
        <v>100</v>
      </c>
      <c r="T8" s="700" t="s">
        <v>14</v>
      </c>
      <c r="U8" s="701">
        <f t="shared" si="1"/>
        <v>100</v>
      </c>
      <c r="V8" s="700" t="s">
        <v>14</v>
      </c>
      <c r="W8" s="701">
        <f t="shared" si="2"/>
        <v>100</v>
      </c>
      <c r="X8" s="702"/>
      <c r="Y8" s="3826" t="s">
        <v>1667</v>
      </c>
      <c r="Z8" s="3825"/>
      <c r="AA8" s="703">
        <f t="shared" ref="AA8:AA40" si="3">D8/F8</f>
        <v>1</v>
      </c>
      <c r="AB8" s="703">
        <f t="shared" ref="AB8:AB40" si="4">D8/H8</f>
        <v>1</v>
      </c>
      <c r="AC8" s="703">
        <f t="shared" ref="AC8:AC40" si="5">D8/J8</f>
        <v>1</v>
      </c>
    </row>
    <row r="9" spans="1:29" s="108" customFormat="1" ht="14.4">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85" t="s">
        <v>1670</v>
      </c>
      <c r="Q9" s="1338" t="str">
        <f t="shared" ref="Q9:Q15" si="6">B9</f>
        <v>用途</v>
      </c>
      <c r="R9" s="700" t="s">
        <v>14</v>
      </c>
      <c r="S9" s="701">
        <f t="shared" si="0"/>
        <v>100</v>
      </c>
      <c r="T9" s="700" t="s">
        <v>14</v>
      </c>
      <c r="U9" s="701">
        <f t="shared" si="1"/>
        <v>100</v>
      </c>
      <c r="V9" s="700" t="s">
        <v>14</v>
      </c>
      <c r="W9" s="701">
        <f t="shared" si="2"/>
        <v>100</v>
      </c>
      <c r="X9" s="702"/>
      <c r="Y9" s="3663" t="s">
        <v>1671</v>
      </c>
      <c r="Z9" s="52" t="str">
        <f t="shared" ref="Z9:Z15" si="7">Q9</f>
        <v>用途</v>
      </c>
      <c r="AA9" s="703">
        <f t="shared" si="3"/>
        <v>1</v>
      </c>
      <c r="AB9" s="703">
        <f t="shared" si="4"/>
        <v>1</v>
      </c>
      <c r="AC9" s="703">
        <f t="shared" si="5"/>
        <v>1</v>
      </c>
    </row>
    <row r="10" spans="1:29" s="378" customFormat="1" ht="28.8">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785"/>
      <c r="Q10" s="1338"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85"/>
      <c r="Q11" s="1338" t="str">
        <f t="shared" si="6"/>
        <v>容积率</v>
      </c>
      <c r="R11" s="700" t="s">
        <v>14</v>
      </c>
      <c r="S11" s="701">
        <f t="shared" si="0"/>
        <v>100</v>
      </c>
      <c r="T11" s="700" t="s">
        <v>14</v>
      </c>
      <c r="U11" s="701">
        <f t="shared" si="1"/>
        <v>100</v>
      </c>
      <c r="V11" s="700" t="s">
        <v>14</v>
      </c>
      <c r="W11" s="701">
        <f t="shared" si="2"/>
        <v>100</v>
      </c>
      <c r="X11" s="702"/>
      <c r="Y11" s="3663"/>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85"/>
      <c r="Q12" s="1338">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85"/>
      <c r="Q13" s="1338">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6"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85"/>
      <c r="Q14" s="1338">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69">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92" t="s">
        <v>1675</v>
      </c>
      <c r="Q15" s="1347" t="str">
        <f t="shared" si="6"/>
        <v>产业集聚程度</v>
      </c>
      <c r="R15" s="704" t="s">
        <v>14</v>
      </c>
      <c r="S15" s="705">
        <f t="shared" si="0"/>
        <v>100</v>
      </c>
      <c r="T15" s="704" t="s">
        <v>14</v>
      </c>
      <c r="U15" s="705">
        <f t="shared" si="1"/>
        <v>100</v>
      </c>
      <c r="V15" s="704" t="s">
        <v>14</v>
      </c>
      <c r="W15" s="705">
        <f t="shared" si="2"/>
        <v>100</v>
      </c>
      <c r="X15" s="1350"/>
      <c r="Y15" s="3792"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93"/>
      <c r="Q16" s="1347"/>
      <c r="R16" s="704"/>
      <c r="S16" s="705"/>
      <c r="T16" s="704"/>
      <c r="U16" s="705"/>
      <c r="V16" s="704"/>
      <c r="W16" s="705"/>
      <c r="X16" s="1350"/>
      <c r="Y16" s="3793"/>
      <c r="Z16" s="1351"/>
      <c r="AA16" s="1348">
        <v>1</v>
      </c>
      <c r="AB16" s="1348">
        <v>1</v>
      </c>
      <c r="AC16" s="1348">
        <v>1</v>
      </c>
    </row>
    <row r="17" spans="1:29" ht="96.6">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93"/>
      <c r="Q17" s="1347" t="str">
        <f>B17</f>
        <v>交通便捷度</v>
      </c>
      <c r="R17" s="704" t="s">
        <v>14</v>
      </c>
      <c r="S17" s="705">
        <f>F17</f>
        <v>100</v>
      </c>
      <c r="T17" s="704" t="s">
        <v>14</v>
      </c>
      <c r="U17" s="705">
        <f>H17</f>
        <v>100</v>
      </c>
      <c r="V17" s="704" t="s">
        <v>14</v>
      </c>
      <c r="W17" s="705">
        <f>J17</f>
        <v>100</v>
      </c>
      <c r="X17" s="1350"/>
      <c r="Y17" s="3793"/>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93"/>
      <c r="Q18" s="1347"/>
      <c r="R18" s="704"/>
      <c r="S18" s="705"/>
      <c r="T18" s="704"/>
      <c r="U18" s="705"/>
      <c r="V18" s="704"/>
      <c r="W18" s="705"/>
      <c r="X18" s="1350"/>
      <c r="Y18" s="3793"/>
      <c r="Z18" s="1351"/>
      <c r="AA18" s="1348">
        <v>1</v>
      </c>
      <c r="AB18" s="1348">
        <v>1</v>
      </c>
      <c r="AC18" s="1348">
        <v>1</v>
      </c>
    </row>
    <row r="19" spans="1:29" ht="41.4">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93"/>
      <c r="Q19" s="1347" t="str">
        <f>B19</f>
        <v>公共配套设施</v>
      </c>
      <c r="R19" s="704" t="s">
        <v>14</v>
      </c>
      <c r="S19" s="705">
        <f>F19</f>
        <v>100</v>
      </c>
      <c r="T19" s="704" t="s">
        <v>14</v>
      </c>
      <c r="U19" s="705">
        <f>H19</f>
        <v>100</v>
      </c>
      <c r="V19" s="704" t="s">
        <v>14</v>
      </c>
      <c r="W19" s="705">
        <f>J19</f>
        <v>100</v>
      </c>
      <c r="X19" s="1350"/>
      <c r="Y19" s="3793"/>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93"/>
      <c r="Q20" s="1347"/>
      <c r="R20" s="704"/>
      <c r="S20" s="705"/>
      <c r="T20" s="704"/>
      <c r="U20" s="705"/>
      <c r="V20" s="704"/>
      <c r="W20" s="705"/>
      <c r="X20" s="1350"/>
      <c r="Y20" s="3793"/>
      <c r="Z20" s="1351"/>
      <c r="AA20" s="1348">
        <v>1</v>
      </c>
      <c r="AB20" s="1348">
        <v>1</v>
      </c>
      <c r="AC20" s="1348">
        <v>1</v>
      </c>
    </row>
    <row r="21" spans="1:29" ht="41.4">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93"/>
      <c r="Q21" s="1347" t="str">
        <f>B21</f>
        <v>基础设施水平</v>
      </c>
      <c r="R21" s="704" t="s">
        <v>14</v>
      </c>
      <c r="S21" s="705">
        <f>F21</f>
        <v>100</v>
      </c>
      <c r="T21" s="704" t="s">
        <v>14</v>
      </c>
      <c r="U21" s="705">
        <f>H21</f>
        <v>100</v>
      </c>
      <c r="V21" s="704" t="s">
        <v>14</v>
      </c>
      <c r="W21" s="705">
        <f>J21</f>
        <v>100</v>
      </c>
      <c r="X21" s="1350"/>
      <c r="Y21" s="3793"/>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793"/>
      <c r="Q22" s="1347"/>
      <c r="R22" s="704"/>
      <c r="S22" s="705"/>
      <c r="T22" s="704"/>
      <c r="U22" s="705"/>
      <c r="V22" s="704"/>
      <c r="W22" s="705"/>
      <c r="X22" s="1350"/>
      <c r="Y22" s="3793"/>
      <c r="Z22" s="1351"/>
      <c r="AA22" s="1348">
        <v>1</v>
      </c>
      <c r="AB22" s="1348">
        <v>1</v>
      </c>
      <c r="AC22" s="1348">
        <v>1</v>
      </c>
    </row>
    <row r="23" spans="1:29" ht="82.8">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93"/>
      <c r="Q23" s="1347" t="str">
        <f>B23</f>
        <v>环境质量</v>
      </c>
      <c r="R23" s="704" t="s">
        <v>14</v>
      </c>
      <c r="S23" s="705">
        <f>F23</f>
        <v>100</v>
      </c>
      <c r="T23" s="704" t="s">
        <v>14</v>
      </c>
      <c r="U23" s="705">
        <f>H23</f>
        <v>100</v>
      </c>
      <c r="V23" s="704" t="s">
        <v>14</v>
      </c>
      <c r="W23" s="705">
        <f>J23</f>
        <v>100</v>
      </c>
      <c r="X23" s="1350"/>
      <c r="Y23" s="3793"/>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793"/>
      <c r="Q24" s="1347"/>
      <c r="R24" s="704"/>
      <c r="S24" s="705"/>
      <c r="T24" s="704"/>
      <c r="U24" s="705"/>
      <c r="V24" s="704"/>
      <c r="W24" s="705"/>
      <c r="X24" s="1350"/>
      <c r="Y24" s="3793"/>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93"/>
      <c r="Q25" s="1347">
        <f>B25</f>
        <v>111</v>
      </c>
      <c r="R25" s="704" t="s">
        <v>14</v>
      </c>
      <c r="S25" s="705">
        <f>F25</f>
        <v>100</v>
      </c>
      <c r="T25" s="704" t="s">
        <v>14</v>
      </c>
      <c r="U25" s="705">
        <f>H25</f>
        <v>100</v>
      </c>
      <c r="V25" s="704" t="s">
        <v>14</v>
      </c>
      <c r="W25" s="705">
        <f>J25</f>
        <v>100</v>
      </c>
      <c r="X25" s="1350"/>
      <c r="Y25" s="3793"/>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93"/>
      <c r="Q26" s="1347">
        <f t="shared" ref="Q26:Q40" si="11">B26</f>
        <v>111</v>
      </c>
      <c r="R26" s="704" t="s">
        <v>14</v>
      </c>
      <c r="S26" s="705">
        <f>F26</f>
        <v>100</v>
      </c>
      <c r="T26" s="704" t="s">
        <v>14</v>
      </c>
      <c r="U26" s="705">
        <f>H26</f>
        <v>100</v>
      </c>
      <c r="V26" s="704" t="s">
        <v>14</v>
      </c>
      <c r="W26" s="705">
        <f>J26</f>
        <v>100</v>
      </c>
      <c r="X26" s="1350"/>
      <c r="Y26" s="3793"/>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93"/>
      <c r="Q27" s="1338">
        <f t="shared" si="11"/>
        <v>111</v>
      </c>
      <c r="R27" s="700" t="s">
        <v>14</v>
      </c>
      <c r="S27" s="701">
        <f>F27</f>
        <v>100</v>
      </c>
      <c r="T27" s="700" t="s">
        <v>14</v>
      </c>
      <c r="U27" s="701">
        <f>H27</f>
        <v>100</v>
      </c>
      <c r="V27" s="700" t="s">
        <v>14</v>
      </c>
      <c r="W27" s="701">
        <f>J27</f>
        <v>100</v>
      </c>
      <c r="X27" s="702"/>
      <c r="Y27" s="3793"/>
      <c r="Z27" s="52">
        <f>Q27</f>
        <v>111</v>
      </c>
      <c r="AA27" s="1348">
        <f>D27/F27</f>
        <v>1</v>
      </c>
      <c r="AB27" s="1348">
        <f>D27/H27</f>
        <v>1</v>
      </c>
      <c r="AC27" s="1348">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93"/>
      <c r="Q28" s="1347">
        <f t="shared" si="11"/>
        <v>111</v>
      </c>
      <c r="R28" s="704" t="s">
        <v>14</v>
      </c>
      <c r="S28" s="705">
        <f t="shared" ref="S28:S40" si="12">F28</f>
        <v>100</v>
      </c>
      <c r="T28" s="704" t="s">
        <v>14</v>
      </c>
      <c r="U28" s="705">
        <f t="shared" ref="U28:U40" si="13">H28</f>
        <v>100</v>
      </c>
      <c r="V28" s="704" t="s">
        <v>14</v>
      </c>
      <c r="W28" s="705">
        <f t="shared" ref="W28:W40" si="14">J28</f>
        <v>100</v>
      </c>
      <c r="X28" s="1350"/>
      <c r="Y28" s="3793"/>
      <c r="Z28" s="1351">
        <f t="shared" ref="Z28:Z40" si="15">Q28</f>
        <v>111</v>
      </c>
      <c r="AA28" s="1348">
        <f t="shared" si="3"/>
        <v>1</v>
      </c>
      <c r="AB28" s="1348">
        <f t="shared" si="4"/>
        <v>1</v>
      </c>
      <c r="AC28" s="1348">
        <f t="shared" si="5"/>
        <v>1</v>
      </c>
    </row>
    <row r="29" spans="1:29" ht="30">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46" t="s">
        <v>1680</v>
      </c>
      <c r="Q29" s="1347" t="str">
        <f t="shared" si="11"/>
        <v>建筑类型</v>
      </c>
      <c r="R29" s="704" t="s">
        <v>14</v>
      </c>
      <c r="S29" s="705">
        <f t="shared" si="12"/>
        <v>100</v>
      </c>
      <c r="T29" s="704" t="s">
        <v>14</v>
      </c>
      <c r="U29" s="705">
        <f t="shared" si="13"/>
        <v>100</v>
      </c>
      <c r="V29" s="704" t="s">
        <v>14</v>
      </c>
      <c r="W29" s="705">
        <f t="shared" si="14"/>
        <v>100</v>
      </c>
      <c r="X29" s="1350"/>
      <c r="Y29" s="3797"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97"/>
      <c r="Q30" s="706" t="str">
        <f t="shared" si="11"/>
        <v>项目建筑规模</v>
      </c>
      <c r="R30" s="707" t="s">
        <v>14</v>
      </c>
      <c r="S30" s="708" t="e">
        <f t="shared" si="12"/>
        <v>#N/A</v>
      </c>
      <c r="T30" s="707" t="s">
        <v>14</v>
      </c>
      <c r="U30" s="708" t="e">
        <f t="shared" si="13"/>
        <v>#N/A</v>
      </c>
      <c r="V30" s="707" t="s">
        <v>14</v>
      </c>
      <c r="W30" s="708" t="e">
        <f t="shared" si="14"/>
        <v>#N/A</v>
      </c>
      <c r="X30" s="709"/>
      <c r="Y30" s="3797"/>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97"/>
      <c r="Q31" s="1347" t="str">
        <f t="shared" si="11"/>
        <v>建筑结构</v>
      </c>
      <c r="R31" s="704" t="s">
        <v>14</v>
      </c>
      <c r="S31" s="705">
        <f t="shared" si="12"/>
        <v>100</v>
      </c>
      <c r="T31" s="704" t="s">
        <v>14</v>
      </c>
      <c r="U31" s="705">
        <f t="shared" si="13"/>
        <v>100</v>
      </c>
      <c r="V31" s="704" t="s">
        <v>14</v>
      </c>
      <c r="W31" s="705">
        <f t="shared" si="14"/>
        <v>100</v>
      </c>
      <c r="X31" s="1350"/>
      <c r="Y31" s="3797"/>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97"/>
      <c r="Q32" s="1347" t="str">
        <f t="shared" si="11"/>
        <v>公共部分装修</v>
      </c>
      <c r="R32" s="704" t="s">
        <v>14</v>
      </c>
      <c r="S32" s="705">
        <f t="shared" si="12"/>
        <v>100</v>
      </c>
      <c r="T32" s="704" t="s">
        <v>14</v>
      </c>
      <c r="U32" s="705">
        <f t="shared" si="13"/>
        <v>100</v>
      </c>
      <c r="V32" s="704" t="s">
        <v>14</v>
      </c>
      <c r="W32" s="705">
        <f t="shared" si="14"/>
        <v>100</v>
      </c>
      <c r="X32" s="1350"/>
      <c r="Y32" s="3797"/>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97"/>
      <c r="Q33" s="1347" t="str">
        <f t="shared" si="11"/>
        <v>成新度</v>
      </c>
      <c r="R33" s="704" t="s">
        <v>14</v>
      </c>
      <c r="S33" s="705" t="e">
        <f t="shared" si="12"/>
        <v>#N/A</v>
      </c>
      <c r="T33" s="704" t="s">
        <v>14</v>
      </c>
      <c r="U33" s="705" t="e">
        <f t="shared" si="13"/>
        <v>#N/A</v>
      </c>
      <c r="V33" s="704" t="s">
        <v>14</v>
      </c>
      <c r="W33" s="705" t="e">
        <f t="shared" si="14"/>
        <v>#N/A</v>
      </c>
      <c r="X33" s="1350"/>
      <c r="Y33" s="3797"/>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97"/>
      <c r="Q34" s="1338" t="str">
        <f t="shared" si="11"/>
        <v>物业管理</v>
      </c>
      <c r="R34" s="700" t="s">
        <v>14</v>
      </c>
      <c r="S34" s="701">
        <f t="shared" si="12"/>
        <v>100</v>
      </c>
      <c r="T34" s="700" t="s">
        <v>14</v>
      </c>
      <c r="U34" s="701">
        <f t="shared" si="13"/>
        <v>100</v>
      </c>
      <c r="V34" s="700" t="s">
        <v>14</v>
      </c>
      <c r="W34" s="701">
        <f t="shared" si="14"/>
        <v>100</v>
      </c>
      <c r="X34" s="702"/>
      <c r="Y34" s="3797"/>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97" t="s">
        <v>1680</v>
      </c>
      <c r="Q35" s="1347" t="str">
        <f t="shared" si="11"/>
        <v>市政基础设施</v>
      </c>
      <c r="R35" s="704" t="s">
        <v>14</v>
      </c>
      <c r="S35" s="705">
        <f t="shared" si="12"/>
        <v>100</v>
      </c>
      <c r="T35" s="704" t="s">
        <v>14</v>
      </c>
      <c r="U35" s="705">
        <f t="shared" si="13"/>
        <v>100</v>
      </c>
      <c r="V35" s="704" t="s">
        <v>14</v>
      </c>
      <c r="W35" s="705">
        <f t="shared" si="14"/>
        <v>100</v>
      </c>
      <c r="X35" s="1350"/>
      <c r="Y35" s="3797"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97"/>
      <c r="Q36" s="1347" t="str">
        <f t="shared" si="11"/>
        <v>内部装修</v>
      </c>
      <c r="R36" s="704" t="s">
        <v>14</v>
      </c>
      <c r="S36" s="705">
        <f t="shared" si="12"/>
        <v>100</v>
      </c>
      <c r="T36" s="704" t="s">
        <v>14</v>
      </c>
      <c r="U36" s="705">
        <f t="shared" si="13"/>
        <v>100</v>
      </c>
      <c r="V36" s="704" t="s">
        <v>14</v>
      </c>
      <c r="W36" s="705">
        <f t="shared" si="14"/>
        <v>100</v>
      </c>
      <c r="X36" s="1350"/>
      <c r="Y36" s="3797"/>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97"/>
      <c r="Q37" s="1347" t="str">
        <f t="shared" si="11"/>
        <v>内部装修状况</v>
      </c>
      <c r="R37" s="704" t="s">
        <v>14</v>
      </c>
      <c r="S37" s="705">
        <f t="shared" si="12"/>
        <v>100</v>
      </c>
      <c r="T37" s="704" t="s">
        <v>14</v>
      </c>
      <c r="U37" s="705">
        <f t="shared" si="13"/>
        <v>100</v>
      </c>
      <c r="V37" s="704" t="s">
        <v>14</v>
      </c>
      <c r="W37" s="705">
        <f t="shared" si="14"/>
        <v>100</v>
      </c>
      <c r="X37" s="1350"/>
      <c r="Y37" s="3797"/>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97"/>
      <c r="Q38" s="706">
        <f t="shared" si="11"/>
        <v>111</v>
      </c>
      <c r="R38" s="707" t="s">
        <v>14</v>
      </c>
      <c r="S38" s="708">
        <f t="shared" si="12"/>
        <v>100</v>
      </c>
      <c r="T38" s="707" t="s">
        <v>14</v>
      </c>
      <c r="U38" s="708">
        <f t="shared" si="13"/>
        <v>100</v>
      </c>
      <c r="V38" s="707" t="s">
        <v>14</v>
      </c>
      <c r="W38" s="708">
        <f t="shared" si="14"/>
        <v>100</v>
      </c>
      <c r="X38" s="709"/>
      <c r="Y38" s="3797"/>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97"/>
      <c r="Q39" s="1347">
        <f t="shared" si="11"/>
        <v>111</v>
      </c>
      <c r="R39" s="704" t="s">
        <v>14</v>
      </c>
      <c r="S39" s="705">
        <f t="shared" si="12"/>
        <v>100</v>
      </c>
      <c r="T39" s="704" t="s">
        <v>14</v>
      </c>
      <c r="U39" s="705">
        <f t="shared" si="13"/>
        <v>100</v>
      </c>
      <c r="V39" s="704" t="s">
        <v>14</v>
      </c>
      <c r="W39" s="705">
        <f t="shared" si="14"/>
        <v>100</v>
      </c>
      <c r="X39" s="1350"/>
      <c r="Y39" s="3797"/>
      <c r="Z39" s="1351">
        <f t="shared" si="15"/>
        <v>111</v>
      </c>
      <c r="AA39" s="1348">
        <f t="shared" si="3"/>
        <v>1</v>
      </c>
      <c r="AB39" s="1348">
        <f t="shared" si="4"/>
        <v>1</v>
      </c>
      <c r="AC39" s="1348">
        <f t="shared" si="5"/>
        <v>1</v>
      </c>
    </row>
    <row r="40" spans="1:29" ht="15.6"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98"/>
      <c r="Q40" s="1347">
        <f t="shared" si="11"/>
        <v>111</v>
      </c>
      <c r="R40" s="704" t="s">
        <v>14</v>
      </c>
      <c r="S40" s="705">
        <f t="shared" si="12"/>
        <v>100</v>
      </c>
      <c r="T40" s="704" t="s">
        <v>14</v>
      </c>
      <c r="U40" s="705">
        <f t="shared" si="13"/>
        <v>100</v>
      </c>
      <c r="V40" s="704" t="s">
        <v>14</v>
      </c>
      <c r="W40" s="705">
        <f t="shared" si="14"/>
        <v>100</v>
      </c>
      <c r="X40" s="1350"/>
      <c r="Y40" s="3798"/>
      <c r="Z40" s="1351">
        <f t="shared" si="15"/>
        <v>111</v>
      </c>
      <c r="AA40" s="1348">
        <f t="shared" si="3"/>
        <v>1</v>
      </c>
      <c r="AB40" s="1348">
        <f t="shared" si="4"/>
        <v>1</v>
      </c>
      <c r="AC40" s="1348">
        <f t="shared" si="5"/>
        <v>1</v>
      </c>
    </row>
    <row r="41" spans="1:29" ht="14.4">
      <c r="A41" s="430" t="s">
        <v>1692</v>
      </c>
      <c r="B41" s="431"/>
      <c r="C41" s="1150" t="s">
        <v>0</v>
      </c>
      <c r="D41" s="1151"/>
      <c r="E41" s="1152"/>
      <c r="F41" s="1153"/>
      <c r="G41" s="1154"/>
      <c r="H41" s="1155"/>
      <c r="I41" s="1152"/>
      <c r="J41" s="1155"/>
      <c r="K41" s="713"/>
      <c r="L41" s="922"/>
      <c r="M41" s="923"/>
      <c r="N41" s="910"/>
      <c r="O41" s="923"/>
      <c r="P41" s="3785" t="str">
        <f>A41</f>
        <v>成交单价（元/平方米）</v>
      </c>
      <c r="Q41" s="3785"/>
      <c r="R41" s="3786">
        <f>E41</f>
        <v>0</v>
      </c>
      <c r="S41" s="3786"/>
      <c r="T41" s="3786">
        <f>G41</f>
        <v>0</v>
      </c>
      <c r="U41" s="3786"/>
      <c r="V41" s="3786">
        <f>I41</f>
        <v>0</v>
      </c>
      <c r="W41" s="3786"/>
      <c r="X41" s="689"/>
      <c r="Y41" s="711"/>
      <c r="Z41" s="689"/>
      <c r="AA41" s="689"/>
      <c r="AB41" s="689"/>
      <c r="AC41" s="689"/>
    </row>
    <row r="42" spans="1:29" ht="1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785" t="str">
        <f>A42</f>
        <v>比较价值（元/平方米）</v>
      </c>
      <c r="Q42" s="3785"/>
      <c r="R42" s="3786" t="e">
        <f>IF(F1="售价",ROUND(PRODUCT(R41,AA7:AA40),0),ROUND(PRODUCT(R41,AA7:AA40),1))</f>
        <v>#DIV/0!</v>
      </c>
      <c r="S42" s="3786"/>
      <c r="T42" s="3786" t="e">
        <f>IF(F1="售价",ROUND(PRODUCT(T41,AB7:AB40),0),ROUND(PRODUCT(T41,AB7:AB40),1))</f>
        <v>#DIV/0!</v>
      </c>
      <c r="U42" s="3786"/>
      <c r="V42" s="3786" t="e">
        <f>IF(F1="售价",ROUND(PRODUCT(V41,AC7:AC40),0),ROUND(PRODUCT(V41,AC7:AC40),1))</f>
        <v>#DIV/0!</v>
      </c>
      <c r="W42" s="3786"/>
      <c r="X42" s="689"/>
      <c r="Y42" s="689"/>
      <c r="Z42" s="689"/>
      <c r="AA42" s="689"/>
      <c r="AB42" s="689"/>
      <c r="AC42" s="689"/>
    </row>
    <row r="43" spans="1:29" ht="15" thickBot="1">
      <c r="A43" s="441" t="s">
        <v>1778</v>
      </c>
      <c r="B43" s="442"/>
      <c r="C43" s="1159" t="e">
        <f>R43</f>
        <v>#DIV/0!</v>
      </c>
      <c r="D43" s="1159"/>
      <c r="E43" s="1159"/>
      <c r="F43" s="1159"/>
      <c r="G43" s="1159"/>
      <c r="H43" s="1159"/>
      <c r="I43" s="1159"/>
      <c r="J43" s="1159"/>
      <c r="K43" s="714"/>
      <c r="L43" s="922"/>
      <c r="M43" s="923"/>
      <c r="N43" s="923"/>
      <c r="O43" s="923"/>
      <c r="P43" s="3836" t="str">
        <f>A43</f>
        <v>估价对象XX用房的比较价值（楼面单价，元/平方米）</v>
      </c>
      <c r="Q43" s="3837"/>
      <c r="R43" s="3838" t="e">
        <f>IF(F1="售价",ROUND(IF(D42="简单平均",AVERAGE(R42:V42),R42*F42+T42*H42+V42*J42),0),ROUND(IF(D42="简单平均",AVERAGE(R42:V42),R42*F42+T42*H42+V42*J42),1))</f>
        <v>#DIV/0!</v>
      </c>
      <c r="S43" s="3838"/>
      <c r="T43" s="3838"/>
      <c r="U43" s="3838"/>
      <c r="V43" s="3838"/>
      <c r="W43" s="3838"/>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2.2" thickBot="1">
      <c r="A51" s="693" t="s">
        <v>1782</v>
      </c>
      <c r="B51" s="689"/>
      <c r="C51" s="694"/>
      <c r="D51" s="694"/>
      <c r="E51" s="694"/>
      <c r="F51" s="695"/>
      <c r="G51" s="695"/>
      <c r="H51" s="694"/>
      <c r="I51" s="694"/>
      <c r="J51" s="694"/>
      <c r="K51" s="937"/>
      <c r="L51" s="938"/>
      <c r="M51" s="936"/>
      <c r="N51" s="936"/>
      <c r="O51" s="936"/>
      <c r="P51" s="452"/>
      <c r="Q51" s="453"/>
    </row>
    <row r="52" spans="1:17" s="457" customFormat="1" ht="14.4">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c r="A53" s="458"/>
      <c r="B53" s="459"/>
      <c r="C53" s="1178">
        <v>100</v>
      </c>
      <c r="D53" s="461"/>
      <c r="E53" s="461"/>
      <c r="F53" s="461"/>
      <c r="G53" s="461"/>
      <c r="H53" s="461"/>
      <c r="I53" s="461"/>
      <c r="J53" s="461"/>
      <c r="K53" s="461"/>
      <c r="L53" s="461"/>
      <c r="M53" s="462"/>
      <c r="N53" s="461"/>
      <c r="O53" s="463"/>
      <c r="P53" s="453"/>
    </row>
    <row r="54" spans="1:17" s="108" customFormat="1" ht="15" thickBot="1">
      <c r="A54" s="464" t="s">
        <v>1700</v>
      </c>
      <c r="B54" s="465"/>
      <c r="C54" s="466"/>
      <c r="D54" s="467"/>
      <c r="E54" s="467"/>
      <c r="F54" s="467"/>
      <c r="G54" s="467"/>
      <c r="H54" s="467"/>
      <c r="I54" s="467"/>
      <c r="J54" s="467"/>
      <c r="K54" s="467"/>
      <c r="L54" s="467"/>
      <c r="M54" s="468"/>
      <c r="N54" s="2741"/>
      <c r="O54" s="2742"/>
      <c r="P54" s="453"/>
      <c r="Q54" s="453"/>
    </row>
    <row r="55" spans="1:17" s="108" customFormat="1" ht="14.4">
      <c r="A55" s="470" t="s">
        <v>1665</v>
      </c>
      <c r="B55" s="459"/>
      <c r="C55" s="471" t="s">
        <v>1760</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1703</v>
      </c>
      <c r="B57" s="477" t="s">
        <v>1669</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1672</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3"/>
      <c r="B87" s="518"/>
      <c r="C87" s="519"/>
      <c r="D87" s="519"/>
      <c r="E87" s="519"/>
      <c r="F87" s="519"/>
      <c r="G87" s="540"/>
      <c r="H87" s="540"/>
      <c r="I87" s="540"/>
      <c r="J87" s="540"/>
      <c r="K87" s="540"/>
      <c r="L87" s="540"/>
      <c r="M87" s="541"/>
      <c r="N87" s="930"/>
      <c r="O87" s="930"/>
      <c r="P87" s="42"/>
      <c r="Q87" s="453"/>
    </row>
    <row r="88" spans="1:17" ht="14.4">
      <c r="A88" s="476" t="s">
        <v>1678</v>
      </c>
      <c r="B88" s="477" t="s">
        <v>1720</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4.4">
      <c r="A4" s="355" t="s">
        <v>1753</v>
      </c>
      <c r="B4" s="356"/>
      <c r="C4" s="3802" t="s">
        <v>1754</v>
      </c>
      <c r="D4" s="3803"/>
      <c r="E4" s="3804" t="s">
        <v>1755</v>
      </c>
      <c r="F4" s="3805"/>
      <c r="G4" s="3802" t="s">
        <v>1756</v>
      </c>
      <c r="H4" s="3803"/>
      <c r="I4" s="3802" t="s">
        <v>1757</v>
      </c>
      <c r="J4" s="3803"/>
      <c r="K4" s="559" t="s">
        <v>1758</v>
      </c>
      <c r="L4" s="2686"/>
      <c r="M4" s="2687"/>
      <c r="N4" s="2687"/>
      <c r="O4" s="2687"/>
      <c r="P4" s="3840" t="s">
        <v>1759</v>
      </c>
      <c r="Q4" s="3841"/>
      <c r="R4" s="3844" t="s">
        <v>1755</v>
      </c>
      <c r="S4" s="3845"/>
      <c r="T4" s="3844" t="s">
        <v>1756</v>
      </c>
      <c r="U4" s="3845"/>
      <c r="V4" s="3819" t="s">
        <v>1757</v>
      </c>
      <c r="W4" s="3819"/>
      <c r="X4" s="1350"/>
      <c r="Y4" s="3844" t="s">
        <v>1759</v>
      </c>
      <c r="Z4" s="3845"/>
      <c r="AA4" s="3839" t="s">
        <v>1755</v>
      </c>
      <c r="AB4" s="3832" t="s">
        <v>1756</v>
      </c>
      <c r="AC4" s="3839" t="s">
        <v>1757</v>
      </c>
    </row>
    <row r="5" spans="1:29">
      <c r="A5" s="358"/>
      <c r="B5" s="359"/>
      <c r="C5" s="3828" t="s">
        <v>1657</v>
      </c>
      <c r="D5" s="3823"/>
      <c r="E5" s="3834" t="s">
        <v>1658</v>
      </c>
      <c r="F5" s="3835"/>
      <c r="G5" s="3828" t="s">
        <v>1659</v>
      </c>
      <c r="H5" s="3823"/>
      <c r="I5" s="3828" t="s">
        <v>1660</v>
      </c>
      <c r="J5" s="3823"/>
      <c r="K5" s="559"/>
      <c r="L5" s="2686"/>
      <c r="M5" s="2687"/>
      <c r="N5" s="2687"/>
      <c r="O5" s="2687"/>
      <c r="P5" s="3842"/>
      <c r="Q5" s="3809"/>
      <c r="R5" s="3814"/>
      <c r="S5" s="3815"/>
      <c r="T5" s="3814"/>
      <c r="U5" s="3815"/>
      <c r="V5" s="3819"/>
      <c r="W5" s="3819"/>
      <c r="X5" s="1350"/>
      <c r="Y5" s="3814"/>
      <c r="Z5" s="3815"/>
      <c r="AA5" s="3832"/>
      <c r="AB5" s="3832"/>
      <c r="AC5" s="3832"/>
    </row>
    <row r="6" spans="1:29" ht="15" thickBot="1">
      <c r="A6" s="360"/>
      <c r="B6" s="361"/>
      <c r="C6" s="3820" t="s">
        <v>1661</v>
      </c>
      <c r="D6" s="3821"/>
      <c r="E6" s="3829" t="s">
        <v>1661</v>
      </c>
      <c r="F6" s="3830"/>
      <c r="G6" s="3820" t="s">
        <v>1661</v>
      </c>
      <c r="H6" s="3821"/>
      <c r="I6" s="3820" t="s">
        <v>1661</v>
      </c>
      <c r="J6" s="3821"/>
      <c r="K6" s="559" t="s">
        <v>1662</v>
      </c>
      <c r="L6" s="2686"/>
      <c r="M6" s="2687"/>
      <c r="N6" s="2687"/>
      <c r="O6" s="2687"/>
      <c r="P6" s="3843"/>
      <c r="Q6" s="3811"/>
      <c r="R6" s="3814"/>
      <c r="S6" s="3815"/>
      <c r="T6" s="3816"/>
      <c r="U6" s="3817"/>
      <c r="V6" s="3819"/>
      <c r="W6" s="3819"/>
      <c r="X6" s="1350"/>
      <c r="Y6" s="3816"/>
      <c r="Z6" s="3817"/>
      <c r="AA6" s="3833"/>
      <c r="AB6" s="3833"/>
      <c r="AC6" s="3833"/>
    </row>
    <row r="7" spans="1:29" s="108" customFormat="1" ht="15" thickBot="1">
      <c r="A7" s="362" t="s">
        <v>1663</v>
      </c>
      <c r="B7" s="363"/>
      <c r="C7" s="364">
        <f>'数据-取费表'!B2</f>
        <v>45309</v>
      </c>
      <c r="D7" s="365">
        <v>100</v>
      </c>
      <c r="E7" s="366"/>
      <c r="F7" s="367">
        <f>SUMIF(48:48,YEAR(E7)&amp;"-"&amp;MONTH(E7),49:49)</f>
        <v>0</v>
      </c>
      <c r="G7" s="366"/>
      <c r="H7" s="365">
        <f>SUMIF(48:48,YEAR(G7)&amp;"-"&amp;MONTH(G7),49:49)</f>
        <v>0</v>
      </c>
      <c r="I7" s="366"/>
      <c r="J7" s="365">
        <f>SUMIF(48:48,YEAR(I7)&amp;"-"&amp;MONTH(I7),49:49)</f>
        <v>0</v>
      </c>
      <c r="K7" s="560"/>
      <c r="L7" s="2688"/>
      <c r="M7" s="2689"/>
      <c r="N7" s="2689"/>
      <c r="O7" s="2689"/>
      <c r="P7" s="3826" t="s">
        <v>1664</v>
      </c>
      <c r="Q7" s="3827"/>
      <c r="R7" s="700" t="s">
        <v>14</v>
      </c>
      <c r="S7" s="701">
        <f t="shared" ref="S7:S14" si="0">F7</f>
        <v>0</v>
      </c>
      <c r="T7" s="700" t="s">
        <v>14</v>
      </c>
      <c r="U7" s="701">
        <f t="shared" ref="U7:U14" si="1">H7</f>
        <v>0</v>
      </c>
      <c r="V7" s="700" t="s">
        <v>14</v>
      </c>
      <c r="W7" s="701">
        <f t="shared" ref="W7:W14" si="2">J7</f>
        <v>0</v>
      </c>
      <c r="X7" s="702"/>
      <c r="Y7" s="3826" t="s">
        <v>1664</v>
      </c>
      <c r="Z7" s="3825"/>
      <c r="AA7" s="703" t="e">
        <f>D7/F7</f>
        <v>#DIV/0!</v>
      </c>
      <c r="AB7" s="703" t="e">
        <f>D7/H7</f>
        <v>#DIV/0!</v>
      </c>
      <c r="AC7" s="703" t="e">
        <f>D7/J7</f>
        <v>#DIV/0!</v>
      </c>
    </row>
    <row r="8" spans="1:29" s="108" customFormat="1" ht="1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826" t="s">
        <v>1667</v>
      </c>
      <c r="Q8" s="3825"/>
      <c r="R8" s="700" t="s">
        <v>14</v>
      </c>
      <c r="S8" s="701">
        <f t="shared" si="0"/>
        <v>100</v>
      </c>
      <c r="T8" s="700" t="s">
        <v>14</v>
      </c>
      <c r="U8" s="701">
        <f t="shared" si="1"/>
        <v>100</v>
      </c>
      <c r="V8" s="700" t="s">
        <v>14</v>
      </c>
      <c r="W8" s="701">
        <f t="shared" si="2"/>
        <v>100</v>
      </c>
      <c r="X8" s="702"/>
      <c r="Y8" s="3826" t="s">
        <v>1667</v>
      </c>
      <c r="Z8" s="3825"/>
      <c r="AA8" s="703">
        <f t="shared" ref="AA8:AA36" si="3">D8/F8</f>
        <v>1</v>
      </c>
      <c r="AB8" s="703">
        <f t="shared" ref="AB8:AB36" si="4">D8/H8</f>
        <v>1</v>
      </c>
      <c r="AC8" s="703">
        <f t="shared" ref="AC8:AC36" si="5">D8/J8</f>
        <v>1</v>
      </c>
    </row>
    <row r="9" spans="1:29" s="108" customFormat="1" ht="14.4">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785" t="s">
        <v>1670</v>
      </c>
      <c r="Q9" s="1338" t="str">
        <f t="shared" ref="Q9:Q14" si="6">B9</f>
        <v>用途</v>
      </c>
      <c r="R9" s="700" t="s">
        <v>14</v>
      </c>
      <c r="S9" s="701">
        <f t="shared" si="0"/>
        <v>100</v>
      </c>
      <c r="T9" s="700" t="s">
        <v>14</v>
      </c>
      <c r="U9" s="701">
        <f t="shared" si="1"/>
        <v>100</v>
      </c>
      <c r="V9" s="700" t="s">
        <v>14</v>
      </c>
      <c r="W9" s="701">
        <f t="shared" si="2"/>
        <v>100</v>
      </c>
      <c r="X9" s="702"/>
      <c r="Y9" s="3663" t="s">
        <v>1671</v>
      </c>
      <c r="Z9" s="52" t="str">
        <f t="shared" ref="Z9:Z14" si="7">Q9</f>
        <v>用途</v>
      </c>
      <c r="AA9" s="703">
        <f t="shared" si="3"/>
        <v>1</v>
      </c>
      <c r="AB9" s="703">
        <f t="shared" si="4"/>
        <v>1</v>
      </c>
      <c r="AC9" s="703">
        <f t="shared" si="5"/>
        <v>1</v>
      </c>
    </row>
    <row r="10" spans="1:29" s="378" customFormat="1" ht="28.8">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785"/>
      <c r="Q10" s="1338"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785"/>
      <c r="Q11" s="1338">
        <f t="shared" si="6"/>
        <v>111</v>
      </c>
      <c r="R11" s="700" t="s">
        <v>14</v>
      </c>
      <c r="S11" s="701">
        <f t="shared" si="0"/>
        <v>100</v>
      </c>
      <c r="T11" s="700" t="s">
        <v>14</v>
      </c>
      <c r="U11" s="701">
        <f t="shared" si="1"/>
        <v>100</v>
      </c>
      <c r="V11" s="700" t="s">
        <v>14</v>
      </c>
      <c r="W11" s="701">
        <f t="shared" si="2"/>
        <v>100</v>
      </c>
      <c r="X11" s="702"/>
      <c r="Y11" s="366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785"/>
      <c r="Q12" s="1338">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785"/>
      <c r="Q13" s="1338">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792" t="s">
        <v>1675</v>
      </c>
      <c r="Q14" s="1347" t="str">
        <f t="shared" si="6"/>
        <v>交通便捷度</v>
      </c>
      <c r="R14" s="704" t="s">
        <v>14</v>
      </c>
      <c r="S14" s="705">
        <f t="shared" si="0"/>
        <v>100</v>
      </c>
      <c r="T14" s="704" t="s">
        <v>14</v>
      </c>
      <c r="U14" s="705">
        <f t="shared" si="1"/>
        <v>100</v>
      </c>
      <c r="V14" s="704" t="s">
        <v>14</v>
      </c>
      <c r="W14" s="705">
        <f t="shared" si="2"/>
        <v>100</v>
      </c>
      <c r="X14" s="1350"/>
      <c r="Y14" s="3792"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793"/>
      <c r="Q15" s="1347"/>
      <c r="R15" s="704"/>
      <c r="S15" s="705"/>
      <c r="T15" s="704"/>
      <c r="U15" s="705"/>
      <c r="V15" s="704"/>
      <c r="W15" s="705"/>
      <c r="X15" s="1350"/>
      <c r="Y15" s="3793"/>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793"/>
      <c r="Q16" s="1347" t="str">
        <f>B16</f>
        <v>公共配套设施</v>
      </c>
      <c r="R16" s="704" t="s">
        <v>14</v>
      </c>
      <c r="S16" s="705">
        <f>F16</f>
        <v>100</v>
      </c>
      <c r="T16" s="704" t="s">
        <v>14</v>
      </c>
      <c r="U16" s="705">
        <f>H16</f>
        <v>100</v>
      </c>
      <c r="V16" s="704" t="s">
        <v>14</v>
      </c>
      <c r="W16" s="705">
        <f>J16</f>
        <v>100</v>
      </c>
      <c r="X16" s="1350"/>
      <c r="Y16" s="3793"/>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793"/>
      <c r="Q17" s="1347"/>
      <c r="R17" s="704"/>
      <c r="S17" s="705"/>
      <c r="T17" s="704"/>
      <c r="U17" s="705"/>
      <c r="V17" s="704"/>
      <c r="W17" s="705"/>
      <c r="X17" s="1350"/>
      <c r="Y17" s="3793"/>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793"/>
      <c r="Q18" s="1347" t="str">
        <f>B18</f>
        <v>基础设施水平</v>
      </c>
      <c r="R18" s="704" t="s">
        <v>14</v>
      </c>
      <c r="S18" s="705">
        <f>F18</f>
        <v>100</v>
      </c>
      <c r="T18" s="704" t="s">
        <v>14</v>
      </c>
      <c r="U18" s="705">
        <f>H18</f>
        <v>100</v>
      </c>
      <c r="V18" s="704" t="s">
        <v>14</v>
      </c>
      <c r="W18" s="705">
        <f>J18</f>
        <v>100</v>
      </c>
      <c r="X18" s="1350"/>
      <c r="Y18" s="3793"/>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793"/>
      <c r="Q19" s="1347"/>
      <c r="R19" s="704"/>
      <c r="S19" s="705"/>
      <c r="T19" s="704"/>
      <c r="U19" s="705"/>
      <c r="V19" s="704"/>
      <c r="W19" s="705"/>
      <c r="X19" s="1350"/>
      <c r="Y19" s="3793"/>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793"/>
      <c r="Q20" s="1347" t="str">
        <f>B20</f>
        <v>自然及人文环境</v>
      </c>
      <c r="R20" s="704" t="s">
        <v>14</v>
      </c>
      <c r="S20" s="705">
        <f>F20</f>
        <v>100</v>
      </c>
      <c r="T20" s="704" t="s">
        <v>14</v>
      </c>
      <c r="U20" s="705">
        <f>H20</f>
        <v>100</v>
      </c>
      <c r="V20" s="704" t="s">
        <v>14</v>
      </c>
      <c r="W20" s="705">
        <f>J20</f>
        <v>100</v>
      </c>
      <c r="X20" s="1350"/>
      <c r="Y20" s="3793"/>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793"/>
      <c r="Q21" s="1347"/>
      <c r="R21" s="704"/>
      <c r="S21" s="705"/>
      <c r="T21" s="704"/>
      <c r="U21" s="705"/>
      <c r="V21" s="704"/>
      <c r="W21" s="705"/>
      <c r="X21" s="1350"/>
      <c r="Y21" s="3793"/>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793"/>
      <c r="Q22" s="1347" t="str">
        <f>B22</f>
        <v>楼层</v>
      </c>
      <c r="R22" s="704" t="s">
        <v>14</v>
      </c>
      <c r="S22" s="705">
        <f>F22</f>
        <v>100</v>
      </c>
      <c r="T22" s="704" t="s">
        <v>14</v>
      </c>
      <c r="U22" s="705">
        <f>H22</f>
        <v>100</v>
      </c>
      <c r="V22" s="704" t="s">
        <v>14</v>
      </c>
      <c r="W22" s="705">
        <f>J22</f>
        <v>100</v>
      </c>
      <c r="X22" s="1350"/>
      <c r="Y22" s="3793"/>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793"/>
      <c r="Q23" s="1347">
        <f>B23</f>
        <v>111</v>
      </c>
      <c r="R23" s="704" t="s">
        <v>14</v>
      </c>
      <c r="S23" s="705">
        <f>F23</f>
        <v>100</v>
      </c>
      <c r="T23" s="704" t="s">
        <v>14</v>
      </c>
      <c r="U23" s="705">
        <f>H23</f>
        <v>100</v>
      </c>
      <c r="V23" s="704" t="s">
        <v>14</v>
      </c>
      <c r="W23" s="705">
        <f>J23</f>
        <v>100</v>
      </c>
      <c r="X23" s="1350"/>
      <c r="Y23" s="3793"/>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793"/>
      <c r="Q24" s="1347">
        <f t="shared" ref="Q24:Q36" si="11">B24</f>
        <v>111</v>
      </c>
      <c r="R24" s="704" t="s">
        <v>14</v>
      </c>
      <c r="S24" s="705">
        <f>F24</f>
        <v>100</v>
      </c>
      <c r="T24" s="704" t="s">
        <v>14</v>
      </c>
      <c r="U24" s="705">
        <f>H24</f>
        <v>100</v>
      </c>
      <c r="V24" s="704" t="s">
        <v>14</v>
      </c>
      <c r="W24" s="705">
        <f>J24</f>
        <v>100</v>
      </c>
      <c r="X24" s="1350"/>
      <c r="Y24" s="3793"/>
      <c r="Z24" s="1351">
        <f>Q24</f>
        <v>111</v>
      </c>
      <c r="AA24" s="1348">
        <f t="shared" si="3"/>
        <v>1</v>
      </c>
      <c r="AB24" s="1348">
        <f t="shared" si="4"/>
        <v>1</v>
      </c>
      <c r="AC24" s="1348">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793"/>
      <c r="Q25" s="1338">
        <f t="shared" si="11"/>
        <v>111</v>
      </c>
      <c r="R25" s="700" t="s">
        <v>14</v>
      </c>
      <c r="S25" s="701">
        <f>F25</f>
        <v>100</v>
      </c>
      <c r="T25" s="700" t="s">
        <v>14</v>
      </c>
      <c r="U25" s="701">
        <f>H25</f>
        <v>100</v>
      </c>
      <c r="V25" s="700" t="s">
        <v>14</v>
      </c>
      <c r="W25" s="701">
        <f>J25</f>
        <v>100</v>
      </c>
      <c r="X25" s="702"/>
      <c r="Y25" s="3793"/>
      <c r="Z25" s="52">
        <f>Q25</f>
        <v>111</v>
      </c>
      <c r="AA25" s="1348">
        <f>D25/F25</f>
        <v>1</v>
      </c>
      <c r="AB25" s="1348">
        <f>D25/H25</f>
        <v>1</v>
      </c>
      <c r="AC25" s="1348">
        <f>D25/J25</f>
        <v>1</v>
      </c>
    </row>
    <row r="26" spans="1:29" ht="30">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46"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797"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797"/>
      <c r="Q27" s="706" t="str">
        <f t="shared" si="11"/>
        <v>项目停车位配比</v>
      </c>
      <c r="R27" s="707" t="s">
        <v>14</v>
      </c>
      <c r="S27" s="708">
        <f t="shared" si="12"/>
        <v>100</v>
      </c>
      <c r="T27" s="707" t="s">
        <v>14</v>
      </c>
      <c r="U27" s="708">
        <f t="shared" si="13"/>
        <v>100</v>
      </c>
      <c r="V27" s="707" t="s">
        <v>14</v>
      </c>
      <c r="W27" s="708">
        <f t="shared" si="14"/>
        <v>100</v>
      </c>
      <c r="X27" s="709"/>
      <c r="Y27" s="3797"/>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797"/>
      <c r="Q28" s="1347" t="str">
        <f t="shared" si="11"/>
        <v>公共部分装修</v>
      </c>
      <c r="R28" s="704" t="s">
        <v>14</v>
      </c>
      <c r="S28" s="705">
        <f t="shared" si="12"/>
        <v>100</v>
      </c>
      <c r="T28" s="704" t="s">
        <v>14</v>
      </c>
      <c r="U28" s="705">
        <f t="shared" si="13"/>
        <v>100</v>
      </c>
      <c r="V28" s="704" t="s">
        <v>14</v>
      </c>
      <c r="W28" s="705">
        <f t="shared" si="14"/>
        <v>100</v>
      </c>
      <c r="X28" s="1350"/>
      <c r="Y28" s="3797"/>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797"/>
      <c r="Q29" s="1347" t="str">
        <f t="shared" si="11"/>
        <v>成新率</v>
      </c>
      <c r="R29" s="704" t="s">
        <v>14</v>
      </c>
      <c r="S29" s="705" t="e">
        <f t="shared" si="12"/>
        <v>#N/A</v>
      </c>
      <c r="T29" s="704" t="s">
        <v>14</v>
      </c>
      <c r="U29" s="705" t="e">
        <f t="shared" si="13"/>
        <v>#N/A</v>
      </c>
      <c r="V29" s="704" t="s">
        <v>14</v>
      </c>
      <c r="W29" s="705" t="e">
        <f t="shared" si="14"/>
        <v>#N/A</v>
      </c>
      <c r="X29" s="1350"/>
      <c r="Y29" s="3797"/>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797"/>
      <c r="Q30" s="1347" t="str">
        <f t="shared" si="11"/>
        <v>物业等级</v>
      </c>
      <c r="R30" s="704" t="s">
        <v>14</v>
      </c>
      <c r="S30" s="705">
        <f t="shared" si="12"/>
        <v>100</v>
      </c>
      <c r="T30" s="704" t="s">
        <v>14</v>
      </c>
      <c r="U30" s="705">
        <f t="shared" si="13"/>
        <v>100</v>
      </c>
      <c r="V30" s="704" t="s">
        <v>14</v>
      </c>
      <c r="W30" s="705">
        <f t="shared" si="14"/>
        <v>100</v>
      </c>
      <c r="X30" s="1350"/>
      <c r="Y30" s="3797"/>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797"/>
      <c r="Q31" s="1338" t="str">
        <f t="shared" si="11"/>
        <v>停车位面积</v>
      </c>
      <c r="R31" s="700" t="s">
        <v>14</v>
      </c>
      <c r="S31" s="701" t="e">
        <f t="shared" si="12"/>
        <v>#N/A</v>
      </c>
      <c r="T31" s="700" t="s">
        <v>14</v>
      </c>
      <c r="U31" s="701" t="e">
        <f t="shared" si="13"/>
        <v>#N/A</v>
      </c>
      <c r="V31" s="700" t="s">
        <v>14</v>
      </c>
      <c r="W31" s="701" t="e">
        <f t="shared" si="14"/>
        <v>#N/A</v>
      </c>
      <c r="X31" s="702"/>
      <c r="Y31" s="3797"/>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797" t="s">
        <v>1680</v>
      </c>
      <c r="Q32" s="1347" t="str">
        <f t="shared" si="11"/>
        <v>车位类型</v>
      </c>
      <c r="R32" s="704" t="s">
        <v>14</v>
      </c>
      <c r="S32" s="705">
        <f t="shared" si="12"/>
        <v>100</v>
      </c>
      <c r="T32" s="704" t="s">
        <v>14</v>
      </c>
      <c r="U32" s="705">
        <f t="shared" si="13"/>
        <v>100</v>
      </c>
      <c r="V32" s="704" t="s">
        <v>14</v>
      </c>
      <c r="W32" s="705">
        <f t="shared" si="14"/>
        <v>100</v>
      </c>
      <c r="X32" s="1350"/>
      <c r="Y32" s="3797"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797"/>
      <c r="Q33" s="1347" t="str">
        <f t="shared" si="11"/>
        <v>是否直接入户</v>
      </c>
      <c r="R33" s="704" t="s">
        <v>14</v>
      </c>
      <c r="S33" s="705">
        <f t="shared" si="12"/>
        <v>100</v>
      </c>
      <c r="T33" s="704" t="s">
        <v>14</v>
      </c>
      <c r="U33" s="705">
        <f t="shared" si="13"/>
        <v>100</v>
      </c>
      <c r="V33" s="704" t="s">
        <v>14</v>
      </c>
      <c r="W33" s="705">
        <f t="shared" si="14"/>
        <v>100</v>
      </c>
      <c r="X33" s="1350"/>
      <c r="Y33" s="3797"/>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797"/>
      <c r="Q34" s="1347">
        <f t="shared" si="11"/>
        <v>111</v>
      </c>
      <c r="R34" s="704" t="s">
        <v>14</v>
      </c>
      <c r="S34" s="705">
        <f t="shared" si="12"/>
        <v>100</v>
      </c>
      <c r="T34" s="704" t="s">
        <v>14</v>
      </c>
      <c r="U34" s="705">
        <f t="shared" si="13"/>
        <v>100</v>
      </c>
      <c r="V34" s="704" t="s">
        <v>14</v>
      </c>
      <c r="W34" s="705">
        <f t="shared" si="14"/>
        <v>100</v>
      </c>
      <c r="X34" s="1350"/>
      <c r="Y34" s="3797"/>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797"/>
      <c r="Q35" s="706">
        <f t="shared" si="11"/>
        <v>111</v>
      </c>
      <c r="R35" s="707" t="s">
        <v>14</v>
      </c>
      <c r="S35" s="708">
        <f t="shared" si="12"/>
        <v>100</v>
      </c>
      <c r="T35" s="707" t="s">
        <v>14</v>
      </c>
      <c r="U35" s="708">
        <f t="shared" si="13"/>
        <v>100</v>
      </c>
      <c r="V35" s="707" t="s">
        <v>14</v>
      </c>
      <c r="W35" s="708">
        <f t="shared" si="14"/>
        <v>100</v>
      </c>
      <c r="X35" s="709"/>
      <c r="Y35" s="3797"/>
      <c r="Z35" s="710">
        <f t="shared" si="15"/>
        <v>111</v>
      </c>
      <c r="AA35" s="1348">
        <f t="shared" si="3"/>
        <v>1</v>
      </c>
      <c r="AB35" s="1348">
        <f t="shared" si="4"/>
        <v>1</v>
      </c>
      <c r="AC35" s="1348">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797"/>
      <c r="Q36" s="1347">
        <f t="shared" si="11"/>
        <v>111</v>
      </c>
      <c r="R36" s="704" t="s">
        <v>14</v>
      </c>
      <c r="S36" s="705">
        <f t="shared" si="12"/>
        <v>100</v>
      </c>
      <c r="T36" s="704" t="s">
        <v>14</v>
      </c>
      <c r="U36" s="705">
        <f t="shared" si="13"/>
        <v>100</v>
      </c>
      <c r="V36" s="704" t="s">
        <v>14</v>
      </c>
      <c r="W36" s="705">
        <f t="shared" si="14"/>
        <v>100</v>
      </c>
      <c r="X36" s="1350"/>
      <c r="Y36" s="3797"/>
      <c r="Z36" s="1351">
        <f t="shared" si="15"/>
        <v>111</v>
      </c>
      <c r="AA36" s="1348">
        <f t="shared" si="3"/>
        <v>1</v>
      </c>
      <c r="AB36" s="1348">
        <f t="shared" si="4"/>
        <v>1</v>
      </c>
      <c r="AC36" s="1348">
        <f t="shared" si="5"/>
        <v>1</v>
      </c>
    </row>
    <row r="37" spans="1:29" ht="14.4">
      <c r="A37" s="430" t="s">
        <v>1828</v>
      </c>
      <c r="B37" s="1968" t="s">
        <v>3335</v>
      </c>
      <c r="C37" s="1150" t="s">
        <v>0</v>
      </c>
      <c r="D37" s="1151"/>
      <c r="E37" s="1152"/>
      <c r="F37" s="1153"/>
      <c r="G37" s="1154"/>
      <c r="H37" s="1155"/>
      <c r="I37" s="1152"/>
      <c r="J37" s="1155"/>
      <c r="K37" s="568"/>
      <c r="L37" s="2695"/>
      <c r="M37" s="2696"/>
      <c r="N37" s="2687"/>
      <c r="O37" s="2696"/>
      <c r="P37" s="3785" t="str">
        <f>A37</f>
        <v>成交单价</v>
      </c>
      <c r="Q37" s="3785"/>
      <c r="R37" s="3786">
        <f>E37</f>
        <v>0</v>
      </c>
      <c r="S37" s="3786"/>
      <c r="T37" s="3786">
        <f>G37</f>
        <v>0</v>
      </c>
      <c r="U37" s="3786"/>
      <c r="V37" s="3786">
        <f>I37</f>
        <v>0</v>
      </c>
      <c r="W37" s="3786"/>
      <c r="X37" s="689"/>
      <c r="Y37" s="711"/>
      <c r="Z37" s="689"/>
      <c r="AA37" s="689"/>
      <c r="AB37" s="689"/>
      <c r="AC37" s="689"/>
    </row>
    <row r="38" spans="1:29" ht="1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785" t="str">
        <f>A38</f>
        <v>比较价值（元/平方米）</v>
      </c>
      <c r="Q38" s="3785"/>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689"/>
      <c r="Y38" s="689"/>
      <c r="Z38" s="689"/>
      <c r="AA38" s="689"/>
      <c r="AB38" s="689"/>
      <c r="AC38" s="689"/>
    </row>
    <row r="39" spans="1:29" ht="15" thickBot="1">
      <c r="A39" s="441" t="s">
        <v>1830</v>
      </c>
      <c r="B39" s="442"/>
      <c r="C39" s="1159" t="e">
        <f>R39</f>
        <v>#DIV/0!</v>
      </c>
      <c r="D39" s="1159"/>
      <c r="E39" s="1159"/>
      <c r="F39" s="1159"/>
      <c r="G39" s="1159"/>
      <c r="H39" s="1159"/>
      <c r="I39" s="1159"/>
      <c r="J39" s="1159"/>
      <c r="K39" s="569"/>
      <c r="L39" s="2695"/>
      <c r="M39" s="2696"/>
      <c r="N39" s="2696"/>
      <c r="O39" s="2696"/>
      <c r="P39" s="3836" t="str">
        <f>A39</f>
        <v>估价对象XX用房的比较价值（楼面单价，元/平方米）</v>
      </c>
      <c r="Q39" s="3837"/>
      <c r="R39" s="3847" t="e">
        <f>IF(F1="售价",ROUND(IF(D38="简单平均",AVERAGE(R38:W38),R38*F38+T38*H38+V38*J38),0),ROUND(IF(D38="简单平均",AVERAGE(R38:V38),R38*F38+T38*H38+V38*J38),1))</f>
        <v>#DIV/0!</v>
      </c>
      <c r="S39" s="3847"/>
      <c r="T39" s="3847"/>
      <c r="U39" s="3847"/>
      <c r="V39" s="3847"/>
      <c r="W39" s="3847"/>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2.2"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4.4">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4.4">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4.4"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ht="14.4">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4.4"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9.4"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4.4"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4.4"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4.4"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4.4"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4.4"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4.4"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4.4"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4.4"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4.4"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4.4"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4.4"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4.4"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4.4"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9.4"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4.4"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4.4"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4.4"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4.4"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4.4"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4.4"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4.4"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4.4"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4.4"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2" customWidth="1"/>
    <col min="2" max="16384" width="9" style="1472"/>
  </cols>
  <sheetData>
    <row r="1" spans="1:1" ht="22.8">
      <c r="A1" s="1471" t="s">
        <v>898</v>
      </c>
    </row>
    <row r="2" spans="1:1">
      <c r="A2" s="1473"/>
    </row>
    <row r="3" spans="1:1" ht="17.399999999999999">
      <c r="A3" s="1474" t="str">
        <f>项目基本情况!B5&amp;"："</f>
        <v>：</v>
      </c>
    </row>
    <row r="4" spans="1:1" ht="34.799999999999997">
      <c r="A4" s="1475" t="str">
        <f>"受贵公司委托，我公司对"&amp;项目基本情况!S1&amp;"进行了预评估。"</f>
        <v>受贵公司委托，我公司对北京市西城区西直门外大街南路甲28号房地产市场价值进行了预评估。</v>
      </c>
    </row>
    <row r="5" spans="1:1" ht="17.399999999999999">
      <c r="A5" s="1476" t="s">
        <v>899</v>
      </c>
    </row>
    <row r="6" spans="1:1" ht="17.399999999999999">
      <c r="A6" s="1477" t="s">
        <v>900</v>
      </c>
    </row>
    <row r="7" spans="1:1" ht="52.2">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4.6">
      <c r="A8" s="1478" t="s">
        <v>901</v>
      </c>
    </row>
    <row r="9" spans="1:1" ht="17.399999999999999">
      <c r="A9" s="1477" t="s">
        <v>902</v>
      </c>
    </row>
    <row r="10" spans="1:1" ht="69.59999999999999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2">
      <c r="A11" s="1478" t="s">
        <v>903</v>
      </c>
    </row>
    <row r="12" spans="1:1" ht="17.399999999999999">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0" t="s">
        <v>905</v>
      </c>
    </row>
    <row r="15" spans="1:1" ht="17.399999999999999">
      <c r="A15" s="1481" t="str">
        <f>TEXT(项目基本情况!D3,"yyyy年m月d日;;")&amp;IF(项目基本情况!D3=项目基本情况!B3,"（评估专业人员实地查勘之日）","")</f>
        <v>2024年1月18日（评估专业人员实地查勘之日）</v>
      </c>
    </row>
    <row r="16" spans="1:1" ht="17.399999999999999">
      <c r="A16" s="1480" t="s">
        <v>906</v>
      </c>
    </row>
    <row r="17" spans="1:1" ht="69.599999999999994">
      <c r="A17" s="1475" t="s">
        <v>907</v>
      </c>
    </row>
    <row r="18" spans="1:1" ht="69.59999999999999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5" t="str">
        <f>IF(项目基本情况!B9="房地产市场价值","——",IF(项目基本情况!E8="房地产抵押价值",定义!C54,IF(项目基本情况!E8="已注销",定义!C55,定义!C56)))</f>
        <v>——</v>
      </c>
    </row>
    <row r="21" spans="1:1" ht="17.399999999999999">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5" t="str">
        <f>IF(项目基本情况!B9="房地产市场价值","——",IF(项目基本情况!E9="——","",定义!C57))</f>
        <v>——</v>
      </c>
    </row>
    <row r="23" spans="1:1" ht="17.399999999999999">
      <c r="A23" s="1480" t="s">
        <v>896</v>
      </c>
    </row>
    <row r="24" spans="1:1" ht="17.399999999999999">
      <c r="A24" s="1482" t="str">
        <f>"本次评估采用的主估价方法为"&amp;结果表!K4&amp;"和"&amp;结果表!L4&amp;"。"</f>
        <v>本次评估采用的主估价方法为比较法和收益法。</v>
      </c>
    </row>
    <row r="25" spans="1:1" ht="17.399999999999999">
      <c r="A25" s="1482"/>
    </row>
    <row r="26" spans="1:1" ht="17.399999999999999">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4.4">
      <c r="A4" s="355" t="s">
        <v>1753</v>
      </c>
      <c r="B4" s="356"/>
      <c r="C4" s="3802" t="s">
        <v>1754</v>
      </c>
      <c r="D4" s="3803"/>
      <c r="E4" s="3804" t="s">
        <v>1755</v>
      </c>
      <c r="F4" s="3805"/>
      <c r="G4" s="3802" t="s">
        <v>1756</v>
      </c>
      <c r="H4" s="3803"/>
      <c r="I4" s="3802" t="s">
        <v>1757</v>
      </c>
      <c r="J4" s="3803"/>
      <c r="K4" s="559" t="s">
        <v>1758</v>
      </c>
      <c r="L4" s="2686"/>
      <c r="M4" s="2687"/>
      <c r="N4" s="2687"/>
      <c r="O4" s="2687"/>
      <c r="P4" s="3840" t="s">
        <v>1759</v>
      </c>
      <c r="Q4" s="3841"/>
      <c r="R4" s="3844" t="s">
        <v>1755</v>
      </c>
      <c r="S4" s="3845"/>
      <c r="T4" s="3844" t="s">
        <v>1756</v>
      </c>
      <c r="U4" s="3845"/>
      <c r="V4" s="3819" t="s">
        <v>1757</v>
      </c>
      <c r="W4" s="3819"/>
      <c r="X4" s="1350"/>
      <c r="Y4" s="3844" t="s">
        <v>1759</v>
      </c>
      <c r="Z4" s="3845"/>
      <c r="AA4" s="3839" t="s">
        <v>1755</v>
      </c>
      <c r="AB4" s="3832" t="s">
        <v>1756</v>
      </c>
      <c r="AC4" s="3839" t="s">
        <v>1757</v>
      </c>
    </row>
    <row r="5" spans="1:29">
      <c r="A5" s="358"/>
      <c r="B5" s="359"/>
      <c r="C5" s="3828" t="s">
        <v>1657</v>
      </c>
      <c r="D5" s="3823"/>
      <c r="E5" s="3834" t="s">
        <v>1658</v>
      </c>
      <c r="F5" s="3835"/>
      <c r="G5" s="3828" t="s">
        <v>1659</v>
      </c>
      <c r="H5" s="3823"/>
      <c r="I5" s="3828" t="s">
        <v>1660</v>
      </c>
      <c r="J5" s="3823"/>
      <c r="K5" s="559"/>
      <c r="L5" s="2686"/>
      <c r="M5" s="2687"/>
      <c r="N5" s="2687"/>
      <c r="O5" s="2687"/>
      <c r="P5" s="3842"/>
      <c r="Q5" s="3809"/>
      <c r="R5" s="3814"/>
      <c r="S5" s="3815"/>
      <c r="T5" s="3814"/>
      <c r="U5" s="3815"/>
      <c r="V5" s="3819"/>
      <c r="W5" s="3819"/>
      <c r="X5" s="1350"/>
      <c r="Y5" s="3814"/>
      <c r="Z5" s="3815"/>
      <c r="AA5" s="3832"/>
      <c r="AB5" s="3832"/>
      <c r="AC5" s="3832"/>
    </row>
    <row r="6" spans="1:29" ht="15" thickBot="1">
      <c r="A6" s="360"/>
      <c r="B6" s="361"/>
      <c r="C6" s="3820" t="s">
        <v>1661</v>
      </c>
      <c r="D6" s="3821"/>
      <c r="E6" s="3829" t="s">
        <v>1661</v>
      </c>
      <c r="F6" s="3830"/>
      <c r="G6" s="3820" t="s">
        <v>1661</v>
      </c>
      <c r="H6" s="3821"/>
      <c r="I6" s="3820" t="s">
        <v>1661</v>
      </c>
      <c r="J6" s="3821"/>
      <c r="K6" s="559" t="s">
        <v>1662</v>
      </c>
      <c r="L6" s="2686"/>
      <c r="M6" s="2687"/>
      <c r="N6" s="2687"/>
      <c r="O6" s="2687"/>
      <c r="P6" s="3843"/>
      <c r="Q6" s="3811"/>
      <c r="R6" s="3814"/>
      <c r="S6" s="3815"/>
      <c r="T6" s="3816"/>
      <c r="U6" s="3817"/>
      <c r="V6" s="3819"/>
      <c r="W6" s="3819"/>
      <c r="X6" s="1350"/>
      <c r="Y6" s="3816"/>
      <c r="Z6" s="3817"/>
      <c r="AA6" s="3833"/>
      <c r="AB6" s="3833"/>
      <c r="AC6" s="3833"/>
    </row>
    <row r="7" spans="1:29" s="108" customFormat="1" ht="15" thickBot="1">
      <c r="A7" s="362" t="s">
        <v>1663</v>
      </c>
      <c r="B7" s="363"/>
      <c r="C7" s="364">
        <f>'数据-取费表'!B2</f>
        <v>45309</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826" t="s">
        <v>1664</v>
      </c>
      <c r="Q7" s="3827"/>
      <c r="R7" s="700" t="s">
        <v>14</v>
      </c>
      <c r="S7" s="701">
        <f t="shared" ref="S7:S14" si="0">F7</f>
        <v>0</v>
      </c>
      <c r="T7" s="700" t="s">
        <v>14</v>
      </c>
      <c r="U7" s="701">
        <f t="shared" ref="U7:U14" si="1">H7</f>
        <v>0</v>
      </c>
      <c r="V7" s="700" t="s">
        <v>14</v>
      </c>
      <c r="W7" s="701">
        <f t="shared" ref="W7:W14" si="2">J7</f>
        <v>0</v>
      </c>
      <c r="X7" s="702"/>
      <c r="Y7" s="3826" t="s">
        <v>1664</v>
      </c>
      <c r="Z7" s="3825"/>
      <c r="AA7" s="703" t="e">
        <f>D7/F7</f>
        <v>#DIV/0!</v>
      </c>
      <c r="AB7" s="703" t="e">
        <f>D7/H7</f>
        <v>#DIV/0!</v>
      </c>
      <c r="AC7" s="703" t="e">
        <f>D7/J7</f>
        <v>#DIV/0!</v>
      </c>
    </row>
    <row r="8" spans="1:29" s="108" customFormat="1" ht="1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826" t="s">
        <v>1667</v>
      </c>
      <c r="Q8" s="3825"/>
      <c r="R8" s="700" t="s">
        <v>14</v>
      </c>
      <c r="S8" s="701">
        <f t="shared" si="0"/>
        <v>100</v>
      </c>
      <c r="T8" s="700" t="s">
        <v>14</v>
      </c>
      <c r="U8" s="701">
        <f t="shared" si="1"/>
        <v>100</v>
      </c>
      <c r="V8" s="700" t="s">
        <v>14</v>
      </c>
      <c r="W8" s="701">
        <f t="shared" si="2"/>
        <v>100</v>
      </c>
      <c r="X8" s="702"/>
      <c r="Y8" s="3826" t="s">
        <v>1667</v>
      </c>
      <c r="Z8" s="3825"/>
      <c r="AA8" s="703">
        <f t="shared" ref="AA8:AA34" si="3">D8/F8</f>
        <v>1</v>
      </c>
      <c r="AB8" s="703">
        <f t="shared" ref="AB8:AB34" si="4">D8/H8</f>
        <v>1</v>
      </c>
      <c r="AC8" s="703">
        <f t="shared" ref="AC8:AC34" si="5">D8/J8</f>
        <v>1</v>
      </c>
    </row>
    <row r="9" spans="1:29" s="108" customFormat="1" ht="14.4">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785" t="s">
        <v>1670</v>
      </c>
      <c r="Q9" s="1338" t="str">
        <f t="shared" ref="Q9:Q14" si="6">B9</f>
        <v>用途</v>
      </c>
      <c r="R9" s="700" t="s">
        <v>14</v>
      </c>
      <c r="S9" s="701">
        <f t="shared" si="0"/>
        <v>100</v>
      </c>
      <c r="T9" s="700" t="s">
        <v>14</v>
      </c>
      <c r="U9" s="701">
        <f t="shared" si="1"/>
        <v>100</v>
      </c>
      <c r="V9" s="700" t="s">
        <v>14</v>
      </c>
      <c r="W9" s="701">
        <f t="shared" si="2"/>
        <v>100</v>
      </c>
      <c r="X9" s="702"/>
      <c r="Y9" s="3663" t="s">
        <v>1671</v>
      </c>
      <c r="Z9" s="52" t="str">
        <f t="shared" ref="Z9:Z14" si="7">Q9</f>
        <v>用途</v>
      </c>
      <c r="AA9" s="703">
        <f t="shared" si="3"/>
        <v>1</v>
      </c>
      <c r="AB9" s="703">
        <f t="shared" si="4"/>
        <v>1</v>
      </c>
      <c r="AC9" s="703">
        <f t="shared" si="5"/>
        <v>1</v>
      </c>
    </row>
    <row r="10" spans="1:29" s="378" customFormat="1" ht="28.8">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785"/>
      <c r="Q10" s="1338" t="str">
        <f t="shared" si="6"/>
        <v>土地使用年限（年）</v>
      </c>
      <c r="R10" s="700" t="s">
        <v>14</v>
      </c>
      <c r="S10" s="701">
        <f t="shared" si="0"/>
        <v>100</v>
      </c>
      <c r="T10" s="700" t="s">
        <v>14</v>
      </c>
      <c r="U10" s="701">
        <f t="shared" si="1"/>
        <v>100</v>
      </c>
      <c r="V10" s="700" t="s">
        <v>14</v>
      </c>
      <c r="W10" s="701">
        <f t="shared" si="2"/>
        <v>100</v>
      </c>
      <c r="X10" s="702"/>
      <c r="Y10" s="3663"/>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785"/>
      <c r="Q11" s="1338">
        <f t="shared" si="6"/>
        <v>111</v>
      </c>
      <c r="R11" s="700" t="s">
        <v>14</v>
      </c>
      <c r="S11" s="701">
        <f t="shared" si="0"/>
        <v>100</v>
      </c>
      <c r="T11" s="700" t="s">
        <v>14</v>
      </c>
      <c r="U11" s="701">
        <f t="shared" si="1"/>
        <v>100</v>
      </c>
      <c r="V11" s="700" t="s">
        <v>14</v>
      </c>
      <c r="W11" s="701">
        <f t="shared" si="2"/>
        <v>100</v>
      </c>
      <c r="X11" s="702"/>
      <c r="Y11" s="3663"/>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785"/>
      <c r="Q12" s="1338">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6"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785"/>
      <c r="Q13" s="1338">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792" t="s">
        <v>1675</v>
      </c>
      <c r="Q14" s="1347" t="str">
        <f t="shared" si="6"/>
        <v>交通便捷度</v>
      </c>
      <c r="R14" s="704" t="s">
        <v>14</v>
      </c>
      <c r="S14" s="705">
        <f t="shared" si="0"/>
        <v>100</v>
      </c>
      <c r="T14" s="704" t="s">
        <v>14</v>
      </c>
      <c r="U14" s="705">
        <f t="shared" si="1"/>
        <v>100</v>
      </c>
      <c r="V14" s="704" t="s">
        <v>14</v>
      </c>
      <c r="W14" s="705">
        <f t="shared" si="2"/>
        <v>100</v>
      </c>
      <c r="X14" s="1350"/>
      <c r="Y14" s="3792"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793"/>
      <c r="Q15" s="1347"/>
      <c r="R15" s="704"/>
      <c r="S15" s="705"/>
      <c r="T15" s="704"/>
      <c r="U15" s="705"/>
      <c r="V15" s="704"/>
      <c r="W15" s="705"/>
      <c r="X15" s="1350"/>
      <c r="Y15" s="3793"/>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793"/>
      <c r="Q16" s="1347" t="str">
        <f>B16</f>
        <v>公共配套设施</v>
      </c>
      <c r="R16" s="704" t="s">
        <v>14</v>
      </c>
      <c r="S16" s="705">
        <f>F16</f>
        <v>100</v>
      </c>
      <c r="T16" s="704" t="s">
        <v>14</v>
      </c>
      <c r="U16" s="705">
        <f>H16</f>
        <v>100</v>
      </c>
      <c r="V16" s="704" t="s">
        <v>14</v>
      </c>
      <c r="W16" s="705">
        <f>J16</f>
        <v>100</v>
      </c>
      <c r="X16" s="1350"/>
      <c r="Y16" s="3793"/>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793"/>
      <c r="Q17" s="1347"/>
      <c r="R17" s="704"/>
      <c r="S17" s="705"/>
      <c r="T17" s="704"/>
      <c r="U17" s="705"/>
      <c r="V17" s="704"/>
      <c r="W17" s="705"/>
      <c r="X17" s="1350"/>
      <c r="Y17" s="3793"/>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793"/>
      <c r="Q18" s="1347" t="str">
        <f>B18</f>
        <v>基础设施水平</v>
      </c>
      <c r="R18" s="704" t="s">
        <v>14</v>
      </c>
      <c r="S18" s="705">
        <f>F18</f>
        <v>100</v>
      </c>
      <c r="T18" s="704" t="s">
        <v>14</v>
      </c>
      <c r="U18" s="705">
        <f>H18</f>
        <v>100</v>
      </c>
      <c r="V18" s="704" t="s">
        <v>14</v>
      </c>
      <c r="W18" s="705">
        <f>J18</f>
        <v>100</v>
      </c>
      <c r="X18" s="1350"/>
      <c r="Y18" s="3793"/>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793"/>
      <c r="Q19" s="1347"/>
      <c r="R19" s="704"/>
      <c r="S19" s="705"/>
      <c r="T19" s="704"/>
      <c r="U19" s="705"/>
      <c r="V19" s="704"/>
      <c r="W19" s="705"/>
      <c r="X19" s="1350"/>
      <c r="Y19" s="3793"/>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793"/>
      <c r="Q20" s="1347" t="str">
        <f>B20</f>
        <v>自然及人文环境</v>
      </c>
      <c r="R20" s="704" t="s">
        <v>14</v>
      </c>
      <c r="S20" s="705">
        <f>F20</f>
        <v>100</v>
      </c>
      <c r="T20" s="704" t="s">
        <v>14</v>
      </c>
      <c r="U20" s="705">
        <f>H20</f>
        <v>100</v>
      </c>
      <c r="V20" s="704" t="s">
        <v>14</v>
      </c>
      <c r="W20" s="705">
        <f>J20</f>
        <v>100</v>
      </c>
      <c r="X20" s="1350"/>
      <c r="Y20" s="3793"/>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793"/>
      <c r="Q21" s="1347"/>
      <c r="R21" s="704"/>
      <c r="S21" s="705"/>
      <c r="T21" s="704"/>
      <c r="U21" s="705"/>
      <c r="V21" s="704"/>
      <c r="W21" s="705"/>
      <c r="X21" s="1350"/>
      <c r="Y21" s="3793"/>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793"/>
      <c r="Q22" s="1347" t="str">
        <f>B22</f>
        <v>楼层</v>
      </c>
      <c r="R22" s="704" t="s">
        <v>14</v>
      </c>
      <c r="S22" s="705">
        <f>F22</f>
        <v>100</v>
      </c>
      <c r="T22" s="704" t="s">
        <v>14</v>
      </c>
      <c r="U22" s="705">
        <f>H22</f>
        <v>100</v>
      </c>
      <c r="V22" s="704" t="s">
        <v>14</v>
      </c>
      <c r="W22" s="705">
        <f>J22</f>
        <v>100</v>
      </c>
      <c r="X22" s="1350"/>
      <c r="Y22" s="3793"/>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793"/>
      <c r="Q23" s="1347">
        <f>B23</f>
        <v>111</v>
      </c>
      <c r="R23" s="704" t="s">
        <v>14</v>
      </c>
      <c r="S23" s="705">
        <f>F23</f>
        <v>100</v>
      </c>
      <c r="T23" s="704" t="s">
        <v>14</v>
      </c>
      <c r="U23" s="705">
        <f>H23</f>
        <v>100</v>
      </c>
      <c r="V23" s="704" t="s">
        <v>14</v>
      </c>
      <c r="W23" s="705">
        <f>J23</f>
        <v>100</v>
      </c>
      <c r="X23" s="1350"/>
      <c r="Y23" s="3793"/>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793"/>
      <c r="Q24" s="1347">
        <f t="shared" ref="Q24:Q34" si="11">B24</f>
        <v>111</v>
      </c>
      <c r="R24" s="704" t="s">
        <v>14</v>
      </c>
      <c r="S24" s="705">
        <f>F24</f>
        <v>100</v>
      </c>
      <c r="T24" s="704" t="s">
        <v>14</v>
      </c>
      <c r="U24" s="705">
        <f>H24</f>
        <v>100</v>
      </c>
      <c r="V24" s="704" t="s">
        <v>14</v>
      </c>
      <c r="W24" s="705">
        <f>J24</f>
        <v>100</v>
      </c>
      <c r="X24" s="1350"/>
      <c r="Y24" s="3793"/>
      <c r="Z24" s="1351">
        <f>Q24</f>
        <v>111</v>
      </c>
      <c r="AA24" s="1348">
        <f t="shared" si="3"/>
        <v>1</v>
      </c>
      <c r="AB24" s="1348">
        <f t="shared" si="4"/>
        <v>1</v>
      </c>
      <c r="AC24" s="1348">
        <f t="shared" si="5"/>
        <v>1</v>
      </c>
    </row>
    <row r="25" spans="1:29" s="108" customFormat="1" ht="15.6"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793"/>
      <c r="Q25" s="1338">
        <f t="shared" si="11"/>
        <v>111</v>
      </c>
      <c r="R25" s="700" t="s">
        <v>14</v>
      </c>
      <c r="S25" s="701">
        <f>F25</f>
        <v>100</v>
      </c>
      <c r="T25" s="700" t="s">
        <v>14</v>
      </c>
      <c r="U25" s="701">
        <f>H25</f>
        <v>100</v>
      </c>
      <c r="V25" s="700" t="s">
        <v>14</v>
      </c>
      <c r="W25" s="701">
        <f>J25</f>
        <v>100</v>
      </c>
      <c r="X25" s="702"/>
      <c r="Y25" s="3793"/>
      <c r="Z25" s="52">
        <f>Q25</f>
        <v>111</v>
      </c>
      <c r="AA25" s="1348">
        <f>D25/F25</f>
        <v>1</v>
      </c>
      <c r="AB25" s="1348">
        <f>D25/H25</f>
        <v>1</v>
      </c>
      <c r="AC25" s="1348">
        <f>D25/J25</f>
        <v>1</v>
      </c>
    </row>
    <row r="26" spans="1:29" ht="30">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46"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797"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797"/>
      <c r="Q27" s="706" t="str">
        <f t="shared" si="11"/>
        <v>成新率</v>
      </c>
      <c r="R27" s="707" t="s">
        <v>14</v>
      </c>
      <c r="S27" s="708" t="e">
        <f t="shared" si="12"/>
        <v>#N/A</v>
      </c>
      <c r="T27" s="707" t="s">
        <v>14</v>
      </c>
      <c r="U27" s="708" t="e">
        <f t="shared" si="13"/>
        <v>#N/A</v>
      </c>
      <c r="V27" s="707" t="s">
        <v>14</v>
      </c>
      <c r="W27" s="708" t="e">
        <f t="shared" si="14"/>
        <v>#N/A</v>
      </c>
      <c r="X27" s="709"/>
      <c r="Y27" s="3797"/>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797"/>
      <c r="Q28" s="1347" t="str">
        <f t="shared" si="11"/>
        <v>物业等级</v>
      </c>
      <c r="R28" s="704" t="s">
        <v>14</v>
      </c>
      <c r="S28" s="705">
        <f t="shared" si="12"/>
        <v>100</v>
      </c>
      <c r="T28" s="704" t="s">
        <v>14</v>
      </c>
      <c r="U28" s="705">
        <f t="shared" si="13"/>
        <v>100</v>
      </c>
      <c r="V28" s="704" t="s">
        <v>14</v>
      </c>
      <c r="W28" s="705">
        <f t="shared" si="14"/>
        <v>100</v>
      </c>
      <c r="X28" s="1350"/>
      <c r="Y28" s="3797"/>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797"/>
      <c r="Q29" s="1347" t="str">
        <f t="shared" si="11"/>
        <v>有无电梯</v>
      </c>
      <c r="R29" s="704" t="s">
        <v>14</v>
      </c>
      <c r="S29" s="705">
        <f t="shared" si="12"/>
        <v>100</v>
      </c>
      <c r="T29" s="704" t="s">
        <v>14</v>
      </c>
      <c r="U29" s="705">
        <f t="shared" si="13"/>
        <v>100</v>
      </c>
      <c r="V29" s="704" t="s">
        <v>14</v>
      </c>
      <c r="W29" s="705">
        <f t="shared" si="14"/>
        <v>100</v>
      </c>
      <c r="X29" s="1350"/>
      <c r="Y29" s="3797"/>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797"/>
      <c r="Q30" s="1347" t="str">
        <f t="shared" si="11"/>
        <v>建筑面积</v>
      </c>
      <c r="R30" s="704" t="s">
        <v>14</v>
      </c>
      <c r="S30" s="705" t="e">
        <f t="shared" si="12"/>
        <v>#N/A</v>
      </c>
      <c r="T30" s="704" t="s">
        <v>14</v>
      </c>
      <c r="U30" s="705" t="e">
        <f t="shared" si="13"/>
        <v>#N/A</v>
      </c>
      <c r="V30" s="704" t="s">
        <v>14</v>
      </c>
      <c r="W30" s="705" t="e">
        <f t="shared" si="14"/>
        <v>#N/A</v>
      </c>
      <c r="X30" s="1350"/>
      <c r="Y30" s="3797"/>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797"/>
      <c r="Q31" s="1338" t="str">
        <f t="shared" si="11"/>
        <v>是否封闭</v>
      </c>
      <c r="R31" s="700" t="s">
        <v>14</v>
      </c>
      <c r="S31" s="701">
        <f t="shared" si="12"/>
        <v>100</v>
      </c>
      <c r="T31" s="700" t="s">
        <v>14</v>
      </c>
      <c r="U31" s="701">
        <f t="shared" si="13"/>
        <v>100</v>
      </c>
      <c r="V31" s="700" t="s">
        <v>14</v>
      </c>
      <c r="W31" s="701">
        <f t="shared" si="14"/>
        <v>100</v>
      </c>
      <c r="X31" s="702"/>
      <c r="Y31" s="3797"/>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797" t="s">
        <v>1680</v>
      </c>
      <c r="Q32" s="1347">
        <f t="shared" si="11"/>
        <v>111</v>
      </c>
      <c r="R32" s="704" t="s">
        <v>14</v>
      </c>
      <c r="S32" s="705">
        <f t="shared" si="12"/>
        <v>100</v>
      </c>
      <c r="T32" s="704" t="s">
        <v>14</v>
      </c>
      <c r="U32" s="705">
        <f t="shared" si="13"/>
        <v>100</v>
      </c>
      <c r="V32" s="704" t="s">
        <v>14</v>
      </c>
      <c r="W32" s="705">
        <f t="shared" si="14"/>
        <v>100</v>
      </c>
      <c r="X32" s="1350"/>
      <c r="Y32" s="3797"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797"/>
      <c r="Q33" s="1347">
        <f t="shared" si="11"/>
        <v>111</v>
      </c>
      <c r="R33" s="704" t="s">
        <v>14</v>
      </c>
      <c r="S33" s="705">
        <f t="shared" si="12"/>
        <v>100</v>
      </c>
      <c r="T33" s="704" t="s">
        <v>14</v>
      </c>
      <c r="U33" s="705">
        <f t="shared" si="13"/>
        <v>100</v>
      </c>
      <c r="V33" s="704" t="s">
        <v>14</v>
      </c>
      <c r="W33" s="705">
        <f t="shared" si="14"/>
        <v>100</v>
      </c>
      <c r="X33" s="1350"/>
      <c r="Y33" s="3797"/>
      <c r="Z33" s="1351">
        <f t="shared" si="15"/>
        <v>111</v>
      </c>
      <c r="AA33" s="1348">
        <f t="shared" si="3"/>
        <v>1</v>
      </c>
      <c r="AB33" s="1348">
        <f t="shared" si="4"/>
        <v>1</v>
      </c>
      <c r="AC33" s="1348">
        <f t="shared" si="5"/>
        <v>1</v>
      </c>
    </row>
    <row r="34" spans="1:30" ht="15.6"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797"/>
      <c r="Q34" s="1347">
        <f t="shared" si="11"/>
        <v>111</v>
      </c>
      <c r="R34" s="704" t="s">
        <v>14</v>
      </c>
      <c r="S34" s="705">
        <f t="shared" si="12"/>
        <v>100</v>
      </c>
      <c r="T34" s="704" t="s">
        <v>14</v>
      </c>
      <c r="U34" s="705">
        <f t="shared" si="13"/>
        <v>100</v>
      </c>
      <c r="V34" s="704" t="s">
        <v>14</v>
      </c>
      <c r="W34" s="705">
        <f t="shared" si="14"/>
        <v>100</v>
      </c>
      <c r="X34" s="1350"/>
      <c r="Y34" s="3797"/>
      <c r="Z34" s="1351">
        <f t="shared" si="15"/>
        <v>111</v>
      </c>
      <c r="AA34" s="1348">
        <f t="shared" si="3"/>
        <v>1</v>
      </c>
      <c r="AB34" s="1348">
        <f t="shared" si="4"/>
        <v>1</v>
      </c>
      <c r="AC34" s="1348">
        <f t="shared" si="5"/>
        <v>1</v>
      </c>
    </row>
    <row r="35" spans="1:30" ht="14.4">
      <c r="A35" s="430" t="s">
        <v>1692</v>
      </c>
      <c r="B35" s="431"/>
      <c r="C35" s="1150" t="s">
        <v>0</v>
      </c>
      <c r="D35" s="1151"/>
      <c r="E35" s="1152"/>
      <c r="F35" s="1153"/>
      <c r="G35" s="1154"/>
      <c r="H35" s="1155"/>
      <c r="I35" s="1152"/>
      <c r="J35" s="1155"/>
      <c r="K35" s="713"/>
      <c r="L35" s="2695"/>
      <c r="M35" s="2696"/>
      <c r="N35" s="2687"/>
      <c r="O35" s="2696"/>
      <c r="P35" s="3785" t="str">
        <f>A35</f>
        <v>成交单价（元/平方米）</v>
      </c>
      <c r="Q35" s="3785"/>
      <c r="R35" s="3786">
        <f>E35</f>
        <v>0</v>
      </c>
      <c r="S35" s="3786"/>
      <c r="T35" s="3786">
        <f>G35</f>
        <v>0</v>
      </c>
      <c r="U35" s="3786"/>
      <c r="V35" s="3786">
        <f>I35</f>
        <v>0</v>
      </c>
      <c r="W35" s="3786"/>
      <c r="X35" s="689"/>
      <c r="Y35" s="711"/>
      <c r="Z35" s="689"/>
      <c r="AA35" s="689"/>
      <c r="AB35" s="689"/>
      <c r="AC35" s="689"/>
    </row>
    <row r="36" spans="1:30" ht="1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785" t="str">
        <f>A36</f>
        <v>比较价值（元/平方米）</v>
      </c>
      <c r="Q36" s="3785"/>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689"/>
      <c r="Y36" s="689"/>
      <c r="Z36" s="689"/>
      <c r="AA36" s="689"/>
      <c r="AB36" s="689"/>
      <c r="AC36" s="689"/>
    </row>
    <row r="37" spans="1:30" ht="15" thickBot="1">
      <c r="A37" s="441" t="s">
        <v>1778</v>
      </c>
      <c r="B37" s="442"/>
      <c r="C37" s="1159" t="e">
        <f>R37</f>
        <v>#DIV/0!</v>
      </c>
      <c r="D37" s="1159"/>
      <c r="E37" s="1159"/>
      <c r="F37" s="1159"/>
      <c r="G37" s="1159"/>
      <c r="H37" s="1159"/>
      <c r="I37" s="1159"/>
      <c r="J37" s="1159"/>
      <c r="K37" s="714"/>
      <c r="L37" s="2695"/>
      <c r="M37" s="2696"/>
      <c r="N37" s="2696"/>
      <c r="O37" s="2696"/>
      <c r="P37" s="3836" t="str">
        <f>A37</f>
        <v>估价对象XX用房的比较价值（楼面单价，元/平方米）</v>
      </c>
      <c r="Q37" s="3837"/>
      <c r="R37" s="3847" t="e">
        <f>IF(F1="售价",ROUND(IF(D36="简单平均",AVERAGE(R36:W36),R36*F36+T36*H36+V36*J36),0),ROUND(IF(D36="简单平均",AVERAGE(R36:V36),R36*F36+T36*H36+V36*J36),1))</f>
        <v>#DIV/0!</v>
      </c>
      <c r="S37" s="3847"/>
      <c r="T37" s="3847"/>
      <c r="U37" s="3847"/>
      <c r="V37" s="3847"/>
      <c r="W37" s="3847"/>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2.2"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4.4">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4.4">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4.4"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ht="14.4">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4.4"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9.4"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4.4"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4.4"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4.4"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4.4"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4.4"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4.4"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4.4"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9.4"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4.4"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4.4"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4.4"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4.4"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4.4"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4.4"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4.4"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4.4"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4.4"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4.4"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4.4"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4.4"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4.4"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4.4"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4.4"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4.4"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4.4">
      <c r="A4" s="355" t="s">
        <v>1753</v>
      </c>
      <c r="B4" s="356"/>
      <c r="C4" s="3802" t="s">
        <v>1754</v>
      </c>
      <c r="D4" s="3803"/>
      <c r="E4" s="3804" t="s">
        <v>1755</v>
      </c>
      <c r="F4" s="3805"/>
      <c r="G4" s="3802" t="s">
        <v>1756</v>
      </c>
      <c r="H4" s="3803"/>
      <c r="I4" s="3802" t="s">
        <v>1757</v>
      </c>
      <c r="J4" s="3803"/>
      <c r="K4" s="559" t="s">
        <v>1758</v>
      </c>
      <c r="L4" s="2686"/>
      <c r="M4" s="2687"/>
      <c r="N4" s="2687"/>
      <c r="O4" s="2687"/>
      <c r="P4" s="3840" t="s">
        <v>1759</v>
      </c>
      <c r="Q4" s="3841"/>
      <c r="R4" s="3844" t="s">
        <v>1755</v>
      </c>
      <c r="S4" s="3845"/>
      <c r="T4" s="3844" t="s">
        <v>1756</v>
      </c>
      <c r="U4" s="3845"/>
      <c r="V4" s="3819" t="s">
        <v>1757</v>
      </c>
      <c r="W4" s="3819"/>
      <c r="X4" s="1350"/>
      <c r="Y4" s="3844" t="s">
        <v>1759</v>
      </c>
      <c r="Z4" s="3845"/>
      <c r="AA4" s="3839" t="s">
        <v>1755</v>
      </c>
      <c r="AB4" s="3832" t="s">
        <v>1756</v>
      </c>
      <c r="AC4" s="3839" t="s">
        <v>1757</v>
      </c>
    </row>
    <row r="5" spans="1:29">
      <c r="A5" s="358"/>
      <c r="B5" s="359"/>
      <c r="C5" s="3828" t="s">
        <v>1657</v>
      </c>
      <c r="D5" s="3823"/>
      <c r="E5" s="3834" t="s">
        <v>1658</v>
      </c>
      <c r="F5" s="3835"/>
      <c r="G5" s="3828" t="s">
        <v>1659</v>
      </c>
      <c r="H5" s="3823"/>
      <c r="I5" s="3828" t="s">
        <v>1660</v>
      </c>
      <c r="J5" s="3823"/>
      <c r="K5" s="559"/>
      <c r="L5" s="2686"/>
      <c r="M5" s="2687"/>
      <c r="N5" s="2687"/>
      <c r="O5" s="2687"/>
      <c r="P5" s="3842"/>
      <c r="Q5" s="3809"/>
      <c r="R5" s="3814"/>
      <c r="S5" s="3815"/>
      <c r="T5" s="3814"/>
      <c r="U5" s="3815"/>
      <c r="V5" s="3819"/>
      <c r="W5" s="3819"/>
      <c r="X5" s="1350"/>
      <c r="Y5" s="3814"/>
      <c r="Z5" s="3815"/>
      <c r="AA5" s="3832"/>
      <c r="AB5" s="3832"/>
      <c r="AC5" s="3832"/>
    </row>
    <row r="6" spans="1:29" ht="15" thickBot="1">
      <c r="A6" s="360"/>
      <c r="B6" s="361"/>
      <c r="C6" s="3849" t="s">
        <v>1903</v>
      </c>
      <c r="D6" s="3850"/>
      <c r="E6" s="3851" t="s">
        <v>1903</v>
      </c>
      <c r="F6" s="3852"/>
      <c r="G6" s="3849" t="s">
        <v>1903</v>
      </c>
      <c r="H6" s="3850"/>
      <c r="I6" s="3849" t="s">
        <v>1903</v>
      </c>
      <c r="J6" s="3850"/>
      <c r="K6" s="559" t="s">
        <v>1662</v>
      </c>
      <c r="L6" s="2686"/>
      <c r="M6" s="2687"/>
      <c r="N6" s="2687"/>
      <c r="O6" s="2687"/>
      <c r="P6" s="3843"/>
      <c r="Q6" s="3811"/>
      <c r="R6" s="3814"/>
      <c r="S6" s="3815"/>
      <c r="T6" s="3816"/>
      <c r="U6" s="3817"/>
      <c r="V6" s="3819"/>
      <c r="W6" s="3819"/>
      <c r="X6" s="1350"/>
      <c r="Y6" s="3816"/>
      <c r="Z6" s="3817"/>
      <c r="AA6" s="3833"/>
      <c r="AB6" s="3833"/>
      <c r="AC6" s="3833"/>
    </row>
    <row r="7" spans="1:29" s="108" customFormat="1" ht="15" thickBot="1">
      <c r="A7" s="362" t="s">
        <v>1663</v>
      </c>
      <c r="B7" s="363"/>
      <c r="C7" s="364">
        <f>'数据-取费表'!B2</f>
        <v>45309</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826" t="s">
        <v>1664</v>
      </c>
      <c r="Q7" s="3827"/>
      <c r="R7" s="700" t="s">
        <v>14</v>
      </c>
      <c r="S7" s="701">
        <f t="shared" ref="S7:S15" si="0">F7</f>
        <v>0</v>
      </c>
      <c r="T7" s="700" t="s">
        <v>14</v>
      </c>
      <c r="U7" s="701">
        <f t="shared" ref="U7:U15" si="1">H7</f>
        <v>0</v>
      </c>
      <c r="V7" s="700" t="s">
        <v>14</v>
      </c>
      <c r="W7" s="701">
        <f t="shared" ref="W7:W15" si="2">J7</f>
        <v>0</v>
      </c>
      <c r="X7" s="702"/>
      <c r="Y7" s="3826" t="s">
        <v>1664</v>
      </c>
      <c r="Z7" s="3825"/>
      <c r="AA7" s="703" t="e">
        <f>D7/F7</f>
        <v>#DIV/0!</v>
      </c>
      <c r="AB7" s="703" t="e">
        <f>D7/H7</f>
        <v>#DIV/0!</v>
      </c>
      <c r="AC7" s="703" t="e">
        <f>D7/J7</f>
        <v>#DIV/0!</v>
      </c>
    </row>
    <row r="8" spans="1:29" s="108" customFormat="1" ht="1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826" t="s">
        <v>1667</v>
      </c>
      <c r="Q8" s="3825"/>
      <c r="R8" s="700" t="s">
        <v>14</v>
      </c>
      <c r="S8" s="701">
        <f t="shared" si="0"/>
        <v>0</v>
      </c>
      <c r="T8" s="700" t="s">
        <v>14</v>
      </c>
      <c r="U8" s="701">
        <f t="shared" si="1"/>
        <v>0</v>
      </c>
      <c r="V8" s="700" t="s">
        <v>14</v>
      </c>
      <c r="W8" s="701">
        <f t="shared" si="2"/>
        <v>0</v>
      </c>
      <c r="X8" s="702"/>
      <c r="Y8" s="3826" t="s">
        <v>1667</v>
      </c>
      <c r="Z8" s="3825"/>
      <c r="AA8" s="703" t="e">
        <f t="shared" ref="AA8:AA40" si="3">D8/F8</f>
        <v>#DIV/0!</v>
      </c>
      <c r="AB8" s="703" t="e">
        <f t="shared" ref="AB8:AB40" si="4">D8/H8</f>
        <v>#DIV/0!</v>
      </c>
      <c r="AC8" s="703" t="e">
        <f t="shared" ref="AC8:AC40" si="5">D8/J8</f>
        <v>#DIV/0!</v>
      </c>
    </row>
    <row r="9" spans="1:29" s="108" customFormat="1" ht="14.4">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785" t="s">
        <v>1670</v>
      </c>
      <c r="Q9" s="1338" t="str">
        <f t="shared" ref="Q9:Q15" si="6">B9</f>
        <v>用途</v>
      </c>
      <c r="R9" s="700" t="s">
        <v>14</v>
      </c>
      <c r="S9" s="701">
        <f t="shared" si="0"/>
        <v>100</v>
      </c>
      <c r="T9" s="700" t="s">
        <v>14</v>
      </c>
      <c r="U9" s="701">
        <f t="shared" si="1"/>
        <v>100</v>
      </c>
      <c r="V9" s="700" t="s">
        <v>14</v>
      </c>
      <c r="W9" s="701">
        <f t="shared" si="2"/>
        <v>100</v>
      </c>
      <c r="X9" s="702"/>
      <c r="Y9" s="3663" t="s">
        <v>1671</v>
      </c>
      <c r="Z9" s="52" t="str">
        <f t="shared" ref="Z9:Z15" si="7">Q9</f>
        <v>用途</v>
      </c>
      <c r="AA9" s="703">
        <f t="shared" si="3"/>
        <v>1</v>
      </c>
      <c r="AB9" s="703">
        <f t="shared" si="4"/>
        <v>1</v>
      </c>
      <c r="AC9" s="703">
        <f t="shared" si="5"/>
        <v>1</v>
      </c>
    </row>
    <row r="10" spans="1:29" s="378" customFormat="1" ht="28.8">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785"/>
      <c r="Q10" s="1338" t="str">
        <f t="shared" si="6"/>
        <v>土地使用年限（年）</v>
      </c>
      <c r="R10" s="700" t="s">
        <v>14</v>
      </c>
      <c r="S10" s="701">
        <f t="shared" si="0"/>
        <v>125</v>
      </c>
      <c r="T10" s="700" t="s">
        <v>14</v>
      </c>
      <c r="U10" s="701">
        <f t="shared" si="1"/>
        <v>125</v>
      </c>
      <c r="V10" s="700" t="s">
        <v>14</v>
      </c>
      <c r="W10" s="701">
        <f t="shared" si="2"/>
        <v>125</v>
      </c>
      <c r="X10" s="702"/>
      <c r="Y10" s="3663"/>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785"/>
      <c r="Q11" s="1338" t="str">
        <f t="shared" si="6"/>
        <v>容积率</v>
      </c>
      <c r="R11" s="700" t="s">
        <v>14</v>
      </c>
      <c r="S11" s="701" t="e">
        <f t="shared" si="0"/>
        <v>#N/A</v>
      </c>
      <c r="T11" s="700" t="s">
        <v>14</v>
      </c>
      <c r="U11" s="701" t="e">
        <f t="shared" si="1"/>
        <v>#N/A</v>
      </c>
      <c r="V11" s="700" t="s">
        <v>14</v>
      </c>
      <c r="W11" s="701" t="e">
        <f t="shared" si="2"/>
        <v>#N/A</v>
      </c>
      <c r="X11" s="702"/>
      <c r="Y11" s="3663"/>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785"/>
      <c r="Q12" s="1338">
        <f t="shared" si="6"/>
        <v>111</v>
      </c>
      <c r="R12" s="700" t="s">
        <v>14</v>
      </c>
      <c r="S12" s="701">
        <f t="shared" si="0"/>
        <v>100</v>
      </c>
      <c r="T12" s="700" t="s">
        <v>14</v>
      </c>
      <c r="U12" s="701">
        <f t="shared" si="1"/>
        <v>100</v>
      </c>
      <c r="V12" s="700" t="s">
        <v>14</v>
      </c>
      <c r="W12" s="701">
        <f t="shared" si="2"/>
        <v>100</v>
      </c>
      <c r="X12" s="702"/>
      <c r="Y12" s="3663"/>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785"/>
      <c r="Q13" s="1338">
        <f t="shared" si="6"/>
        <v>111</v>
      </c>
      <c r="R13" s="700" t="s">
        <v>14</v>
      </c>
      <c r="S13" s="701">
        <f t="shared" si="0"/>
        <v>100</v>
      </c>
      <c r="T13" s="700" t="s">
        <v>14</v>
      </c>
      <c r="U13" s="701">
        <f t="shared" si="1"/>
        <v>100</v>
      </c>
      <c r="V13" s="700" t="s">
        <v>14</v>
      </c>
      <c r="W13" s="701">
        <f t="shared" si="2"/>
        <v>100</v>
      </c>
      <c r="X13" s="702"/>
      <c r="Y13" s="3663"/>
      <c r="Z13" s="52">
        <f t="shared" si="7"/>
        <v>111</v>
      </c>
      <c r="AA13" s="703">
        <f t="shared" si="3"/>
        <v>1</v>
      </c>
      <c r="AB13" s="703">
        <f t="shared" si="4"/>
        <v>1</v>
      </c>
      <c r="AC13" s="703">
        <f t="shared" si="5"/>
        <v>1</v>
      </c>
    </row>
    <row r="14" spans="1:29" ht="15.6"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785"/>
      <c r="Q14" s="1338">
        <f t="shared" si="6"/>
        <v>111</v>
      </c>
      <c r="R14" s="700" t="s">
        <v>14</v>
      </c>
      <c r="S14" s="701">
        <f t="shared" si="0"/>
        <v>100</v>
      </c>
      <c r="T14" s="700" t="s">
        <v>14</v>
      </c>
      <c r="U14" s="701">
        <f t="shared" si="1"/>
        <v>100</v>
      </c>
      <c r="V14" s="700" t="s">
        <v>14</v>
      </c>
      <c r="W14" s="701">
        <f t="shared" si="2"/>
        <v>100</v>
      </c>
      <c r="X14" s="702"/>
      <c r="Y14" s="3663"/>
      <c r="Z14" s="52">
        <f t="shared" si="7"/>
        <v>111</v>
      </c>
      <c r="AA14" s="703">
        <f t="shared" si="3"/>
        <v>1</v>
      </c>
      <c r="AB14" s="703">
        <f t="shared" si="4"/>
        <v>1</v>
      </c>
      <c r="AC14" s="703">
        <f t="shared" si="5"/>
        <v>1</v>
      </c>
    </row>
    <row r="15" spans="1:29" ht="69">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792" t="s">
        <v>1675</v>
      </c>
      <c r="Q15" s="1347" t="str">
        <f t="shared" si="6"/>
        <v>产业集聚程度</v>
      </c>
      <c r="R15" s="704" t="s">
        <v>14</v>
      </c>
      <c r="S15" s="705">
        <f t="shared" si="0"/>
        <v>100</v>
      </c>
      <c r="T15" s="704" t="s">
        <v>14</v>
      </c>
      <c r="U15" s="705">
        <f t="shared" si="1"/>
        <v>100</v>
      </c>
      <c r="V15" s="704" t="s">
        <v>14</v>
      </c>
      <c r="W15" s="705">
        <f t="shared" si="2"/>
        <v>100</v>
      </c>
      <c r="X15" s="1350"/>
      <c r="Y15" s="3792"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793"/>
      <c r="Q16" s="1347"/>
      <c r="R16" s="704"/>
      <c r="S16" s="705"/>
      <c r="T16" s="704"/>
      <c r="U16" s="705"/>
      <c r="V16" s="704"/>
      <c r="W16" s="705"/>
      <c r="X16" s="1350"/>
      <c r="Y16" s="3793"/>
      <c r="Z16" s="1351"/>
      <c r="AA16" s="1348">
        <v>1</v>
      </c>
      <c r="AB16" s="1348">
        <v>1</v>
      </c>
      <c r="AC16" s="1348">
        <v>1</v>
      </c>
    </row>
    <row r="17" spans="1:29" ht="96.6">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793"/>
      <c r="Q17" s="1347" t="str">
        <f>B17</f>
        <v>交通便捷度</v>
      </c>
      <c r="R17" s="704" t="s">
        <v>14</v>
      </c>
      <c r="S17" s="705">
        <f>F17</f>
        <v>100</v>
      </c>
      <c r="T17" s="704" t="s">
        <v>14</v>
      </c>
      <c r="U17" s="705">
        <f>H17</f>
        <v>100</v>
      </c>
      <c r="V17" s="704" t="s">
        <v>14</v>
      </c>
      <c r="W17" s="705">
        <f>J17</f>
        <v>100</v>
      </c>
      <c r="X17" s="1350"/>
      <c r="Y17" s="3793"/>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793"/>
      <c r="Q18" s="1347"/>
      <c r="R18" s="704"/>
      <c r="S18" s="705"/>
      <c r="T18" s="704"/>
      <c r="U18" s="705"/>
      <c r="V18" s="704"/>
      <c r="W18" s="705"/>
      <c r="X18" s="1350"/>
      <c r="Y18" s="3793"/>
      <c r="Z18" s="1351"/>
      <c r="AA18" s="1348">
        <v>1</v>
      </c>
      <c r="AB18" s="1348">
        <v>1</v>
      </c>
      <c r="AC18" s="1348">
        <v>1</v>
      </c>
    </row>
    <row r="19" spans="1:29" ht="28.8">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793"/>
      <c r="Q19" s="1347" t="str">
        <f t="shared" ref="Q19:Q33" si="8">B19</f>
        <v>区域土地利用方向</v>
      </c>
      <c r="R19" s="704" t="s">
        <v>14</v>
      </c>
      <c r="S19" s="705">
        <f>F19</f>
        <v>100</v>
      </c>
      <c r="T19" s="704" t="s">
        <v>14</v>
      </c>
      <c r="U19" s="705">
        <f>H19</f>
        <v>100</v>
      </c>
      <c r="V19" s="704" t="s">
        <v>14</v>
      </c>
      <c r="W19" s="705">
        <f>J19</f>
        <v>100</v>
      </c>
      <c r="X19" s="1350"/>
      <c r="Y19" s="3793"/>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793"/>
      <c r="Q20" s="1347"/>
      <c r="R20" s="704"/>
      <c r="S20" s="705"/>
      <c r="T20" s="704"/>
      <c r="U20" s="705"/>
      <c r="V20" s="704"/>
      <c r="W20" s="705"/>
      <c r="X20" s="1350"/>
      <c r="Y20" s="3793"/>
      <c r="Z20" s="1351"/>
      <c r="AA20" s="1348"/>
      <c r="AB20" s="1348"/>
      <c r="AC20" s="1348"/>
    </row>
    <row r="21" spans="1:29" ht="82.8">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793"/>
      <c r="Q21" s="1347" t="str">
        <f t="shared" si="8"/>
        <v>环境状况</v>
      </c>
      <c r="R21" s="704" t="s">
        <v>14</v>
      </c>
      <c r="S21" s="705">
        <f>F21</f>
        <v>100</v>
      </c>
      <c r="T21" s="704" t="s">
        <v>14</v>
      </c>
      <c r="U21" s="705">
        <f>H21</f>
        <v>100</v>
      </c>
      <c r="V21" s="704" t="s">
        <v>14</v>
      </c>
      <c r="W21" s="705">
        <f>J21</f>
        <v>100</v>
      </c>
      <c r="X21" s="1350"/>
      <c r="Y21" s="3793"/>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793"/>
      <c r="Q22" s="1347"/>
      <c r="R22" s="704"/>
      <c r="S22" s="705"/>
      <c r="T22" s="704"/>
      <c r="U22" s="705"/>
      <c r="V22" s="704"/>
      <c r="W22" s="705"/>
      <c r="X22" s="1350"/>
      <c r="Y22" s="3793"/>
      <c r="Z22" s="1351"/>
      <c r="AA22" s="1348">
        <v>1</v>
      </c>
      <c r="AB22" s="1348">
        <v>1</v>
      </c>
      <c r="AC22" s="1348">
        <v>1</v>
      </c>
    </row>
    <row r="23" spans="1:29" s="108" customFormat="1" ht="41.4">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793"/>
      <c r="Q23" s="1338" t="str">
        <f t="shared" si="8"/>
        <v>公共配套设施</v>
      </c>
      <c r="R23" s="700" t="s">
        <v>14</v>
      </c>
      <c r="S23" s="701">
        <f>F23</f>
        <v>100</v>
      </c>
      <c r="T23" s="700" t="s">
        <v>14</v>
      </c>
      <c r="U23" s="701">
        <f>H23</f>
        <v>100</v>
      </c>
      <c r="V23" s="700" t="s">
        <v>14</v>
      </c>
      <c r="W23" s="701">
        <f>J23</f>
        <v>100</v>
      </c>
      <c r="X23" s="702"/>
      <c r="Y23" s="3793"/>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793"/>
      <c r="Q24" s="1338"/>
      <c r="R24" s="700"/>
      <c r="S24" s="701"/>
      <c r="T24" s="700"/>
      <c r="U24" s="701"/>
      <c r="V24" s="700"/>
      <c r="W24" s="701"/>
      <c r="X24" s="702"/>
      <c r="Y24" s="3793"/>
      <c r="Z24" s="52"/>
      <c r="AA24" s="703">
        <v>1</v>
      </c>
      <c r="AB24" s="703">
        <v>1</v>
      </c>
      <c r="AC24" s="703">
        <v>1</v>
      </c>
    </row>
    <row r="25" spans="1:29" s="108" customFormat="1" ht="41.4">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793"/>
      <c r="Q25" s="1338" t="str">
        <f t="shared" ref="Q25" si="9">B25</f>
        <v>基础设施水平</v>
      </c>
      <c r="R25" s="700" t="s">
        <v>14</v>
      </c>
      <c r="S25" s="701">
        <f>F25</f>
        <v>100</v>
      </c>
      <c r="T25" s="700" t="s">
        <v>14</v>
      </c>
      <c r="U25" s="701">
        <f>H25</f>
        <v>100</v>
      </c>
      <c r="V25" s="700" t="s">
        <v>14</v>
      </c>
      <c r="W25" s="701">
        <f>J25</f>
        <v>100</v>
      </c>
      <c r="X25" s="702"/>
      <c r="Y25" s="3793"/>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793"/>
      <c r="Q26" s="1338"/>
      <c r="R26" s="700"/>
      <c r="S26" s="701"/>
      <c r="T26" s="700"/>
      <c r="U26" s="701"/>
      <c r="V26" s="700"/>
      <c r="W26" s="701"/>
      <c r="X26" s="702"/>
      <c r="Y26" s="3793"/>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793"/>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793"/>
      <c r="Z27" s="1351" t="str">
        <f t="shared" ref="Z27:Z40" si="13">Q27</f>
        <v>临街状况</v>
      </c>
      <c r="AA27" s="1348">
        <f t="shared" si="3"/>
        <v>1</v>
      </c>
      <c r="AB27" s="1348">
        <f t="shared" si="4"/>
        <v>1</v>
      </c>
      <c r="AC27" s="1348">
        <f t="shared" si="5"/>
        <v>1</v>
      </c>
    </row>
    <row r="28" spans="1:29" ht="28.8">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793"/>
      <c r="Q28" s="1347" t="str">
        <f t="shared" si="8"/>
        <v>毗邻道路的类型与等级</v>
      </c>
      <c r="R28" s="704" t="s">
        <v>14</v>
      </c>
      <c r="S28" s="705">
        <f t="shared" si="10"/>
        <v>100</v>
      </c>
      <c r="T28" s="704" t="s">
        <v>14</v>
      </c>
      <c r="U28" s="705">
        <f t="shared" si="11"/>
        <v>100</v>
      </c>
      <c r="V28" s="704" t="s">
        <v>14</v>
      </c>
      <c r="W28" s="705">
        <f t="shared" si="12"/>
        <v>100</v>
      </c>
      <c r="X28" s="1350"/>
      <c r="Y28" s="3793"/>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793"/>
      <c r="Q29" s="1347"/>
      <c r="R29" s="704"/>
      <c r="S29" s="705"/>
      <c r="T29" s="704"/>
      <c r="U29" s="705"/>
      <c r="V29" s="704"/>
      <c r="W29" s="705"/>
      <c r="X29" s="1350"/>
      <c r="Y29" s="3793"/>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793"/>
      <c r="Q30" s="1347" t="str">
        <f t="shared" si="8"/>
        <v>土地级别</v>
      </c>
      <c r="R30" s="704" t="s">
        <v>14</v>
      </c>
      <c r="S30" s="705">
        <f t="shared" si="10"/>
        <v>100</v>
      </c>
      <c r="T30" s="704" t="s">
        <v>14</v>
      </c>
      <c r="U30" s="705">
        <f t="shared" si="11"/>
        <v>100</v>
      </c>
      <c r="V30" s="704" t="s">
        <v>14</v>
      </c>
      <c r="W30" s="705">
        <f t="shared" si="12"/>
        <v>100</v>
      </c>
      <c r="X30" s="1350"/>
      <c r="Y30" s="3793"/>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793"/>
      <c r="Q31" s="1347">
        <f t="shared" si="8"/>
        <v>111</v>
      </c>
      <c r="R31" s="704" t="s">
        <v>14</v>
      </c>
      <c r="S31" s="705">
        <f t="shared" si="10"/>
        <v>100</v>
      </c>
      <c r="T31" s="704" t="s">
        <v>14</v>
      </c>
      <c r="U31" s="705">
        <f t="shared" si="11"/>
        <v>100</v>
      </c>
      <c r="V31" s="704" t="s">
        <v>14</v>
      </c>
      <c r="W31" s="705">
        <f t="shared" si="12"/>
        <v>100</v>
      </c>
      <c r="X31" s="1350"/>
      <c r="Y31" s="3793"/>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46" t="s">
        <v>1680</v>
      </c>
      <c r="Q32" s="1347">
        <f t="shared" si="8"/>
        <v>111</v>
      </c>
      <c r="R32" s="704" t="s">
        <v>14</v>
      </c>
      <c r="S32" s="705">
        <f t="shared" si="10"/>
        <v>100</v>
      </c>
      <c r="T32" s="704" t="s">
        <v>14</v>
      </c>
      <c r="U32" s="705">
        <f t="shared" si="11"/>
        <v>100</v>
      </c>
      <c r="V32" s="704" t="s">
        <v>14</v>
      </c>
      <c r="W32" s="705">
        <f t="shared" si="12"/>
        <v>100</v>
      </c>
      <c r="X32" s="1350"/>
      <c r="Y32" s="3797" t="s">
        <v>1680</v>
      </c>
      <c r="Z32" s="1351">
        <f t="shared" si="13"/>
        <v>111</v>
      </c>
      <c r="AA32" s="1348">
        <f t="shared" si="3"/>
        <v>1</v>
      </c>
      <c r="AB32" s="1348">
        <f t="shared" si="4"/>
        <v>1</v>
      </c>
      <c r="AC32" s="1348">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797"/>
      <c r="Q33" s="1347">
        <f t="shared" si="8"/>
        <v>111</v>
      </c>
      <c r="R33" s="707" t="s">
        <v>14</v>
      </c>
      <c r="S33" s="708">
        <f t="shared" si="10"/>
        <v>100</v>
      </c>
      <c r="T33" s="707" t="s">
        <v>14</v>
      </c>
      <c r="U33" s="708">
        <f t="shared" si="11"/>
        <v>100</v>
      </c>
      <c r="V33" s="707" t="s">
        <v>14</v>
      </c>
      <c r="W33" s="708">
        <f t="shared" si="12"/>
        <v>100</v>
      </c>
      <c r="X33" s="709"/>
      <c r="Y33" s="3797"/>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797"/>
      <c r="Q34" s="1347" t="str">
        <f>B34</f>
        <v>宗地面积</v>
      </c>
      <c r="R34" s="704" t="s">
        <v>14</v>
      </c>
      <c r="S34" s="705" t="e">
        <f t="shared" si="10"/>
        <v>#N/A</v>
      </c>
      <c r="T34" s="704" t="s">
        <v>14</v>
      </c>
      <c r="U34" s="705" t="e">
        <f t="shared" si="11"/>
        <v>#N/A</v>
      </c>
      <c r="V34" s="704" t="s">
        <v>14</v>
      </c>
      <c r="W34" s="705" t="e">
        <f t="shared" si="12"/>
        <v>#N/A</v>
      </c>
      <c r="X34" s="1350"/>
      <c r="Y34" s="3797"/>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797"/>
      <c r="Q35" s="1347" t="str">
        <f t="shared" ref="Q35:Q40" si="14">B35</f>
        <v>宗地形状</v>
      </c>
      <c r="R35" s="704" t="s">
        <v>14</v>
      </c>
      <c r="S35" s="705">
        <f t="shared" si="10"/>
        <v>100</v>
      </c>
      <c r="T35" s="704" t="s">
        <v>14</v>
      </c>
      <c r="U35" s="705">
        <f t="shared" si="11"/>
        <v>100</v>
      </c>
      <c r="V35" s="704" t="s">
        <v>14</v>
      </c>
      <c r="W35" s="705">
        <f t="shared" si="12"/>
        <v>100</v>
      </c>
      <c r="X35" s="1350"/>
      <c r="Y35" s="3797"/>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797"/>
      <c r="Q36" s="1347" t="str">
        <f t="shared" si="14"/>
        <v>宗地开发程度</v>
      </c>
      <c r="R36" s="700" t="s">
        <v>14</v>
      </c>
      <c r="S36" s="701">
        <f t="shared" si="10"/>
        <v>100</v>
      </c>
      <c r="T36" s="700" t="s">
        <v>14</v>
      </c>
      <c r="U36" s="701">
        <f t="shared" si="11"/>
        <v>100</v>
      </c>
      <c r="V36" s="700" t="s">
        <v>14</v>
      </c>
      <c r="W36" s="701">
        <f t="shared" si="12"/>
        <v>100</v>
      </c>
      <c r="X36" s="702"/>
      <c r="Y36" s="3797"/>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797" t="s">
        <v>1680</v>
      </c>
      <c r="Q37" s="1347" t="str">
        <f t="shared" si="14"/>
        <v>工程地质条件</v>
      </c>
      <c r="R37" s="704" t="s">
        <v>14</v>
      </c>
      <c r="S37" s="705">
        <f t="shared" si="10"/>
        <v>100</v>
      </c>
      <c r="T37" s="704" t="s">
        <v>14</v>
      </c>
      <c r="U37" s="705">
        <f t="shared" si="11"/>
        <v>100</v>
      </c>
      <c r="V37" s="704" t="s">
        <v>14</v>
      </c>
      <c r="W37" s="705">
        <f t="shared" si="12"/>
        <v>100</v>
      </c>
      <c r="X37" s="1350"/>
      <c r="Y37" s="3797"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797"/>
      <c r="Q38" s="1347">
        <f t="shared" si="14"/>
        <v>111</v>
      </c>
      <c r="R38" s="704" t="s">
        <v>14</v>
      </c>
      <c r="S38" s="705">
        <f t="shared" si="10"/>
        <v>100</v>
      </c>
      <c r="T38" s="704" t="s">
        <v>14</v>
      </c>
      <c r="U38" s="705">
        <f t="shared" si="11"/>
        <v>100</v>
      </c>
      <c r="V38" s="704" t="s">
        <v>14</v>
      </c>
      <c r="W38" s="705">
        <f t="shared" si="12"/>
        <v>100</v>
      </c>
      <c r="X38" s="1350"/>
      <c r="Y38" s="3797"/>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797"/>
      <c r="Q39" s="1347">
        <f t="shared" si="14"/>
        <v>111</v>
      </c>
      <c r="R39" s="704" t="s">
        <v>14</v>
      </c>
      <c r="S39" s="705">
        <f t="shared" si="10"/>
        <v>100</v>
      </c>
      <c r="T39" s="704" t="s">
        <v>14</v>
      </c>
      <c r="U39" s="705">
        <f t="shared" si="11"/>
        <v>100</v>
      </c>
      <c r="V39" s="704" t="s">
        <v>14</v>
      </c>
      <c r="W39" s="705">
        <f t="shared" si="12"/>
        <v>100</v>
      </c>
      <c r="X39" s="1350"/>
      <c r="Y39" s="3797"/>
      <c r="Z39" s="1351">
        <f t="shared" si="13"/>
        <v>111</v>
      </c>
      <c r="AA39" s="1348">
        <f t="shared" si="3"/>
        <v>1</v>
      </c>
      <c r="AB39" s="1348">
        <f t="shared" si="4"/>
        <v>1</v>
      </c>
      <c r="AC39" s="1348">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797"/>
      <c r="Q40" s="1347">
        <f t="shared" si="14"/>
        <v>111</v>
      </c>
      <c r="R40" s="707" t="s">
        <v>14</v>
      </c>
      <c r="S40" s="708">
        <f t="shared" si="10"/>
        <v>100</v>
      </c>
      <c r="T40" s="707" t="s">
        <v>14</v>
      </c>
      <c r="U40" s="708">
        <f t="shared" si="11"/>
        <v>100</v>
      </c>
      <c r="V40" s="707" t="s">
        <v>14</v>
      </c>
      <c r="W40" s="708">
        <f t="shared" si="12"/>
        <v>100</v>
      </c>
      <c r="X40" s="709"/>
      <c r="Y40" s="3797"/>
      <c r="Z40" s="710">
        <f t="shared" si="13"/>
        <v>111</v>
      </c>
      <c r="AA40" s="1348">
        <f t="shared" si="3"/>
        <v>1</v>
      </c>
      <c r="AB40" s="1348">
        <f t="shared" si="4"/>
        <v>1</v>
      </c>
      <c r="AC40" s="1348">
        <f t="shared" si="5"/>
        <v>1</v>
      </c>
    </row>
    <row r="41" spans="1:31" ht="14.4">
      <c r="A41" s="430" t="s">
        <v>1828</v>
      </c>
      <c r="B41" s="1977" t="s">
        <v>1906</v>
      </c>
      <c r="C41" s="630" t="s">
        <v>0</v>
      </c>
      <c r="D41" s="432"/>
      <c r="E41" s="433"/>
      <c r="F41" s="434"/>
      <c r="G41" s="435"/>
      <c r="H41" s="436"/>
      <c r="I41" s="433"/>
      <c r="J41" s="436"/>
      <c r="K41" s="713"/>
      <c r="L41" s="2695"/>
      <c r="M41" s="2687"/>
      <c r="N41" s="2687"/>
      <c r="O41" s="2696"/>
      <c r="P41" s="3785" t="str">
        <f>A41</f>
        <v>成交单价</v>
      </c>
      <c r="Q41" s="3785"/>
      <c r="R41" s="3819">
        <f>E41</f>
        <v>0</v>
      </c>
      <c r="S41" s="3819"/>
      <c r="T41" s="3819">
        <f>G41</f>
        <v>0</v>
      </c>
      <c r="U41" s="3819"/>
      <c r="V41" s="3819">
        <f>I41</f>
        <v>0</v>
      </c>
      <c r="W41" s="3819"/>
      <c r="X41" s="689"/>
      <c r="Y41" s="711"/>
      <c r="Z41" s="689"/>
      <c r="AA41" s="689"/>
      <c r="AB41" s="689"/>
      <c r="AC41" s="689"/>
    </row>
    <row r="42" spans="1:31" ht="1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785" t="str">
        <f>A42</f>
        <v>比较价值（元/平方米）</v>
      </c>
      <c r="Q42" s="3785"/>
      <c r="R42" s="3854" t="e">
        <f>ROUND(PRODUCT(R41,AA7:AA40),0)</f>
        <v>#DIV/0!</v>
      </c>
      <c r="S42" s="3854"/>
      <c r="T42" s="3854" t="e">
        <f>ROUND(PRODUCT(T41,AB7:AB40),0)</f>
        <v>#DIV/0!</v>
      </c>
      <c r="U42" s="3854"/>
      <c r="V42" s="3854" t="e">
        <f>ROUND(PRODUCT(V41,AC7:AC40),0)</f>
        <v>#DIV/0!</v>
      </c>
      <c r="W42" s="3854"/>
      <c r="X42" s="689"/>
      <c r="Y42" s="689"/>
      <c r="Z42" s="689"/>
      <c r="AA42" s="689"/>
      <c r="AB42" s="689"/>
      <c r="AC42" s="689"/>
    </row>
    <row r="43" spans="1:31" ht="15" thickBot="1">
      <c r="A43" s="441" t="s">
        <v>1778</v>
      </c>
      <c r="B43" s="442"/>
      <c r="C43" s="443" t="e">
        <f>R43</f>
        <v>#DIV/0!</v>
      </c>
      <c r="D43" s="443"/>
      <c r="E43" s="443"/>
      <c r="F43" s="443"/>
      <c r="G43" s="443"/>
      <c r="H43" s="443"/>
      <c r="I43" s="443"/>
      <c r="J43" s="443"/>
      <c r="K43" s="714"/>
      <c r="L43" s="2695"/>
      <c r="M43" s="2687"/>
      <c r="N43" s="2687"/>
      <c r="O43" s="2696"/>
      <c r="P43" s="3836" t="str">
        <f>A43</f>
        <v>估价对象XX用房的比较价值（楼面单价，元/平方米）</v>
      </c>
      <c r="Q43" s="3837"/>
      <c r="R43" s="3853" t="e">
        <f>ROUND(IF(D42="简单平均",AVERAGE(R42:W42),R42*F42+T42*H42+V42*J42),0)</f>
        <v>#DIV/0!</v>
      </c>
      <c r="S43" s="3853"/>
      <c r="T43" s="3853"/>
      <c r="U43" s="3853"/>
      <c r="V43" s="3853"/>
      <c r="W43" s="3853"/>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4.4"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8.8">
      <c r="A50" s="632" t="s">
        <v>1865</v>
      </c>
      <c r="B50" s="633" t="s">
        <v>1866</v>
      </c>
      <c r="C50" s="1978" t="s">
        <v>1867</v>
      </c>
      <c r="D50" s="1979" t="s">
        <v>1868</v>
      </c>
      <c r="E50" s="634" t="s">
        <v>1869</v>
      </c>
      <c r="F50" s="635" t="s">
        <v>1870</v>
      </c>
      <c r="G50" s="3802" t="s">
        <v>1871</v>
      </c>
      <c r="H50" s="3848"/>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784"/>
      <c r="H51" s="3785"/>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4.4"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4.4"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2.2"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4.4">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4.4">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4.4"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ht="14.4">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4.4"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9.4"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4.4"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4.4"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4.4"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4.4"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4.4"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4.4"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4.4"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ht="14.4">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29.4"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9.4"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9.4"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4.4"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4.4"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4.4"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4.4"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4.4"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4.4"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ht="14.4">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4.4"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4.4"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4.4"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4.4"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4.4"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4.4"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4.4"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3" customWidth="1"/>
    <col min="12" max="12" width="16.33203125" style="258" customWidth="1"/>
    <col min="13" max="13" width="13" style="258" customWidth="1"/>
    <col min="14" max="14" width="13.77734375" style="1379" customWidth="1"/>
    <col min="15" max="15" width="5.109375" style="1379" customWidth="1"/>
    <col min="16" max="16" width="25.77734375" style="1379" customWidth="1"/>
    <col min="17" max="17" width="13.77734375" style="1379" customWidth="1"/>
    <col min="18" max="18" width="20.44140625" style="1379" customWidth="1"/>
    <col min="19" max="19" width="13.21875" style="1379" customWidth="1"/>
    <col min="20" max="37" width="9" style="1379"/>
    <col min="38" max="16384" width="9" style="258"/>
  </cols>
  <sheetData>
    <row r="1" spans="1:37" s="293" customFormat="1" ht="21.6">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60" t="s">
        <v>694</v>
      </c>
      <c r="C6" s="1070" t="e">
        <f ca="1">ROUND(F6*F8*F7*(1-F9)/10000,0)</f>
        <v>#N/A</v>
      </c>
      <c r="D6" s="155" t="s">
        <v>2091</v>
      </c>
      <c r="E6" s="302" t="s">
        <v>696</v>
      </c>
      <c r="F6" s="303" t="e">
        <f ca="1">INDIRECT("'数据-取费表'!u"&amp;$G$1)</f>
        <v>#N/A</v>
      </c>
      <c r="G6" s="1379"/>
      <c r="H6" s="1065" t="s">
        <v>398</v>
      </c>
      <c r="I6" s="3760" t="s">
        <v>694</v>
      </c>
      <c r="J6" s="301" t="e">
        <f ca="1">ROUND(M6*M8*M7*(1-M9)/10000,0)</f>
        <v>#N/A</v>
      </c>
      <c r="K6" s="155" t="s">
        <v>2090</v>
      </c>
      <c r="L6" s="302" t="s">
        <v>696</v>
      </c>
      <c r="M6" s="303" t="e">
        <f ca="1">INDIRECT("'数据-取费表'!z"&amp;$G$1)</f>
        <v>#N/A</v>
      </c>
    </row>
    <row r="7" spans="1:37" ht="18" customHeight="1">
      <c r="A7" s="1069"/>
      <c r="B7" s="3761"/>
      <c r="C7" s="1071"/>
      <c r="D7" s="307"/>
      <c r="E7" s="3422" t="s">
        <v>697</v>
      </c>
      <c r="F7" s="303" t="e">
        <f ca="1">IF(INDIRECT("'数据-取费表'!ah"&amp;$G$1)="",INDIRECT("'数据-取费表'!k"&amp;$G$1),INDIRECT("'数据-取费表'!ah"&amp;$G$1))</f>
        <v>#N/A</v>
      </c>
      <c r="G7" s="1379"/>
      <c r="H7" s="304"/>
      <c r="I7" s="3761"/>
      <c r="J7" s="306"/>
      <c r="K7" s="307"/>
      <c r="L7" s="302" t="s">
        <v>697</v>
      </c>
      <c r="M7" s="303" t="e">
        <f ca="1">F7</f>
        <v>#N/A</v>
      </c>
    </row>
    <row r="8" spans="1:37" ht="18" customHeight="1">
      <c r="A8" s="304"/>
      <c r="B8" s="3761"/>
      <c r="C8" s="306"/>
      <c r="D8" s="307"/>
      <c r="E8" s="302" t="s">
        <v>698</v>
      </c>
      <c r="F8" s="303" t="e">
        <f ca="1">INDIRECT("'数据-取费表'!ai"&amp;$G$1)</f>
        <v>#N/A</v>
      </c>
      <c r="G8" s="1379"/>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9"/>
      <c r="H9" s="304"/>
      <c r="I9" s="3762"/>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1.4999999999999999E-2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1.4999999999999999E-2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8"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8"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40.200000000000003"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8"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8"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8"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8"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36.6"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63" t="s">
        <v>837</v>
      </c>
      <c r="L53" s="3764"/>
      <c r="O53" s="1413" t="s">
        <v>409</v>
      </c>
      <c r="P53" s="1414" t="s">
        <v>838</v>
      </c>
      <c r="Q53" s="1415" t="e">
        <f ca="1">Q47+Q48</f>
        <v>#N/A</v>
      </c>
      <c r="R53" s="1415" t="s">
        <v>410</v>
      </c>
    </row>
    <row r="54" spans="1:18" s="1379" customFormat="1" ht="24.6"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8"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7.200000000000003"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6"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6"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6"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2"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8"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8"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8"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8"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8"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2"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24.6"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2"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8" thickBot="1">
      <c r="A69" s="947"/>
      <c r="B69" s="948"/>
      <c r="C69" s="306"/>
      <c r="D69" s="966" t="s">
        <v>762</v>
      </c>
      <c r="E69" s="946" t="s">
        <v>763</v>
      </c>
      <c r="F69" s="333" t="e">
        <f ca="1">F41</f>
        <v>#N/A</v>
      </c>
      <c r="O69" s="1423" t="s">
        <v>411</v>
      </c>
      <c r="P69" s="1462" t="s">
        <v>872</v>
      </c>
      <c r="Q69" s="1415" t="e">
        <f ca="1">C39</f>
        <v>#N/A</v>
      </c>
      <c r="R69" s="1415" t="s">
        <v>818</v>
      </c>
    </row>
    <row r="70" spans="1:18" s="1379" customFormat="1" ht="13.8" thickBot="1">
      <c r="A70" s="950"/>
      <c r="B70" s="951"/>
      <c r="C70" s="310"/>
      <c r="D70" s="962"/>
      <c r="E70" s="946" t="s">
        <v>766</v>
      </c>
      <c r="F70" s="1050"/>
      <c r="O70" s="1423" t="s">
        <v>412</v>
      </c>
      <c r="P70" s="1462" t="s">
        <v>873</v>
      </c>
      <c r="Q70" s="1415" t="e">
        <f ca="1">C13</f>
        <v>#N/A</v>
      </c>
      <c r="R70" s="1415" t="s">
        <v>818</v>
      </c>
    </row>
    <row r="71" spans="1:18" s="1379" customFormat="1" ht="13.8"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8" thickBot="1">
      <c r="B72" s="725"/>
      <c r="C72" s="725"/>
      <c r="O72" s="1423" t="s">
        <v>407</v>
      </c>
      <c r="P72" s="1414" t="s">
        <v>852</v>
      </c>
      <c r="Q72" s="1426">
        <f>L52</f>
        <v>0</v>
      </c>
      <c r="R72" s="1415"/>
    </row>
    <row r="73" spans="1:18" ht="16.2" thickBot="1">
      <c r="A73" s="1379"/>
      <c r="B73" s="725"/>
      <c r="C73" s="725"/>
      <c r="D73" s="1379"/>
      <c r="E73" s="1379"/>
      <c r="F73" s="1379"/>
      <c r="O73" s="1423" t="s">
        <v>408</v>
      </c>
      <c r="P73" s="1414" t="s">
        <v>855</v>
      </c>
      <c r="Q73" s="1415" t="e">
        <f ca="1">L58</f>
        <v>#N/A</v>
      </c>
      <c r="R73" s="1415" t="s">
        <v>856</v>
      </c>
    </row>
    <row r="74" spans="1:18" ht="13.8"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8"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5" customWidth="1"/>
    <col min="14" max="14" width="10" style="3045" customWidth="1"/>
    <col min="15" max="16" width="8.21875" style="3045"/>
    <col min="17" max="17" width="34.109375" style="3045" customWidth="1"/>
    <col min="18" max="18" width="8.21875" style="3045" customWidth="1"/>
    <col min="19" max="19" width="8.21875" style="3045"/>
    <col min="20" max="20" width="11.6640625" style="3045" customWidth="1"/>
    <col min="21" max="16384" width="8.2187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64" t="s">
        <v>2589</v>
      </c>
      <c r="B20" s="3859" t="s">
        <v>2610</v>
      </c>
      <c r="C20" s="3074" t="s">
        <v>2421</v>
      </c>
      <c r="D20" s="3075"/>
      <c r="E20" s="3076">
        <v>1</v>
      </c>
      <c r="F20" s="3077" t="s">
        <v>2422</v>
      </c>
      <c r="G20" s="3077"/>
    </row>
    <row r="21" spans="1:13" ht="19.5" customHeight="1">
      <c r="A21" s="3865"/>
      <c r="B21" s="3858"/>
      <c r="C21" s="3078" t="s">
        <v>2423</v>
      </c>
      <c r="D21" s="3079"/>
      <c r="E21" s="3080">
        <v>1</v>
      </c>
      <c r="F21" s="3077" t="s">
        <v>2424</v>
      </c>
      <c r="G21" s="3077"/>
    </row>
    <row r="22" spans="1:13" ht="19.5" customHeight="1">
      <c r="A22" s="3865"/>
      <c r="B22" s="3858"/>
      <c r="C22" s="3078" t="s">
        <v>2425</v>
      </c>
      <c r="D22" s="3079"/>
      <c r="E22" s="3080">
        <v>0.9</v>
      </c>
      <c r="F22" s="3077" t="s">
        <v>2426</v>
      </c>
      <c r="G22" s="3077"/>
    </row>
    <row r="23" spans="1:13" ht="19.5" customHeight="1">
      <c r="A23" s="3865"/>
      <c r="B23" s="3858"/>
      <c r="C23" s="3078" t="s">
        <v>2427</v>
      </c>
      <c r="D23" s="3079"/>
      <c r="E23" s="3080">
        <v>0.9</v>
      </c>
      <c r="F23" s="3077" t="s">
        <v>2428</v>
      </c>
      <c r="G23" s="3077"/>
    </row>
    <row r="24" spans="1:13" ht="19.5" customHeight="1">
      <c r="A24" s="3865"/>
      <c r="B24" s="3858"/>
      <c r="C24" s="3078" t="s">
        <v>2429</v>
      </c>
      <c r="D24" s="3079"/>
      <c r="E24" s="3080">
        <v>0.8</v>
      </c>
      <c r="F24" s="3077" t="s">
        <v>2430</v>
      </c>
      <c r="G24" s="3077"/>
    </row>
    <row r="25" spans="1:13" ht="19.5" customHeight="1" thickBot="1">
      <c r="A25" s="3866"/>
      <c r="B25" s="3860"/>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61" t="s">
        <v>2613</v>
      </c>
      <c r="B27" s="3859" t="s">
        <v>2594</v>
      </c>
      <c r="C27" s="3074" t="s">
        <v>2434</v>
      </c>
      <c r="D27" s="3075"/>
      <c r="E27" s="3076">
        <v>1</v>
      </c>
      <c r="F27" s="3077" t="s">
        <v>2435</v>
      </c>
      <c r="G27" s="3077"/>
    </row>
    <row r="28" spans="1:13" ht="19.5" customHeight="1">
      <c r="A28" s="3862"/>
      <c r="B28" s="3858"/>
      <c r="C28" s="3078" t="s">
        <v>2436</v>
      </c>
      <c r="D28" s="3079"/>
      <c r="E28" s="3080">
        <v>1</v>
      </c>
      <c r="F28" s="3077" t="s">
        <v>2437</v>
      </c>
      <c r="G28" s="3077"/>
    </row>
    <row r="29" spans="1:13" ht="19.5" customHeight="1">
      <c r="A29" s="3862"/>
      <c r="B29" s="3858"/>
      <c r="C29" s="3078" t="s">
        <v>2438</v>
      </c>
      <c r="D29" s="3079"/>
      <c r="E29" s="3080">
        <v>0.8</v>
      </c>
      <c r="F29" s="3077" t="s">
        <v>2439</v>
      </c>
      <c r="G29" s="3077"/>
    </row>
    <row r="30" spans="1:13" ht="19.5" customHeight="1">
      <c r="A30" s="3862"/>
      <c r="B30" s="3858"/>
      <c r="C30" s="3078" t="s">
        <v>2440</v>
      </c>
      <c r="D30" s="3079"/>
      <c r="E30" s="3080">
        <v>0.8</v>
      </c>
      <c r="F30" s="3077" t="s">
        <v>2441</v>
      </c>
      <c r="G30" s="3077"/>
    </row>
    <row r="31" spans="1:13" ht="19.5" customHeight="1">
      <c r="A31" s="3862"/>
      <c r="B31" s="3858"/>
      <c r="C31" s="3078" t="s">
        <v>2442</v>
      </c>
      <c r="D31" s="3079"/>
      <c r="E31" s="3080">
        <v>0.8</v>
      </c>
      <c r="F31" s="3077" t="s">
        <v>2443</v>
      </c>
      <c r="G31" s="3077"/>
    </row>
    <row r="32" spans="1:13" ht="19.5" customHeight="1">
      <c r="A32" s="3862"/>
      <c r="B32" s="3858"/>
      <c r="C32" s="3078" t="s">
        <v>2444</v>
      </c>
      <c r="D32" s="3079"/>
      <c r="E32" s="3080">
        <v>0.7</v>
      </c>
      <c r="F32" s="3077" t="s">
        <v>2445</v>
      </c>
      <c r="G32" s="3077"/>
    </row>
    <row r="33" spans="1:7" ht="19.5" customHeight="1">
      <c r="A33" s="3862"/>
      <c r="B33" s="3858"/>
      <c r="C33" s="3078" t="s">
        <v>2446</v>
      </c>
      <c r="D33" s="3079"/>
      <c r="E33" s="3080">
        <v>0.8</v>
      </c>
      <c r="F33" s="3077" t="s">
        <v>2447</v>
      </c>
      <c r="G33" s="3077"/>
    </row>
    <row r="34" spans="1:7" ht="19.5" customHeight="1">
      <c r="A34" s="3862"/>
      <c r="B34" s="3858"/>
      <c r="C34" s="3078" t="s">
        <v>2448</v>
      </c>
      <c r="D34" s="3079"/>
      <c r="E34" s="3080">
        <v>0.6</v>
      </c>
      <c r="F34" s="3077" t="s">
        <v>2449</v>
      </c>
      <c r="G34" s="3077"/>
    </row>
    <row r="35" spans="1:7" ht="19.5" customHeight="1">
      <c r="A35" s="3862"/>
      <c r="B35" s="3858"/>
      <c r="C35" s="3078" t="s">
        <v>2450</v>
      </c>
      <c r="D35" s="3079"/>
      <c r="E35" s="3080">
        <v>0.2</v>
      </c>
      <c r="F35" s="3077" t="s">
        <v>2451</v>
      </c>
      <c r="G35" s="3077"/>
    </row>
    <row r="36" spans="1:7" ht="19.5" customHeight="1">
      <c r="A36" s="3862"/>
      <c r="B36" s="3858"/>
      <c r="C36" s="3078" t="s">
        <v>2452</v>
      </c>
      <c r="D36" s="3079"/>
      <c r="E36" s="3080">
        <v>0.2</v>
      </c>
      <c r="F36" s="3077" t="s">
        <v>2453</v>
      </c>
      <c r="G36" s="3077"/>
    </row>
    <row r="37" spans="1:7" ht="19.5" customHeight="1">
      <c r="A37" s="3862"/>
      <c r="B37" s="3856" t="s">
        <v>2614</v>
      </c>
      <c r="C37" s="3078" t="s">
        <v>2454</v>
      </c>
      <c r="D37" s="3079"/>
      <c r="E37" s="3080">
        <v>0.6</v>
      </c>
      <c r="F37" s="3077" t="s">
        <v>2455</v>
      </c>
      <c r="G37" s="3077"/>
    </row>
    <row r="38" spans="1:7" ht="19.5" customHeight="1">
      <c r="A38" s="3862"/>
      <c r="B38" s="3858"/>
      <c r="C38" s="3078" t="s">
        <v>2456</v>
      </c>
      <c r="D38" s="3079"/>
      <c r="E38" s="3080">
        <v>0.6</v>
      </c>
      <c r="F38" s="3077" t="s">
        <v>2457</v>
      </c>
      <c r="G38" s="3077"/>
    </row>
    <row r="39" spans="1:7" ht="19.5" customHeight="1" thickBot="1">
      <c r="A39" s="3863"/>
      <c r="B39" s="3860"/>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64" t="s">
        <v>2592</v>
      </c>
      <c r="B41" s="3859" t="s">
        <v>2616</v>
      </c>
      <c r="C41" s="3074" t="s">
        <v>2461</v>
      </c>
      <c r="D41" s="3075"/>
      <c r="E41" s="3076">
        <v>1</v>
      </c>
      <c r="F41" s="3077" t="s">
        <v>2462</v>
      </c>
      <c r="G41" s="3077"/>
    </row>
    <row r="42" spans="1:7" ht="19.5" customHeight="1">
      <c r="A42" s="3865"/>
      <c r="B42" s="3858"/>
      <c r="C42" s="3078" t="s">
        <v>2463</v>
      </c>
      <c r="D42" s="3079"/>
      <c r="E42" s="3080">
        <v>1</v>
      </c>
      <c r="F42" s="3077" t="s">
        <v>2464</v>
      </c>
      <c r="G42" s="3077"/>
    </row>
    <row r="43" spans="1:7" ht="19.5" customHeight="1">
      <c r="A43" s="3865"/>
      <c r="B43" s="3857"/>
      <c r="C43" s="3078" t="s">
        <v>2465</v>
      </c>
      <c r="D43" s="3079"/>
      <c r="E43" s="3080">
        <v>1.5</v>
      </c>
      <c r="F43" s="3077" t="s">
        <v>2466</v>
      </c>
      <c r="G43" s="3077"/>
    </row>
    <row r="44" spans="1:7" ht="19.5" customHeight="1">
      <c r="A44" s="3865"/>
      <c r="B44" s="3089" t="s">
        <v>2617</v>
      </c>
      <c r="C44" s="3078" t="s">
        <v>2618</v>
      </c>
      <c r="D44" s="3079"/>
      <c r="E44" s="3080">
        <v>2</v>
      </c>
      <c r="F44" s="3077" t="s">
        <v>2467</v>
      </c>
      <c r="G44" s="3077"/>
    </row>
    <row r="45" spans="1:7" ht="19.5" customHeight="1">
      <c r="A45" s="3865"/>
      <c r="B45" s="3856" t="s">
        <v>2619</v>
      </c>
      <c r="C45" s="3078" t="s">
        <v>2468</v>
      </c>
      <c r="D45" s="3079"/>
      <c r="E45" s="3080">
        <v>1</v>
      </c>
      <c r="F45" s="3077" t="s">
        <v>2469</v>
      </c>
      <c r="G45" s="3077"/>
    </row>
    <row r="46" spans="1:7" ht="19.5" customHeight="1">
      <c r="A46" s="3865"/>
      <c r="B46" s="3858"/>
      <c r="C46" s="3078" t="s">
        <v>2470</v>
      </c>
      <c r="D46" s="3079"/>
      <c r="E46" s="3080">
        <v>1</v>
      </c>
      <c r="F46" s="3077" t="s">
        <v>2471</v>
      </c>
      <c r="G46" s="3077"/>
    </row>
    <row r="47" spans="1:7" ht="19.5" customHeight="1">
      <c r="A47" s="3865"/>
      <c r="B47" s="3858"/>
      <c r="C47" s="3078" t="s">
        <v>2472</v>
      </c>
      <c r="D47" s="3079"/>
      <c r="E47" s="3080">
        <v>1</v>
      </c>
      <c r="F47" s="3077" t="s">
        <v>2473</v>
      </c>
      <c r="G47" s="3077"/>
    </row>
    <row r="48" spans="1:7" ht="19.5" customHeight="1">
      <c r="A48" s="3865"/>
      <c r="B48" s="3858"/>
      <c r="C48" s="3078" t="s">
        <v>2474</v>
      </c>
      <c r="D48" s="3079"/>
      <c r="E48" s="3080">
        <v>1</v>
      </c>
      <c r="F48" s="3077" t="s">
        <v>2475</v>
      </c>
      <c r="G48" s="3077"/>
    </row>
    <row r="49" spans="1:7" ht="19.5" customHeight="1">
      <c r="A49" s="3865"/>
      <c r="B49" s="3858"/>
      <c r="C49" s="3078" t="s">
        <v>2476</v>
      </c>
      <c r="D49" s="3079"/>
      <c r="E49" s="3080">
        <v>1</v>
      </c>
      <c r="F49" s="3077" t="s">
        <v>2477</v>
      </c>
      <c r="G49" s="3077"/>
    </row>
    <row r="50" spans="1:7" ht="19.5" customHeight="1">
      <c r="A50" s="3865"/>
      <c r="B50" s="3858"/>
      <c r="C50" s="3078" t="s">
        <v>2478</v>
      </c>
      <c r="D50" s="3079"/>
      <c r="E50" s="3080">
        <v>1</v>
      </c>
      <c r="F50" s="3077" t="s">
        <v>2479</v>
      </c>
      <c r="G50" s="3077"/>
    </row>
    <row r="51" spans="1:7" ht="19.5" customHeight="1" thickBot="1">
      <c r="A51" s="3866"/>
      <c r="B51" s="3860"/>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4.4">
      <c r="A72" s="3089"/>
      <c r="B72" s="3089"/>
      <c r="C72" s="3089" t="s">
        <v>2632</v>
      </c>
      <c r="D72" s="3089"/>
      <c r="E72" s="3089" t="s">
        <v>2603</v>
      </c>
      <c r="F72" s="3089" t="s">
        <v>2603</v>
      </c>
    </row>
    <row r="73" spans="1:7" ht="14.4">
      <c r="A73" s="3089">
        <v>1</v>
      </c>
      <c r="B73" s="3856" t="s">
        <v>2633</v>
      </c>
      <c r="C73" s="3063" t="s">
        <v>2634</v>
      </c>
      <c r="D73" s="3063" t="s">
        <v>2635</v>
      </c>
      <c r="E73" s="3089">
        <v>0.2</v>
      </c>
      <c r="F73" s="3089">
        <v>25</v>
      </c>
    </row>
    <row r="74" spans="1:7" ht="24">
      <c r="A74" s="3089">
        <v>2</v>
      </c>
      <c r="B74" s="3858"/>
      <c r="C74" s="3063" t="s">
        <v>2636</v>
      </c>
      <c r="D74" s="3063" t="s">
        <v>2637</v>
      </c>
      <c r="E74" s="3089">
        <v>0.2</v>
      </c>
      <c r="F74" s="3089">
        <v>25</v>
      </c>
    </row>
    <row r="75" spans="1:7" ht="24">
      <c r="A75" s="3089">
        <v>3</v>
      </c>
      <c r="B75" s="3858"/>
      <c r="C75" s="3063" t="s">
        <v>2638</v>
      </c>
      <c r="D75" s="3063" t="s">
        <v>2639</v>
      </c>
      <c r="E75" s="3089">
        <v>0.2</v>
      </c>
      <c r="F75" s="3089">
        <v>25</v>
      </c>
    </row>
    <row r="76" spans="1:7" ht="14.4">
      <c r="A76" s="3089">
        <v>4</v>
      </c>
      <c r="B76" s="3858"/>
      <c r="C76" s="3063" t="s">
        <v>2640</v>
      </c>
      <c r="D76" s="3063" t="s">
        <v>2641</v>
      </c>
      <c r="E76" s="3089">
        <v>0.15</v>
      </c>
      <c r="F76" s="3089">
        <v>20</v>
      </c>
    </row>
    <row r="77" spans="1:7" ht="24">
      <c r="A77" s="3089">
        <v>5</v>
      </c>
      <c r="B77" s="3858"/>
      <c r="C77" s="3063" t="s">
        <v>2642</v>
      </c>
      <c r="D77" s="3063" t="s">
        <v>2643</v>
      </c>
      <c r="E77" s="3089">
        <v>0.15</v>
      </c>
      <c r="F77" s="3089">
        <v>20</v>
      </c>
    </row>
    <row r="78" spans="1:7" ht="24">
      <c r="A78" s="3089">
        <v>6</v>
      </c>
      <c r="B78" s="3858"/>
      <c r="C78" s="3063" t="s">
        <v>2644</v>
      </c>
      <c r="D78" s="3063" t="s">
        <v>2645</v>
      </c>
      <c r="E78" s="3089">
        <v>0.15</v>
      </c>
      <c r="F78" s="3089">
        <v>20</v>
      </c>
    </row>
    <row r="79" spans="1:7" ht="24">
      <c r="A79" s="3089">
        <v>7</v>
      </c>
      <c r="B79" s="3858"/>
      <c r="C79" s="3063" t="s">
        <v>2646</v>
      </c>
      <c r="D79" s="3063" t="s">
        <v>2647</v>
      </c>
      <c r="E79" s="3089">
        <v>0.15</v>
      </c>
      <c r="F79" s="3089">
        <v>20</v>
      </c>
    </row>
    <row r="80" spans="1:7" ht="24">
      <c r="A80" s="3089">
        <v>8</v>
      </c>
      <c r="B80" s="3858"/>
      <c r="C80" s="3063" t="s">
        <v>2648</v>
      </c>
      <c r="D80" s="3063" t="s">
        <v>2649</v>
      </c>
      <c r="E80" s="3089">
        <v>0.1</v>
      </c>
      <c r="F80" s="3089">
        <v>15</v>
      </c>
    </row>
    <row r="81" spans="1:6" ht="24">
      <c r="A81" s="3089">
        <v>9</v>
      </c>
      <c r="B81" s="3858"/>
      <c r="C81" s="3063" t="s">
        <v>2650</v>
      </c>
      <c r="D81" s="3063" t="s">
        <v>2651</v>
      </c>
      <c r="E81" s="3089">
        <v>0.1</v>
      </c>
      <c r="F81" s="3089">
        <v>15</v>
      </c>
    </row>
    <row r="82" spans="1:6" ht="24">
      <c r="A82" s="3089">
        <v>10</v>
      </c>
      <c r="B82" s="3858"/>
      <c r="C82" s="3063" t="s">
        <v>2652</v>
      </c>
      <c r="D82" s="3063" t="s">
        <v>2653</v>
      </c>
      <c r="E82" s="3089">
        <v>0.1</v>
      </c>
      <c r="F82" s="3089">
        <v>15</v>
      </c>
    </row>
    <row r="83" spans="1:6" ht="24">
      <c r="A83" s="3089">
        <v>11</v>
      </c>
      <c r="B83" s="3858"/>
      <c r="C83" s="3063" t="s">
        <v>2654</v>
      </c>
      <c r="D83" s="3063" t="s">
        <v>2655</v>
      </c>
      <c r="E83" s="3089">
        <v>0.1</v>
      </c>
      <c r="F83" s="3089">
        <v>15</v>
      </c>
    </row>
    <row r="84" spans="1:6" ht="24">
      <c r="A84" s="3089">
        <v>12</v>
      </c>
      <c r="B84" s="3858"/>
      <c r="C84" s="3063" t="s">
        <v>2656</v>
      </c>
      <c r="D84" s="3063" t="s">
        <v>2657</v>
      </c>
      <c r="E84" s="3089">
        <v>0.1</v>
      </c>
      <c r="F84" s="3089">
        <v>15</v>
      </c>
    </row>
    <row r="85" spans="1:6" ht="24">
      <c r="A85" s="3089">
        <v>13</v>
      </c>
      <c r="B85" s="3858"/>
      <c r="C85" s="3063" t="s">
        <v>2658</v>
      </c>
      <c r="D85" s="3063" t="s">
        <v>2659</v>
      </c>
      <c r="E85" s="3089">
        <v>0.1</v>
      </c>
      <c r="F85" s="3089">
        <v>15</v>
      </c>
    </row>
    <row r="86" spans="1:6" ht="24">
      <c r="A86" s="3089">
        <v>14</v>
      </c>
      <c r="B86" s="3858"/>
      <c r="C86" s="3063" t="s">
        <v>2660</v>
      </c>
      <c r="D86" s="3063" t="s">
        <v>2661</v>
      </c>
      <c r="E86" s="3089">
        <v>0.1</v>
      </c>
      <c r="F86" s="3089">
        <v>15</v>
      </c>
    </row>
    <row r="87" spans="1:6" ht="24">
      <c r="A87" s="3089">
        <v>15</v>
      </c>
      <c r="B87" s="3858"/>
      <c r="C87" s="3063" t="s">
        <v>2662</v>
      </c>
      <c r="D87" s="3063" t="s">
        <v>2663</v>
      </c>
      <c r="E87" s="3089">
        <v>0.1</v>
      </c>
      <c r="F87" s="3089">
        <v>15</v>
      </c>
    </row>
    <row r="88" spans="1:6" ht="24">
      <c r="A88" s="3089">
        <v>16</v>
      </c>
      <c r="B88" s="3858"/>
      <c r="C88" s="3063" t="s">
        <v>2664</v>
      </c>
      <c r="D88" s="3063" t="s">
        <v>2665</v>
      </c>
      <c r="E88" s="3089">
        <v>0.1</v>
      </c>
      <c r="F88" s="3089">
        <v>15</v>
      </c>
    </row>
    <row r="89" spans="1:6" ht="24">
      <c r="A89" s="3089">
        <v>17</v>
      </c>
      <c r="B89" s="3857"/>
      <c r="C89" s="3063" t="s">
        <v>2666</v>
      </c>
      <c r="D89" s="3063" t="s">
        <v>2667</v>
      </c>
      <c r="E89" s="3089">
        <v>0.1</v>
      </c>
      <c r="F89" s="3089">
        <v>15</v>
      </c>
    </row>
    <row r="90" spans="1:6" ht="14.4">
      <c r="A90" s="3089">
        <v>18</v>
      </c>
      <c r="B90" s="3856" t="s">
        <v>2668</v>
      </c>
      <c r="C90" s="3063" t="s">
        <v>2669</v>
      </c>
      <c r="D90" s="3063" t="s">
        <v>2670</v>
      </c>
      <c r="E90" s="3089">
        <v>0.2</v>
      </c>
      <c r="F90" s="3089">
        <v>25</v>
      </c>
    </row>
    <row r="91" spans="1:6" ht="24">
      <c r="A91" s="3089">
        <v>19</v>
      </c>
      <c r="B91" s="3858"/>
      <c r="C91" s="3063" t="s">
        <v>2671</v>
      </c>
      <c r="D91" s="3063" t="s">
        <v>2672</v>
      </c>
      <c r="E91" s="3089">
        <v>0.2</v>
      </c>
      <c r="F91" s="3089">
        <v>25</v>
      </c>
    </row>
    <row r="92" spans="1:6" ht="14.4">
      <c r="A92" s="3089">
        <v>20</v>
      </c>
      <c r="B92" s="3858"/>
      <c r="C92" s="3063" t="s">
        <v>2673</v>
      </c>
      <c r="D92" s="3063" t="s">
        <v>2674</v>
      </c>
      <c r="E92" s="3089">
        <v>0.15</v>
      </c>
      <c r="F92" s="3089">
        <v>20</v>
      </c>
    </row>
    <row r="93" spans="1:6" ht="24">
      <c r="A93" s="3089">
        <v>21</v>
      </c>
      <c r="B93" s="3858"/>
      <c r="C93" s="3063" t="s">
        <v>2675</v>
      </c>
      <c r="D93" s="3063" t="s">
        <v>2676</v>
      </c>
      <c r="E93" s="3089">
        <v>0.15</v>
      </c>
      <c r="F93" s="3089">
        <v>20</v>
      </c>
    </row>
    <row r="94" spans="1:6" ht="24">
      <c r="A94" s="3089">
        <v>22</v>
      </c>
      <c r="B94" s="3858"/>
      <c r="C94" s="3063" t="s">
        <v>2677</v>
      </c>
      <c r="D94" s="3063" t="s">
        <v>2678</v>
      </c>
      <c r="E94" s="3089">
        <v>0.15</v>
      </c>
      <c r="F94" s="3089">
        <v>20</v>
      </c>
    </row>
    <row r="95" spans="1:6" ht="36">
      <c r="A95" s="3089">
        <v>23</v>
      </c>
      <c r="B95" s="3858"/>
      <c r="C95" s="3063" t="s">
        <v>2679</v>
      </c>
      <c r="D95" s="3063" t="s">
        <v>2680</v>
      </c>
      <c r="E95" s="3089">
        <v>0.15</v>
      </c>
      <c r="F95" s="3089">
        <v>20</v>
      </c>
    </row>
    <row r="96" spans="1:6" ht="24">
      <c r="A96" s="3089">
        <v>24</v>
      </c>
      <c r="B96" s="3858"/>
      <c r="C96" s="3063" t="s">
        <v>2681</v>
      </c>
      <c r="D96" s="3063" t="s">
        <v>2682</v>
      </c>
      <c r="E96" s="3089">
        <v>0.1</v>
      </c>
      <c r="F96" s="3089">
        <v>15</v>
      </c>
    </row>
    <row r="97" spans="1:6" ht="24">
      <c r="A97" s="3089">
        <v>25</v>
      </c>
      <c r="B97" s="3858"/>
      <c r="C97" s="3063" t="s">
        <v>2683</v>
      </c>
      <c r="D97" s="3063" t="s">
        <v>2684</v>
      </c>
      <c r="E97" s="3089">
        <v>0.1</v>
      </c>
      <c r="F97" s="3089">
        <v>15</v>
      </c>
    </row>
    <row r="98" spans="1:6" ht="24">
      <c r="A98" s="3089">
        <v>26</v>
      </c>
      <c r="B98" s="3858"/>
      <c r="C98" s="3063" t="s">
        <v>2685</v>
      </c>
      <c r="D98" s="3063" t="s">
        <v>2686</v>
      </c>
      <c r="E98" s="3089">
        <v>0.1</v>
      </c>
      <c r="F98" s="3089">
        <v>15</v>
      </c>
    </row>
    <row r="99" spans="1:6" ht="24">
      <c r="A99" s="3089">
        <v>27</v>
      </c>
      <c r="B99" s="3858"/>
      <c r="C99" s="3063" t="s">
        <v>2687</v>
      </c>
      <c r="D99" s="3063" t="s">
        <v>2688</v>
      </c>
      <c r="E99" s="3089">
        <v>0.1</v>
      </c>
      <c r="F99" s="3089">
        <v>15</v>
      </c>
    </row>
    <row r="100" spans="1:6" ht="24">
      <c r="A100" s="3089">
        <v>28</v>
      </c>
      <c r="B100" s="3858"/>
      <c r="C100" s="3063" t="s">
        <v>2689</v>
      </c>
      <c r="D100" s="3063" t="s">
        <v>2690</v>
      </c>
      <c r="E100" s="3089">
        <v>0.1</v>
      </c>
      <c r="F100" s="3089">
        <v>15</v>
      </c>
    </row>
    <row r="101" spans="1:6" ht="24">
      <c r="A101" s="3089">
        <v>29</v>
      </c>
      <c r="B101" s="3858"/>
      <c r="C101" s="3063" t="s">
        <v>2691</v>
      </c>
      <c r="D101" s="3063" t="s">
        <v>2692</v>
      </c>
      <c r="E101" s="3089">
        <v>0.1</v>
      </c>
      <c r="F101" s="3089">
        <v>15</v>
      </c>
    </row>
    <row r="102" spans="1:6" ht="24">
      <c r="A102" s="3089">
        <v>30</v>
      </c>
      <c r="B102" s="3858"/>
      <c r="C102" s="3063" t="s">
        <v>2693</v>
      </c>
      <c r="D102" s="3063" t="s">
        <v>2694</v>
      </c>
      <c r="E102" s="3089">
        <v>0.1</v>
      </c>
      <c r="F102" s="3089">
        <v>15</v>
      </c>
    </row>
    <row r="103" spans="1:6" ht="24">
      <c r="A103" s="3089">
        <v>31</v>
      </c>
      <c r="B103" s="3858"/>
      <c r="C103" s="3063" t="s">
        <v>2695</v>
      </c>
      <c r="D103" s="3063" t="s">
        <v>2696</v>
      </c>
      <c r="E103" s="3089">
        <v>0.1</v>
      </c>
      <c r="F103" s="3089">
        <v>15</v>
      </c>
    </row>
    <row r="104" spans="1:6" ht="24">
      <c r="A104" s="3089">
        <v>32</v>
      </c>
      <c r="B104" s="3858"/>
      <c r="C104" s="3063" t="s">
        <v>2697</v>
      </c>
      <c r="D104" s="3063" t="s">
        <v>2698</v>
      </c>
      <c r="E104" s="3089">
        <v>0.1</v>
      </c>
      <c r="F104" s="3089">
        <v>15</v>
      </c>
    </row>
    <row r="105" spans="1:6" ht="24">
      <c r="A105" s="3089">
        <v>33</v>
      </c>
      <c r="B105" s="3858"/>
      <c r="C105" s="3063" t="s">
        <v>2699</v>
      </c>
      <c r="D105" s="3063" t="s">
        <v>2700</v>
      </c>
      <c r="E105" s="3089">
        <v>0.1</v>
      </c>
      <c r="F105" s="3089">
        <v>15</v>
      </c>
    </row>
    <row r="106" spans="1:6" ht="24">
      <c r="A106" s="3089">
        <v>34</v>
      </c>
      <c r="B106" s="3857"/>
      <c r="C106" s="3063" t="s">
        <v>2701</v>
      </c>
      <c r="D106" s="3063" t="s">
        <v>2702</v>
      </c>
      <c r="E106" s="3089">
        <v>0.1</v>
      </c>
      <c r="F106" s="3089">
        <v>15</v>
      </c>
    </row>
    <row r="107" spans="1:6" ht="36">
      <c r="A107" s="3089">
        <v>35</v>
      </c>
      <c r="B107" s="3856" t="s">
        <v>2703</v>
      </c>
      <c r="C107" s="3089" t="s">
        <v>2704</v>
      </c>
      <c r="D107" s="3063" t="s">
        <v>2705</v>
      </c>
      <c r="E107" s="3089">
        <v>0.15</v>
      </c>
      <c r="F107" s="3089">
        <v>20</v>
      </c>
    </row>
    <row r="108" spans="1:6" ht="24">
      <c r="A108" s="3089">
        <v>36</v>
      </c>
      <c r="B108" s="3858"/>
      <c r="C108" s="3089" t="s">
        <v>2706</v>
      </c>
      <c r="D108" s="3063" t="s">
        <v>2707</v>
      </c>
      <c r="E108" s="3089">
        <v>0.15</v>
      </c>
      <c r="F108" s="3089">
        <v>20</v>
      </c>
    </row>
    <row r="109" spans="1:6" ht="24">
      <c r="A109" s="3089">
        <v>37</v>
      </c>
      <c r="B109" s="3858"/>
      <c r="C109" s="3089" t="s">
        <v>2708</v>
      </c>
      <c r="D109" s="3063" t="s">
        <v>2709</v>
      </c>
      <c r="E109" s="3089">
        <v>0.15</v>
      </c>
      <c r="F109" s="3089">
        <v>20</v>
      </c>
    </row>
    <row r="110" spans="1:6" ht="24">
      <c r="A110" s="3089">
        <v>38</v>
      </c>
      <c r="B110" s="3858"/>
      <c r="C110" s="3089" t="s">
        <v>2710</v>
      </c>
      <c r="D110" s="3063" t="s">
        <v>2711</v>
      </c>
      <c r="E110" s="3089">
        <v>0.1</v>
      </c>
      <c r="F110" s="3089">
        <v>15</v>
      </c>
    </row>
    <row r="111" spans="1:6" ht="24">
      <c r="A111" s="3089">
        <v>39</v>
      </c>
      <c r="B111" s="3858"/>
      <c r="C111" s="3089" t="s">
        <v>2712</v>
      </c>
      <c r="D111" s="3063" t="s">
        <v>2713</v>
      </c>
      <c r="E111" s="3089">
        <v>0.1</v>
      </c>
      <c r="F111" s="3089">
        <v>15</v>
      </c>
    </row>
    <row r="112" spans="1:6" ht="24">
      <c r="A112" s="3089">
        <v>40</v>
      </c>
      <c r="B112" s="3857"/>
      <c r="C112" s="3089" t="s">
        <v>2714</v>
      </c>
      <c r="D112" s="3063" t="s">
        <v>2715</v>
      </c>
      <c r="E112" s="3089">
        <v>0.1</v>
      </c>
      <c r="F112" s="3089">
        <v>15</v>
      </c>
    </row>
    <row r="113" spans="1:6" ht="24">
      <c r="A113" s="3089">
        <v>41</v>
      </c>
      <c r="B113" s="3855" t="s">
        <v>2716</v>
      </c>
      <c r="C113" s="3089" t="s">
        <v>2717</v>
      </c>
      <c r="D113" s="3063" t="s">
        <v>2718</v>
      </c>
      <c r="E113" s="3089">
        <v>0.1</v>
      </c>
      <c r="F113" s="3089">
        <v>15</v>
      </c>
    </row>
    <row r="114" spans="1:6" ht="24">
      <c r="A114" s="3089">
        <v>42</v>
      </c>
      <c r="B114" s="3855"/>
      <c r="C114" s="3089" t="s">
        <v>2719</v>
      </c>
      <c r="D114" s="3063" t="s">
        <v>2720</v>
      </c>
      <c r="E114" s="3089">
        <v>0.1</v>
      </c>
      <c r="F114" s="3089">
        <v>15</v>
      </c>
    </row>
    <row r="115" spans="1:6" ht="24">
      <c r="A115" s="3089">
        <v>43</v>
      </c>
      <c r="B115" s="3855"/>
      <c r="C115" s="3089" t="s">
        <v>2721</v>
      </c>
      <c r="D115" s="3063" t="s">
        <v>2722</v>
      </c>
      <c r="E115" s="3089">
        <v>0.1</v>
      </c>
      <c r="F115" s="3089">
        <v>15</v>
      </c>
    </row>
    <row r="116" spans="1:6" ht="24">
      <c r="A116" s="3089">
        <v>44</v>
      </c>
      <c r="B116" s="3856" t="s">
        <v>2723</v>
      </c>
      <c r="C116" s="3089" t="s">
        <v>2724</v>
      </c>
      <c r="D116" s="3063" t="s">
        <v>2725</v>
      </c>
      <c r="E116" s="3089">
        <v>0.1</v>
      </c>
      <c r="F116" s="3089">
        <v>15</v>
      </c>
    </row>
    <row r="117" spans="1:6" ht="24">
      <c r="A117" s="3089">
        <v>45</v>
      </c>
      <c r="B117" s="3857"/>
      <c r="C117" s="3063" t="s">
        <v>2726</v>
      </c>
      <c r="D117" s="3063" t="s">
        <v>2727</v>
      </c>
      <c r="E117" s="3089">
        <v>0.1</v>
      </c>
      <c r="F117" s="3089">
        <v>15</v>
      </c>
    </row>
    <row r="118" spans="1:6" ht="24">
      <c r="A118" s="3089">
        <v>46</v>
      </c>
      <c r="B118" s="3856" t="s">
        <v>2728</v>
      </c>
      <c r="C118" s="3089" t="s">
        <v>2729</v>
      </c>
      <c r="D118" s="3063" t="s">
        <v>2730</v>
      </c>
      <c r="E118" s="3089">
        <v>0.1</v>
      </c>
      <c r="F118" s="3089">
        <v>15</v>
      </c>
    </row>
    <row r="119" spans="1:6" ht="24">
      <c r="A119" s="3089">
        <v>47</v>
      </c>
      <c r="B119" s="3857"/>
      <c r="C119" s="3089" t="s">
        <v>2731</v>
      </c>
      <c r="D119" s="3063" t="s">
        <v>2732</v>
      </c>
      <c r="E119" s="3089">
        <v>0.1</v>
      </c>
      <c r="F119" s="3089">
        <v>15</v>
      </c>
    </row>
    <row r="120" spans="1:6" ht="24">
      <c r="A120" s="3089">
        <v>48</v>
      </c>
      <c r="B120" s="3856" t="s">
        <v>2733</v>
      </c>
      <c r="C120" s="3089" t="s">
        <v>2734</v>
      </c>
      <c r="D120" s="3063" t="s">
        <v>2735</v>
      </c>
      <c r="E120" s="3089">
        <v>0.1</v>
      </c>
      <c r="F120" s="3089">
        <v>15</v>
      </c>
    </row>
    <row r="121" spans="1:6" ht="24">
      <c r="A121" s="3089">
        <v>49</v>
      </c>
      <c r="B121" s="3857"/>
      <c r="C121" s="3089" t="s">
        <v>2736</v>
      </c>
      <c r="D121" s="3063" t="s">
        <v>2737</v>
      </c>
      <c r="E121" s="3089">
        <v>0.1</v>
      </c>
      <c r="F121" s="3089">
        <v>15</v>
      </c>
    </row>
    <row r="122" spans="1:6" ht="24">
      <c r="A122" s="3089">
        <v>50</v>
      </c>
      <c r="B122" s="3855" t="s">
        <v>2738</v>
      </c>
      <c r="C122" s="3089" t="s">
        <v>2739</v>
      </c>
      <c r="D122" s="3063" t="s">
        <v>2740</v>
      </c>
      <c r="E122" s="3089">
        <v>0.1</v>
      </c>
      <c r="F122" s="3089">
        <v>15</v>
      </c>
    </row>
    <row r="123" spans="1:6" ht="24">
      <c r="A123" s="3089">
        <v>51</v>
      </c>
      <c r="B123" s="3855"/>
      <c r="C123" s="3089" t="s">
        <v>2741</v>
      </c>
      <c r="D123" s="3063" t="s">
        <v>2742</v>
      </c>
      <c r="E123" s="3089">
        <v>0.1</v>
      </c>
      <c r="F123" s="3089">
        <v>15</v>
      </c>
    </row>
    <row r="124" spans="1:6" ht="24">
      <c r="A124" s="3089">
        <v>52</v>
      </c>
      <c r="B124" s="3855" t="s">
        <v>2743</v>
      </c>
      <c r="C124" s="3089" t="s">
        <v>2744</v>
      </c>
      <c r="D124" s="3063" t="s">
        <v>2745</v>
      </c>
      <c r="E124" s="3089">
        <v>0.1</v>
      </c>
      <c r="F124" s="3089">
        <v>15</v>
      </c>
    </row>
    <row r="125" spans="1:6" ht="24">
      <c r="A125" s="3089">
        <v>53</v>
      </c>
      <c r="B125" s="3855"/>
      <c r="C125" s="3089" t="s">
        <v>2746</v>
      </c>
      <c r="D125" s="3063" t="s">
        <v>2747</v>
      </c>
      <c r="E125" s="3089">
        <v>0.1</v>
      </c>
      <c r="F125" s="3089">
        <v>15</v>
      </c>
    </row>
    <row r="126" spans="1:6" ht="24">
      <c r="A126" s="3089">
        <v>54</v>
      </c>
      <c r="B126" s="3089" t="s">
        <v>2748</v>
      </c>
      <c r="C126" s="3089" t="s">
        <v>2749</v>
      </c>
      <c r="D126" s="3063" t="s">
        <v>2750</v>
      </c>
      <c r="E126" s="3089">
        <v>0.1</v>
      </c>
      <c r="F126" s="3089">
        <v>15</v>
      </c>
    </row>
    <row r="127" spans="1:6" ht="24">
      <c r="A127" s="3089">
        <v>55</v>
      </c>
      <c r="B127" s="3855" t="s">
        <v>2751</v>
      </c>
      <c r="C127" s="3089" t="s">
        <v>2752</v>
      </c>
      <c r="D127" s="3063" t="s">
        <v>2753</v>
      </c>
      <c r="E127" s="3089">
        <v>0.1</v>
      </c>
      <c r="F127" s="3089">
        <v>15</v>
      </c>
    </row>
    <row r="128" spans="1:6" ht="24">
      <c r="A128" s="3089">
        <v>56</v>
      </c>
      <c r="B128" s="3855"/>
      <c r="C128" s="3089" t="s">
        <v>2754</v>
      </c>
      <c r="D128" s="3063" t="s">
        <v>2755</v>
      </c>
      <c r="E128" s="3089">
        <v>0.1</v>
      </c>
      <c r="F128" s="3089">
        <v>15</v>
      </c>
    </row>
    <row r="129" spans="1:6" ht="24">
      <c r="A129" s="3089">
        <v>57</v>
      </c>
      <c r="B129" s="3855"/>
      <c r="C129" s="3089" t="s">
        <v>2756</v>
      </c>
      <c r="D129" s="3063" t="s">
        <v>2757</v>
      </c>
      <c r="E129" s="3089">
        <v>0.1</v>
      </c>
      <c r="F129" s="3089">
        <v>15</v>
      </c>
    </row>
    <row r="130" spans="1:6" ht="24">
      <c r="A130" s="3089">
        <v>58</v>
      </c>
      <c r="B130" s="3855" t="s">
        <v>2758</v>
      </c>
      <c r="C130" s="3089" t="s">
        <v>2759</v>
      </c>
      <c r="D130" s="3063" t="s">
        <v>2760</v>
      </c>
      <c r="E130" s="3089">
        <v>0.1</v>
      </c>
      <c r="F130" s="3089">
        <v>15</v>
      </c>
    </row>
    <row r="131" spans="1:6" ht="24">
      <c r="A131" s="3089">
        <v>59</v>
      </c>
      <c r="B131" s="3855"/>
      <c r="C131" s="3089" t="s">
        <v>2761</v>
      </c>
      <c r="D131" s="3063" t="s">
        <v>2762</v>
      </c>
      <c r="E131" s="3089">
        <v>0.1</v>
      </c>
      <c r="F131" s="3089">
        <v>15</v>
      </c>
    </row>
    <row r="132" spans="1:6" ht="24">
      <c r="A132" s="3089">
        <v>60</v>
      </c>
      <c r="B132" s="3856" t="s">
        <v>2763</v>
      </c>
      <c r="C132" s="3089" t="s">
        <v>2764</v>
      </c>
      <c r="D132" s="3063" t="s">
        <v>2765</v>
      </c>
      <c r="E132" s="3089">
        <v>0.1</v>
      </c>
      <c r="F132" s="3089">
        <v>15</v>
      </c>
    </row>
    <row r="133" spans="1:6" ht="24">
      <c r="A133" s="3089">
        <v>61</v>
      </c>
      <c r="B133" s="3857"/>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24">
      <c r="A135" s="3089">
        <v>63</v>
      </c>
      <c r="B135" s="3855" t="s">
        <v>2771</v>
      </c>
      <c r="C135" s="3089" t="s">
        <v>2772</v>
      </c>
      <c r="D135" s="3063" t="s">
        <v>2773</v>
      </c>
      <c r="E135" s="3089">
        <v>0.1</v>
      </c>
      <c r="F135" s="3089">
        <v>15</v>
      </c>
    </row>
    <row r="136" spans="1:6" ht="24">
      <c r="A136" s="3089">
        <v>64</v>
      </c>
      <c r="B136" s="3855"/>
      <c r="C136" s="3089" t="s">
        <v>2774</v>
      </c>
      <c r="D136" s="3063" t="s">
        <v>2775</v>
      </c>
      <c r="E136" s="3089">
        <v>0.1</v>
      </c>
      <c r="F136" s="3089">
        <v>15</v>
      </c>
    </row>
    <row r="137" spans="1:6" ht="24">
      <c r="A137" s="3089">
        <v>65</v>
      </c>
      <c r="B137" s="3089" t="s">
        <v>2776</v>
      </c>
      <c r="C137" s="3089" t="s">
        <v>2777</v>
      </c>
      <c r="D137" s="3063" t="s">
        <v>2778</v>
      </c>
      <c r="E137" s="3089">
        <v>0.1</v>
      </c>
      <c r="F137" s="3089">
        <v>15</v>
      </c>
    </row>
    <row r="138" spans="1:6" ht="14.4">
      <c r="A138" s="3089"/>
      <c r="B138" s="3089"/>
      <c r="C138" s="3089"/>
      <c r="D138" s="3089"/>
      <c r="E138" s="3089" t="s">
        <v>2779</v>
      </c>
      <c r="F138" s="3089"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2"/>
    <col min="14" max="16384" width="9" style="746"/>
  </cols>
  <sheetData>
    <row r="1" spans="1:20" ht="16.2"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6.2"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5.6">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5.6">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6.2"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6.2"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6.2"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98535</v>
      </c>
      <c r="C2" s="2" t="s">
        <v>106</v>
      </c>
      <c r="D2" s="199"/>
      <c r="E2" s="199"/>
      <c r="F2" s="199"/>
      <c r="G2" s="199"/>
    </row>
    <row r="3" spans="1:7" s="200" customFormat="1" ht="18" customHeight="1" thickBot="1">
      <c r="A3" s="203" t="s">
        <v>58</v>
      </c>
      <c r="B3" s="204">
        <f ca="1">ROUND(B2*10000/'数据-汇总表'!E3,0)</f>
        <v>11678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334</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1577</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12</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6.4">
      <c r="A27" s="773" t="s">
        <v>342</v>
      </c>
      <c r="B27" s="244" t="s">
        <v>85</v>
      </c>
      <c r="C27" s="245">
        <f>C28</f>
        <v>2942</v>
      </c>
      <c r="D27" s="235">
        <f>C29</f>
        <v>2E-3</v>
      </c>
      <c r="E27" s="236" t="s">
        <v>99</v>
      </c>
      <c r="F27" s="246">
        <f>'数据-取费表'!Q16</f>
        <v>0.13</v>
      </c>
      <c r="G27" s="247" t="s">
        <v>431</v>
      </c>
    </row>
    <row r="28" spans="1:7" s="214" customFormat="1" ht="13.5" customHeight="1">
      <c r="A28" s="776" t="s">
        <v>349</v>
      </c>
      <c r="B28" s="248" t="s">
        <v>424</v>
      </c>
      <c r="C28" s="249">
        <f>ROUND((C5+C19+C20)*F27*'数据-取费表'!B21/'数据-取费表'!B20,0)</f>
        <v>2942</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29220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834</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1947</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57" t="s">
        <v>94</v>
      </c>
    </row>
    <row r="43" spans="1:7" ht="13.5" customHeight="1">
      <c r="A43" s="776" t="s">
        <v>347</v>
      </c>
      <c r="B43" s="215" t="s">
        <v>426</v>
      </c>
      <c r="C43" s="238">
        <f ca="1">ROUND(IF('数据-取费表'!B22&lt;=1,C39*F22*'数据-取费表'!B21/2,C39*(POWER((1+F22),'数据-取费表'!B21/2)-1)),0)</f>
        <v>29</v>
      </c>
      <c r="D43" s="238"/>
      <c r="E43" s="238"/>
      <c r="F43" s="239"/>
      <c r="G43" s="3758"/>
    </row>
    <row r="44" spans="1:7" ht="13.5" customHeight="1">
      <c r="A44" s="776" t="s">
        <v>348</v>
      </c>
      <c r="B44" s="215" t="s">
        <v>428</v>
      </c>
      <c r="C44" s="238">
        <f ca="1">ROUND(IF('数据-取费表'!B22&lt;=1,C40*F22*'数据-取费表'!B21/2,C40*(POWER((1+F22),'数据-取费表'!B21/2)-1)),4)</f>
        <v>5.0000000000000001E-4</v>
      </c>
      <c r="D44" s="238"/>
      <c r="E44" s="238"/>
      <c r="F44" s="239"/>
      <c r="G44" s="3759"/>
    </row>
    <row r="45" spans="1:7" s="214" customFormat="1" ht="13.5" customHeight="1">
      <c r="A45" s="773" t="s">
        <v>341</v>
      </c>
      <c r="B45" s="244" t="s">
        <v>85</v>
      </c>
      <c r="C45" s="245">
        <f>C46</f>
        <v>7337</v>
      </c>
      <c r="D45" s="235">
        <f>C47</f>
        <v>2E-3</v>
      </c>
      <c r="E45" s="236" t="s">
        <v>102</v>
      </c>
      <c r="F45" s="246"/>
      <c r="G45" s="247" t="s">
        <v>434</v>
      </c>
    </row>
    <row r="46" spans="1:7" s="214" customFormat="1" ht="13.5" customHeight="1">
      <c r="A46" s="776" t="s">
        <v>349</v>
      </c>
      <c r="B46" s="248" t="s">
        <v>427</v>
      </c>
      <c r="C46" s="249">
        <f>ROUND((C33+C39)*F27,0)</f>
        <v>7337</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70730</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69315</v>
      </c>
      <c r="D51" s="232"/>
      <c r="E51" s="232"/>
      <c r="F51" s="264"/>
      <c r="G51" s="234" t="s">
        <v>37</v>
      </c>
    </row>
    <row r="52" spans="1:7" s="208" customFormat="1" ht="16.8" thickBot="1">
      <c r="A52" s="265" t="s">
        <v>38</v>
      </c>
      <c r="B52" s="266"/>
      <c r="C52" s="267">
        <f ca="1">C31+C51</f>
        <v>98535</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7" customWidth="1"/>
    <col min="2" max="2" width="18.6640625" style="3197" customWidth="1"/>
    <col min="3" max="6" width="10.21875" style="3197" customWidth="1"/>
    <col min="7" max="7" width="10.44140625" style="3197" bestFit="1" customWidth="1"/>
    <col min="8" max="8" width="8.88671875" style="3193"/>
    <col min="9" max="9" width="13.33203125" style="3193" customWidth="1"/>
    <col min="10" max="13" width="13.33203125" style="3197" customWidth="1"/>
    <col min="14" max="14" width="18.21875" style="3197" customWidth="1"/>
    <col min="15" max="17" width="15.109375" style="3197" customWidth="1"/>
    <col min="18" max="20" width="11.44140625" style="3197" customWidth="1"/>
    <col min="21" max="16384" width="8.88671875" style="3197"/>
  </cols>
  <sheetData>
    <row r="1" spans="1:20" ht="11.4" thickBot="1">
      <c r="A1" s="3869" t="s">
        <v>2821</v>
      </c>
      <c r="B1" s="3869"/>
      <c r="C1" s="3869"/>
      <c r="D1" s="3869"/>
      <c r="E1" s="3869"/>
      <c r="F1" s="3869"/>
      <c r="G1" s="3870"/>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1.4"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67"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1.4" thickBot="1">
      <c r="A4" s="3868"/>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1.4"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1.4"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1.4"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1.4"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1.4"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1.4"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0" customWidth="1"/>
    <col min="2" max="2" width="20" style="3260" customWidth="1"/>
    <col min="3" max="7" width="8.88671875" style="3224"/>
    <col min="8" max="16384" width="8.88671875" style="3225"/>
  </cols>
  <sheetData>
    <row r="1" spans="1:7">
      <c r="A1" s="3871" t="s">
        <v>3163</v>
      </c>
      <c r="B1" s="3871"/>
    </row>
    <row r="2" spans="1:7" ht="15" thickBot="1">
      <c r="A2" s="3226"/>
      <c r="B2" s="3226"/>
    </row>
    <row r="3" spans="1:7" ht="15" thickBot="1">
      <c r="A3" s="3226"/>
      <c r="B3" s="3226"/>
      <c r="C3" s="3227" t="s">
        <v>2793</v>
      </c>
      <c r="D3" s="3227" t="s">
        <v>2849</v>
      </c>
      <c r="E3" s="3227" t="s">
        <v>2795</v>
      </c>
      <c r="F3" s="3227" t="s">
        <v>2850</v>
      </c>
      <c r="G3" s="3227" t="s">
        <v>2613</v>
      </c>
    </row>
    <row r="4" spans="1:7" ht="1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1"/>
  </cols>
  <sheetData>
    <row r="1" spans="1:6">
      <c r="A1" s="3872" t="s">
        <v>3214</v>
      </c>
      <c r="B1" s="3872"/>
      <c r="C1" s="3872"/>
      <c r="D1" s="3872"/>
      <c r="E1" s="3872"/>
      <c r="F1" s="3873"/>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2">
        <f>基准地价修正!G23</f>
        <v>45309</v>
      </c>
      <c r="B1" s="3181" t="s">
        <v>3353</v>
      </c>
      <c r="C1" s="3182"/>
      <c r="D1" s="3182"/>
      <c r="E1" s="3182"/>
      <c r="F1" s="3182"/>
      <c r="G1" s="3182"/>
      <c r="H1" s="3182"/>
      <c r="I1" s="3182"/>
      <c r="J1" s="3136"/>
      <c r="K1" s="3182" t="s">
        <v>454</v>
      </c>
      <c r="L1" s="3182"/>
      <c r="M1" s="3182"/>
      <c r="N1" s="3182"/>
      <c r="O1" s="3182"/>
      <c r="P1" s="3182"/>
      <c r="Q1" s="3136"/>
      <c r="R1" s="3874" t="s">
        <v>456</v>
      </c>
      <c r="S1" s="3875"/>
      <c r="T1" s="3875"/>
      <c r="U1" s="3875"/>
      <c r="V1" s="3875"/>
      <c r="W1" s="3875"/>
      <c r="X1" s="3136"/>
      <c r="Y1" s="3874" t="s">
        <v>457</v>
      </c>
      <c r="Z1" s="3875"/>
      <c r="AA1" s="3875"/>
      <c r="AB1" s="3875"/>
      <c r="AC1" s="3875"/>
      <c r="AD1" s="3875"/>
    </row>
    <row r="2" spans="1:30" s="3114" customFormat="1" ht="1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3.2">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3.2">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3.2">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3.2">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3.2">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3.2">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3.2">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3.2">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3.2">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3.2">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3.2">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3.2">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3.2">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3.2">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3.2">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ht="13.8"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5" thickTop="1"/>
    <row r="20" spans="1:30" s="2980" customFormat="1">
      <c r="A20" s="3418" t="s">
        <v>3347</v>
      </c>
    </row>
    <row r="21" spans="1:30" s="2980" customFormat="1">
      <c r="I21" s="3179" t="s">
        <v>2807</v>
      </c>
    </row>
    <row r="22" spans="1:30" s="2980" customFormat="1"/>
    <row r="23" spans="1:30" s="3180" customFormat="1" ht="13.2">
      <c r="B23" s="3181" t="s">
        <v>3354</v>
      </c>
      <c r="C23" s="3182"/>
      <c r="D23" s="3182"/>
      <c r="E23" s="3182"/>
      <c r="F23" s="3182"/>
      <c r="G23" s="3182"/>
      <c r="H23" s="3182"/>
      <c r="I23" s="3182"/>
      <c r="J23" s="3136"/>
      <c r="K23" s="3182" t="s">
        <v>2808</v>
      </c>
      <c r="L23" s="3182"/>
      <c r="M23" s="3182"/>
      <c r="N23" s="3182"/>
      <c r="O23" s="3182"/>
      <c r="P23" s="3182"/>
      <c r="Q23" s="3136"/>
      <c r="R23" s="3874" t="s">
        <v>2809</v>
      </c>
      <c r="S23" s="3875"/>
      <c r="T23" s="3875"/>
      <c r="U23" s="3875"/>
      <c r="V23" s="3875"/>
      <c r="W23" s="3875"/>
      <c r="X23" s="3136"/>
      <c r="Y23" s="3874" t="s">
        <v>2810</v>
      </c>
      <c r="Z23" s="3875"/>
      <c r="AA23" s="3875"/>
      <c r="AB23" s="3875"/>
      <c r="AC23" s="3875"/>
      <c r="AD23" s="3875"/>
    </row>
    <row r="24" spans="1:30" s="3114" customFormat="1" ht="1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3.2">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3.2">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3.2">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3.2">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3.2">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3.2">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3.2">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3.2">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3.2">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3.2">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3.2">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3.2">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3.2">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3.2">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3.2">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ht="13.8"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7" customWidth="1"/>
    <col min="2" max="2" width="37.21875" style="1487" customWidth="1"/>
    <col min="3" max="3" width="11.33203125" style="1487" customWidth="1"/>
    <col min="4" max="4" width="31.77734375" style="1487" customWidth="1"/>
    <col min="5" max="5" width="0.44140625" style="1487" customWidth="1"/>
    <col min="6" max="7" width="13" style="1487" customWidth="1"/>
    <col min="8" max="16384" width="9" style="1487"/>
  </cols>
  <sheetData>
    <row r="1" spans="1:5" ht="17.399999999999999">
      <c r="A1" s="1485" t="s">
        <v>908</v>
      </c>
      <c r="B1" s="1486"/>
      <c r="C1" s="1486"/>
      <c r="D1" s="1486"/>
      <c r="E1" s="1486"/>
    </row>
    <row r="2" spans="1:5" ht="78" customHeight="1">
      <c r="A2" s="35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5"/>
      <c r="C2" s="3575"/>
      <c r="D2" s="3575"/>
      <c r="E2" s="3575"/>
    </row>
    <row r="3" spans="1:5" ht="17.399999999999999">
      <c r="A3" s="3576" t="str">
        <f>IF(项目基本情况!B9="房地产市场价值","估价结果一览表（市场价值不需“结果表-1”）","估价结果一览表")</f>
        <v>估价结果一览表（市场价值不需“结果表-1”）</v>
      </c>
      <c r="B3" s="3576"/>
      <c r="C3" s="3576"/>
      <c r="D3" s="3576"/>
      <c r="E3" s="3576"/>
    </row>
    <row r="4" spans="1:5" ht="18" thickBot="1">
      <c r="A4" s="1488"/>
      <c r="B4" s="3574" t="s">
        <v>917</v>
      </c>
      <c r="C4" s="3574"/>
      <c r="D4" s="3574"/>
      <c r="E4" s="1488"/>
    </row>
    <row r="5" spans="1:5" ht="16.2" thickTop="1">
      <c r="A5" s="1486"/>
      <c r="B5" s="3572" t="s">
        <v>909</v>
      </c>
      <c r="C5" s="1489" t="s">
        <v>910</v>
      </c>
      <c r="D5" s="846">
        <f ca="1">结果表!H101</f>
        <v>560936</v>
      </c>
      <c r="E5" s="1486"/>
    </row>
    <row r="6" spans="1:5" ht="31.2">
      <c r="A6" s="1486"/>
      <c r="B6" s="3572"/>
      <c r="C6" s="1489" t="s">
        <v>911</v>
      </c>
      <c r="D6" s="846" t="str">
        <f ca="1">NUMBERSTRING(INT(D5*10000),2)&amp;"元整"</f>
        <v>伍拾陆亿零玖佰叁拾陆万元整</v>
      </c>
      <c r="E6" s="1486"/>
    </row>
    <row r="7" spans="1:5" ht="15.6">
      <c r="A7" s="1486"/>
      <c r="B7" s="3577"/>
      <c r="C7" s="1490" t="s">
        <v>912</v>
      </c>
      <c r="D7" s="847">
        <f ca="1">结果表!H102</f>
        <v>66483</v>
      </c>
      <c r="E7" s="1486"/>
    </row>
    <row r="8" spans="1:5" ht="15.6">
      <c r="A8" s="1486"/>
      <c r="B8" s="3578" t="str">
        <f>结果表!E103</f>
        <v>2.估价师知悉的法定优先受偿款</v>
      </c>
      <c r="C8" s="1491" t="s">
        <v>913</v>
      </c>
      <c r="D8" s="847">
        <f>结果表!H103</f>
        <v>0</v>
      </c>
      <c r="E8" s="1486"/>
    </row>
    <row r="9" spans="1:5" ht="15.6">
      <c r="A9" s="1486"/>
      <c r="B9" s="3580"/>
      <c r="C9" s="1489" t="s">
        <v>911</v>
      </c>
      <c r="D9" s="846" t="str">
        <f>NUMBERSTRING(INT(D8*10000),2)&amp;"元整"</f>
        <v>零元整</v>
      </c>
      <c r="E9" s="1486"/>
    </row>
    <row r="10" spans="1:5" ht="15.6">
      <c r="A10" s="1486"/>
      <c r="B10" s="1492" t="s">
        <v>916</v>
      </c>
      <c r="C10" s="1493" t="s">
        <v>914</v>
      </c>
      <c r="D10" s="848">
        <f>结果表!H104</f>
        <v>0</v>
      </c>
      <c r="E10" s="1486"/>
    </row>
    <row r="11" spans="1:5" ht="15.6">
      <c r="A11" s="1486"/>
      <c r="B11" s="1492" t="s">
        <v>918</v>
      </c>
      <c r="C11" s="1493" t="s">
        <v>919</v>
      </c>
      <c r="D11" s="848">
        <f>结果表!H105</f>
        <v>0</v>
      </c>
      <c r="E11" s="1486"/>
    </row>
    <row r="12" spans="1:5" ht="15.6">
      <c r="A12" s="1486"/>
      <c r="B12" s="1492" t="s">
        <v>920</v>
      </c>
      <c r="C12" s="1493" t="s">
        <v>919</v>
      </c>
      <c r="D12" s="848">
        <f>结果表!H106</f>
        <v>0</v>
      </c>
      <c r="E12" s="1486"/>
    </row>
    <row r="13" spans="1:5" ht="15.6">
      <c r="A13" s="1486"/>
      <c r="B13" s="3571" t="str">
        <f>结果表!E107</f>
        <v>3.房地产抵押价值</v>
      </c>
      <c r="C13" s="1494" t="s">
        <v>910</v>
      </c>
      <c r="D13" s="849">
        <f ca="1">结果表!H107</f>
        <v>560936</v>
      </c>
      <c r="E13" s="1486"/>
    </row>
    <row r="14" spans="1:5" ht="31.2">
      <c r="A14" s="1486"/>
      <c r="B14" s="3572"/>
      <c r="C14" s="1489" t="s">
        <v>911</v>
      </c>
      <c r="D14" s="846" t="str">
        <f ca="1">NUMBERSTRING(INT(D13*10000),2)&amp;"元整"</f>
        <v>伍拾陆亿零玖佰叁拾陆万元整</v>
      </c>
      <c r="E14" s="1486"/>
    </row>
    <row r="15" spans="1:5" ht="15.6">
      <c r="A15" s="1486"/>
      <c r="B15" s="3577"/>
      <c r="C15" s="1490" t="s">
        <v>921</v>
      </c>
      <c r="D15" s="855">
        <f ca="1">结果表!H108</f>
        <v>66483</v>
      </c>
      <c r="E15" s="1486"/>
    </row>
    <row r="16" spans="1:5" ht="15.6">
      <c r="A16" s="1486"/>
      <c r="B16" s="3578" t="str">
        <f>结果表!E109</f>
        <v>——</v>
      </c>
      <c r="C16" s="1494" t="s">
        <v>922</v>
      </c>
      <c r="D16" s="1495" t="str">
        <f>结果表!H109</f>
        <v>——</v>
      </c>
      <c r="E16" s="1486"/>
    </row>
    <row r="17" spans="1:5" ht="15.6">
      <c r="A17" s="1486"/>
      <c r="B17" s="3579"/>
      <c r="C17" s="1489" t="s">
        <v>923</v>
      </c>
      <c r="D17" s="846" t="e">
        <f>NUMBERSTRING(INT(D16*10000),2)&amp;"元整"</f>
        <v>#VALUE!</v>
      </c>
      <c r="E17" s="1486"/>
    </row>
    <row r="18" spans="1:5" ht="15.6">
      <c r="A18" s="1486"/>
      <c r="B18" s="3580"/>
      <c r="C18" s="1490" t="s">
        <v>912</v>
      </c>
      <c r="D18" s="855" t="str">
        <f>结果表!H110</f>
        <v>——</v>
      </c>
      <c r="E18" s="1486"/>
    </row>
    <row r="19" spans="1:5" ht="15.6">
      <c r="A19" s="1486"/>
      <c r="B19" s="3571" t="str">
        <f>结果表!E111</f>
        <v>4.抵押净值</v>
      </c>
      <c r="C19" s="1494" t="s">
        <v>910</v>
      </c>
      <c r="D19" s="847">
        <f ca="1">结果表!H111</f>
        <v>504028</v>
      </c>
      <c r="E19" s="1486"/>
    </row>
    <row r="20" spans="1:5" ht="15.6">
      <c r="A20" s="1486"/>
      <c r="B20" s="3572"/>
      <c r="C20" s="1489" t="s">
        <v>923</v>
      </c>
      <c r="D20" s="846" t="str">
        <f ca="1">NUMBERSTRING(INT(D19*10000),2)&amp;"元整"</f>
        <v>伍拾亿肆仟零贰拾捌万元整</v>
      </c>
      <c r="E20" s="1486"/>
    </row>
    <row r="21" spans="1:5" ht="16.2" thickBot="1">
      <c r="A21" s="1486"/>
      <c r="B21" s="3573"/>
      <c r="C21" s="1496" t="s">
        <v>921</v>
      </c>
      <c r="D21" s="856">
        <f ca="1">结果表!H112</f>
        <v>59738</v>
      </c>
      <c r="E21" s="1486"/>
    </row>
    <row r="22" spans="1:5" ht="14.4" thickTop="1">
      <c r="A22" s="1486"/>
      <c r="B22" s="1497" t="s">
        <v>924</v>
      </c>
      <c r="C22" s="1486"/>
      <c r="D22" s="1486"/>
      <c r="E22" s="1486"/>
    </row>
    <row r="23" spans="1:5">
      <c r="A23" s="1486"/>
      <c r="B23" s="1486"/>
      <c r="C23" s="1486"/>
      <c r="D23" s="1486"/>
      <c r="E23" s="1486"/>
    </row>
    <row r="24" spans="1:5" ht="17.399999999999999">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81" t="s">
        <v>452</v>
      </c>
      <c r="C1" s="3881"/>
      <c r="D1" s="3881"/>
      <c r="E1" s="3881"/>
      <c r="F1" s="3881"/>
      <c r="G1" s="3880" t="s">
        <v>453</v>
      </c>
      <c r="H1" s="3880"/>
      <c r="I1" s="3880"/>
      <c r="J1" s="3880"/>
      <c r="K1" s="3880"/>
      <c r="L1" s="3880"/>
      <c r="N1" s="3880" t="s">
        <v>454</v>
      </c>
      <c r="O1" s="3880"/>
      <c r="P1" s="3880"/>
      <c r="Q1" s="3880"/>
      <c r="S1" s="3880" t="s">
        <v>455</v>
      </c>
      <c r="T1" s="3880"/>
      <c r="U1" s="3880"/>
      <c r="V1" s="3880"/>
      <c r="X1" s="3879" t="s">
        <v>456</v>
      </c>
      <c r="Y1" s="3880"/>
      <c r="Z1" s="3880"/>
      <c r="AA1" s="3880"/>
      <c r="AB1" s="3880"/>
      <c r="AD1" s="3879" t="s">
        <v>457</v>
      </c>
      <c r="AE1" s="3880"/>
      <c r="AF1" s="3880"/>
      <c r="AG1" s="3880"/>
      <c r="AH1" s="3880"/>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7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7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7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6"/>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82">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7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7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6"/>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2">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7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7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7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7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7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7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7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7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7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7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7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83">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4"/>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4"/>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5"/>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7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7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7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7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7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7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7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7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7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7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7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7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7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7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7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7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7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7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7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7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7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7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7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7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7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7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7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7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7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7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7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7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7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7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7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7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7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7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77">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78">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7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7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77">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78">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2.2187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6" customFormat="1" ht="15" thickBot="1">
      <c r="A1" s="1290"/>
      <c r="B1" s="1297" t="s">
        <v>602</v>
      </c>
      <c r="C1" s="1291">
        <f>项目基本情况!D3</f>
        <v>45309</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6"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5.6">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5.6">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5.6">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5.6">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6.8">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5.6">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5.6">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5.6">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5.6">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5.6">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5.6">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zoomScaleNormal="70" zoomScaleSheetLayoutView="100" workbookViewId="0">
      <selection activeCell="B2" sqref="B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7.66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36" width="9" style="357"/>
    <col min="37" max="37" width="10.88671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588536</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69754</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4.4">
      <c r="A4" s="355" t="s">
        <v>1650</v>
      </c>
      <c r="B4" s="356"/>
      <c r="C4" s="3802" t="s">
        <v>1651</v>
      </c>
      <c r="D4" s="3803"/>
      <c r="E4" s="3804" t="s">
        <v>1652</v>
      </c>
      <c r="F4" s="3805"/>
      <c r="G4" s="3802" t="s">
        <v>1653</v>
      </c>
      <c r="H4" s="3803"/>
      <c r="I4" s="3802" t="s">
        <v>1654</v>
      </c>
      <c r="J4" s="3803"/>
      <c r="K4" s="559" t="s">
        <v>1655</v>
      </c>
      <c r="L4" s="2686"/>
      <c r="M4" s="2687"/>
      <c r="N4" s="2687"/>
      <c r="O4" s="2687"/>
      <c r="P4" s="3806" t="s">
        <v>1656</v>
      </c>
      <c r="Q4" s="3807"/>
      <c r="R4" s="3812" t="s">
        <v>1652</v>
      </c>
      <c r="S4" s="3813"/>
      <c r="T4" s="3812" t="s">
        <v>1653</v>
      </c>
      <c r="U4" s="3813"/>
      <c r="V4" s="3818" t="s">
        <v>1654</v>
      </c>
      <c r="W4" s="3818"/>
      <c r="X4" s="3487"/>
      <c r="Y4" s="3812" t="s">
        <v>1656</v>
      </c>
      <c r="Z4" s="3813"/>
      <c r="AA4" s="3831" t="s">
        <v>1652</v>
      </c>
      <c r="AB4" s="3831" t="s">
        <v>1653</v>
      </c>
      <c r="AC4" s="3799" t="s">
        <v>1654</v>
      </c>
    </row>
    <row r="5" spans="1:29">
      <c r="A5" s="358"/>
      <c r="B5" s="359"/>
      <c r="C5" s="3828" t="s">
        <v>1657</v>
      </c>
      <c r="D5" s="3823"/>
      <c r="E5" s="3834" t="s">
        <v>4352</v>
      </c>
      <c r="F5" s="3835"/>
      <c r="G5" s="3822" t="s">
        <v>4353</v>
      </c>
      <c r="H5" s="3823"/>
      <c r="I5" s="3828" t="s">
        <v>4354</v>
      </c>
      <c r="J5" s="3823"/>
      <c r="K5" s="559"/>
      <c r="L5" s="2686"/>
      <c r="M5" s="2687"/>
      <c r="N5" s="2687"/>
      <c r="O5" s="2687"/>
      <c r="P5" s="3808"/>
      <c r="Q5" s="3809"/>
      <c r="R5" s="3814"/>
      <c r="S5" s="3815"/>
      <c r="T5" s="3814"/>
      <c r="U5" s="3815"/>
      <c r="V5" s="3819"/>
      <c r="W5" s="3819"/>
      <c r="X5" s="3488"/>
      <c r="Y5" s="3814"/>
      <c r="Z5" s="3815"/>
      <c r="AA5" s="3832"/>
      <c r="AB5" s="3832"/>
      <c r="AC5" s="3800"/>
    </row>
    <row r="6" spans="1:29" ht="15" thickBot="1">
      <c r="A6" s="360"/>
      <c r="B6" s="361"/>
      <c r="C6" s="3820" t="s">
        <v>1661</v>
      </c>
      <c r="D6" s="3821"/>
      <c r="E6" s="3829" t="s">
        <v>4341</v>
      </c>
      <c r="F6" s="3830"/>
      <c r="G6" s="3820" t="s">
        <v>4341</v>
      </c>
      <c r="H6" s="3821"/>
      <c r="I6" s="3820" t="s">
        <v>4341</v>
      </c>
      <c r="J6" s="3821"/>
      <c r="K6" s="559" t="s">
        <v>1662</v>
      </c>
      <c r="L6" s="2686"/>
      <c r="M6" s="2687"/>
      <c r="N6" s="2687"/>
      <c r="O6" s="2687"/>
      <c r="P6" s="3810"/>
      <c r="Q6" s="3811"/>
      <c r="R6" s="3814"/>
      <c r="S6" s="3815"/>
      <c r="T6" s="3816"/>
      <c r="U6" s="3817"/>
      <c r="V6" s="3819"/>
      <c r="W6" s="3819"/>
      <c r="X6" s="3488"/>
      <c r="Y6" s="3816"/>
      <c r="Z6" s="3817"/>
      <c r="AA6" s="3833"/>
      <c r="AB6" s="3833"/>
      <c r="AC6" s="3801"/>
    </row>
    <row r="7" spans="1:29" s="108" customFormat="1" ht="15" thickBot="1">
      <c r="A7" s="362" t="s">
        <v>1663</v>
      </c>
      <c r="B7" s="363"/>
      <c r="C7" s="364">
        <f>'数据-取费表'!B2</f>
        <v>45309</v>
      </c>
      <c r="D7" s="365">
        <v>100</v>
      </c>
      <c r="E7" s="366">
        <v>44166</v>
      </c>
      <c r="F7" s="367">
        <f>SUMIF(59:59,YEAR(E7)&amp;"-"&amp;MONTH(E7),60:60)</f>
        <v>97</v>
      </c>
      <c r="G7" s="366">
        <v>44187</v>
      </c>
      <c r="H7" s="365">
        <f>SUMIF(59:59,YEAR(G7)&amp;"-"&amp;MONTH(G7),60:60)</f>
        <v>97</v>
      </c>
      <c r="I7" s="366">
        <v>44224</v>
      </c>
      <c r="J7" s="365">
        <f>SUMIF(59:59,YEAR(I7)&amp;"-"&amp;MONTH(I7),60:60)</f>
        <v>97</v>
      </c>
      <c r="K7" s="560"/>
      <c r="L7" s="2688"/>
      <c r="M7" s="2689"/>
      <c r="N7" s="2689"/>
      <c r="O7" s="2689"/>
      <c r="P7" s="3824" t="s">
        <v>1664</v>
      </c>
      <c r="Q7" s="3827"/>
      <c r="R7" s="700" t="s">
        <v>14</v>
      </c>
      <c r="S7" s="701">
        <f t="shared" ref="S7:S15" si="0">F7</f>
        <v>97</v>
      </c>
      <c r="T7" s="700" t="s">
        <v>14</v>
      </c>
      <c r="U7" s="701">
        <f t="shared" ref="U7:U15" si="1">H7</f>
        <v>97</v>
      </c>
      <c r="V7" s="700" t="s">
        <v>14</v>
      </c>
      <c r="W7" s="701">
        <f t="shared" ref="W7:W15" si="2">J7</f>
        <v>97</v>
      </c>
      <c r="X7" s="702"/>
      <c r="Y7" s="3826" t="s">
        <v>1664</v>
      </c>
      <c r="Z7" s="3825"/>
      <c r="AA7" s="703">
        <f>D7/F7</f>
        <v>1.0309278350515463</v>
      </c>
      <c r="AB7" s="703">
        <f>D7/H7</f>
        <v>1.0309278350515463</v>
      </c>
      <c r="AC7" s="1954">
        <f>D7/J7</f>
        <v>1.0309278350515463</v>
      </c>
    </row>
    <row r="8" spans="1:29" s="108" customFormat="1" ht="15" thickBot="1">
      <c r="A8" s="362" t="s">
        <v>1665</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688"/>
      <c r="M8" s="2689"/>
      <c r="N8" s="2689"/>
      <c r="O8" s="2689"/>
      <c r="P8" s="3824" t="s">
        <v>1667</v>
      </c>
      <c r="Q8" s="3825"/>
      <c r="R8" s="700" t="s">
        <v>14</v>
      </c>
      <c r="S8" s="701">
        <f t="shared" si="0"/>
        <v>100</v>
      </c>
      <c r="T8" s="700" t="s">
        <v>14</v>
      </c>
      <c r="U8" s="701">
        <f t="shared" si="1"/>
        <v>100</v>
      </c>
      <c r="V8" s="700" t="s">
        <v>14</v>
      </c>
      <c r="W8" s="701">
        <f t="shared" si="2"/>
        <v>100</v>
      </c>
      <c r="X8" s="702"/>
      <c r="Y8" s="3826" t="s">
        <v>1667</v>
      </c>
      <c r="Z8" s="3825"/>
      <c r="AA8" s="703">
        <f t="shared" ref="AA8:AA47" si="3">D8/F8</f>
        <v>1</v>
      </c>
      <c r="AB8" s="703">
        <f t="shared" ref="AB8:AB47" si="4">D8/H8</f>
        <v>1</v>
      </c>
      <c r="AC8" s="1954">
        <f t="shared" ref="AC8:AC47" si="5">D8/J8</f>
        <v>1</v>
      </c>
    </row>
    <row r="9" spans="1:29" s="108" customFormat="1" ht="14.4">
      <c r="A9" s="369" t="s">
        <v>1668</v>
      </c>
      <c r="B9" s="63" t="s">
        <v>1669</v>
      </c>
      <c r="C9" s="3439" t="s">
        <v>3403</v>
      </c>
      <c r="D9" s="126">
        <v>100</v>
      </c>
      <c r="E9" s="373" t="s">
        <v>21</v>
      </c>
      <c r="F9" s="126">
        <f>SUMIF(64:64,E9,65:65)-SUMIF(64:64,C9,65:65)+100</f>
        <v>95</v>
      </c>
      <c r="G9" s="373" t="s">
        <v>21</v>
      </c>
      <c r="H9" s="126">
        <f>SUMIF(64:64,G9,65:65)-SUMIF(64:64,C9,65:65)+100</f>
        <v>95</v>
      </c>
      <c r="I9" s="373" t="s">
        <v>4315</v>
      </c>
      <c r="J9" s="126">
        <f>SUMIF(64:64,I9,65:65)-SUMIF(64:64,C9,65:65)+100</f>
        <v>100</v>
      </c>
      <c r="K9" s="560"/>
      <c r="L9" s="2688"/>
      <c r="M9" s="2689"/>
      <c r="N9" s="2689"/>
      <c r="O9" s="2689"/>
      <c r="P9" s="3784" t="s">
        <v>1670</v>
      </c>
      <c r="Q9" s="3483" t="str">
        <f t="shared" ref="Q9:Q15" si="6">B9</f>
        <v>用途</v>
      </c>
      <c r="R9" s="700" t="s">
        <v>14</v>
      </c>
      <c r="S9" s="701">
        <f t="shared" si="0"/>
        <v>95</v>
      </c>
      <c r="T9" s="700" t="s">
        <v>14</v>
      </c>
      <c r="U9" s="701">
        <f t="shared" si="1"/>
        <v>95</v>
      </c>
      <c r="V9" s="700" t="s">
        <v>14</v>
      </c>
      <c r="W9" s="701">
        <f t="shared" si="2"/>
        <v>100</v>
      </c>
      <c r="X9" s="702"/>
      <c r="Y9" s="3663" t="s">
        <v>1671</v>
      </c>
      <c r="Z9" s="3482" t="str">
        <f t="shared" ref="Z9:Z15" si="7">Q9</f>
        <v>用途</v>
      </c>
      <c r="AA9" s="703">
        <f t="shared" si="3"/>
        <v>1.0526315789473684</v>
      </c>
      <c r="AB9" s="703">
        <f t="shared" si="4"/>
        <v>1.0526315789473684</v>
      </c>
      <c r="AC9" s="1954">
        <f t="shared" si="5"/>
        <v>1</v>
      </c>
    </row>
    <row r="10" spans="1:29" s="378" customFormat="1" ht="28.8">
      <c r="A10" s="374"/>
      <c r="B10" s="375" t="s">
        <v>1672</v>
      </c>
      <c r="C10" s="3404" t="s">
        <v>3392</v>
      </c>
      <c r="D10" s="127">
        <v>100</v>
      </c>
      <c r="E10" s="3404" t="s">
        <v>4342</v>
      </c>
      <c r="F10" s="127">
        <f>SUMIF(66:66,E10,67:67)-SUMIF(66:66,C10,67:67)+100</f>
        <v>101</v>
      </c>
      <c r="G10" s="3404" t="s">
        <v>4343</v>
      </c>
      <c r="H10" s="127">
        <f>SUMIF(66:66,G10,67:67)-SUMIF(66:66,C10,67:67)+100</f>
        <v>102</v>
      </c>
      <c r="I10" s="3404" t="s">
        <v>4343</v>
      </c>
      <c r="J10" s="127">
        <f>SUMIF(66:66,I10,67:67)-SUMIF(66:66,C10,67:67)+100</f>
        <v>102</v>
      </c>
      <c r="K10" s="560"/>
      <c r="L10" s="2690"/>
      <c r="M10" s="2691"/>
      <c r="N10" s="2691"/>
      <c r="O10" s="2691"/>
      <c r="P10" s="3784"/>
      <c r="Q10" s="3483" t="str">
        <f t="shared" si="6"/>
        <v>土地使用年限（年）</v>
      </c>
      <c r="R10" s="700" t="s">
        <v>14</v>
      </c>
      <c r="S10" s="701">
        <f t="shared" si="0"/>
        <v>101</v>
      </c>
      <c r="T10" s="700" t="s">
        <v>14</v>
      </c>
      <c r="U10" s="701">
        <f t="shared" si="1"/>
        <v>102</v>
      </c>
      <c r="V10" s="700" t="s">
        <v>14</v>
      </c>
      <c r="W10" s="701">
        <f t="shared" si="2"/>
        <v>102</v>
      </c>
      <c r="X10" s="702"/>
      <c r="Y10" s="3663"/>
      <c r="Z10" s="3482" t="str">
        <f t="shared" si="7"/>
        <v>土地使用年限（年）</v>
      </c>
      <c r="AA10" s="703">
        <f t="shared" si="3"/>
        <v>0.99009900990099009</v>
      </c>
      <c r="AB10" s="703">
        <f t="shared" si="4"/>
        <v>0.98039215686274506</v>
      </c>
      <c r="AC10" s="1954">
        <f t="shared" si="5"/>
        <v>0.98039215686274506</v>
      </c>
    </row>
    <row r="11" spans="1:29" ht="15">
      <c r="A11" s="379"/>
      <c r="B11" s="375" t="s">
        <v>1673</v>
      </c>
      <c r="C11" s="380"/>
      <c r="D11" s="127">
        <v>100</v>
      </c>
      <c r="E11" s="380"/>
      <c r="F11" s="127">
        <f>LOOKUP(E11,69:69,70:70)-LOOKUP(C11,69:69,70:70)+100</f>
        <v>100</v>
      </c>
      <c r="G11" s="1955"/>
      <c r="H11" s="127">
        <f>LOOKUP(G11,69:69,70:70)-LOOKUP(C11,69:69,70:70)+100</f>
        <v>100</v>
      </c>
      <c r="I11" s="380"/>
      <c r="J11" s="127">
        <f>LOOKUP(I11,69:69,70:70)-LOOKUP(C11,69:69,70:70)+100</f>
        <v>100</v>
      </c>
      <c r="K11" s="561"/>
      <c r="L11" s="2692"/>
      <c r="M11" s="2687"/>
      <c r="N11" s="2687"/>
      <c r="O11" s="2687"/>
      <c r="P11" s="3784"/>
      <c r="Q11" s="3483" t="str">
        <f t="shared" si="6"/>
        <v>容积率</v>
      </c>
      <c r="R11" s="700" t="s">
        <v>14</v>
      </c>
      <c r="S11" s="701">
        <f t="shared" si="0"/>
        <v>100</v>
      </c>
      <c r="T11" s="700" t="s">
        <v>14</v>
      </c>
      <c r="U11" s="701">
        <f t="shared" si="1"/>
        <v>100</v>
      </c>
      <c r="V11" s="700" t="s">
        <v>14</v>
      </c>
      <c r="W11" s="701">
        <f t="shared" si="2"/>
        <v>100</v>
      </c>
      <c r="X11" s="702"/>
      <c r="Y11" s="3663"/>
      <c r="Z11" s="3482" t="str">
        <f t="shared" si="7"/>
        <v>容积率</v>
      </c>
      <c r="AA11" s="703">
        <f t="shared" si="3"/>
        <v>1</v>
      </c>
      <c r="AB11" s="703">
        <f t="shared" si="4"/>
        <v>1</v>
      </c>
      <c r="AC11" s="1954">
        <f t="shared" si="5"/>
        <v>1</v>
      </c>
    </row>
    <row r="12" spans="1:29" s="108" customFormat="1" ht="15">
      <c r="A12" s="382"/>
      <c r="B12" s="3475" t="s">
        <v>4150</v>
      </c>
      <c r="C12" s="383"/>
      <c r="D12" s="384">
        <v>100</v>
      </c>
      <c r="E12" s="383">
        <v>2004</v>
      </c>
      <c r="F12" s="127">
        <f>SUMIF(71:71,E12,72:72)-SUMIF(71:71,C12,72:72)+100</f>
        <v>100</v>
      </c>
      <c r="G12" s="1955">
        <v>2001</v>
      </c>
      <c r="H12" s="127">
        <f>SUMIF(71:71,G12,72:72)-SUMIF(71:71,C12,72:72)+100</f>
        <v>100</v>
      </c>
      <c r="I12" s="383">
        <v>2014</v>
      </c>
      <c r="J12" s="127">
        <f>SUMIF(71:71,I12,72:72)-SUMIF(71:71,C12,72:72)+100</f>
        <v>100</v>
      </c>
      <c r="K12" s="562"/>
      <c r="L12" s="2688"/>
      <c r="M12" s="2689"/>
      <c r="N12" s="2689"/>
      <c r="O12" s="2689"/>
      <c r="P12" s="3784"/>
      <c r="Q12" s="3483" t="str">
        <f t="shared" si="6"/>
        <v>建成</v>
      </c>
      <c r="R12" s="700" t="s">
        <v>14</v>
      </c>
      <c r="S12" s="701">
        <f t="shared" si="0"/>
        <v>100</v>
      </c>
      <c r="T12" s="700" t="s">
        <v>14</v>
      </c>
      <c r="U12" s="701">
        <f t="shared" si="1"/>
        <v>100</v>
      </c>
      <c r="V12" s="700" t="s">
        <v>14</v>
      </c>
      <c r="W12" s="701">
        <f t="shared" si="2"/>
        <v>100</v>
      </c>
      <c r="X12" s="702"/>
      <c r="Y12" s="3663"/>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784"/>
      <c r="Q13" s="3483">
        <f t="shared" si="6"/>
        <v>111</v>
      </c>
      <c r="R13" s="700" t="s">
        <v>14</v>
      </c>
      <c r="S13" s="701">
        <f t="shared" si="0"/>
        <v>100</v>
      </c>
      <c r="T13" s="700" t="s">
        <v>14</v>
      </c>
      <c r="U13" s="701">
        <f t="shared" si="1"/>
        <v>100</v>
      </c>
      <c r="V13" s="700" t="s">
        <v>14</v>
      </c>
      <c r="W13" s="701">
        <f t="shared" si="2"/>
        <v>100</v>
      </c>
      <c r="X13" s="702"/>
      <c r="Y13" s="3663"/>
      <c r="Z13" s="3482">
        <f t="shared" si="7"/>
        <v>111</v>
      </c>
      <c r="AA13" s="703">
        <f t="shared" si="3"/>
        <v>1</v>
      </c>
      <c r="AB13" s="703">
        <f t="shared" si="4"/>
        <v>1</v>
      </c>
      <c r="AC13" s="1954">
        <f t="shared" si="5"/>
        <v>1</v>
      </c>
    </row>
    <row r="14" spans="1:29" ht="15.6"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84"/>
      <c r="Q14" s="3483">
        <f t="shared" si="6"/>
        <v>111</v>
      </c>
      <c r="R14" s="700" t="s">
        <v>14</v>
      </c>
      <c r="S14" s="701">
        <f t="shared" si="0"/>
        <v>100</v>
      </c>
      <c r="T14" s="700" t="s">
        <v>14</v>
      </c>
      <c r="U14" s="701">
        <f t="shared" si="1"/>
        <v>100</v>
      </c>
      <c r="V14" s="700" t="s">
        <v>14</v>
      </c>
      <c r="W14" s="701">
        <f t="shared" si="2"/>
        <v>100</v>
      </c>
      <c r="X14" s="702"/>
      <c r="Y14" s="3663"/>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557" t="s">
        <v>4355</v>
      </c>
      <c r="J15" s="392">
        <f>SUMIF(77:77,I16,78:78)-SUMIF(77:77,C16,78:78)+100</f>
        <v>95</v>
      </c>
      <c r="K15" s="563">
        <v>5</v>
      </c>
      <c r="L15" s="2693"/>
      <c r="M15" s="2687"/>
      <c r="N15" s="2687"/>
      <c r="O15" s="2687"/>
      <c r="P15" s="3790" t="s">
        <v>1675</v>
      </c>
      <c r="Q15" s="3484" t="str">
        <f t="shared" si="6"/>
        <v>办公集聚程度</v>
      </c>
      <c r="R15" s="704" t="s">
        <v>14</v>
      </c>
      <c r="S15" s="705">
        <f t="shared" si="0"/>
        <v>100</v>
      </c>
      <c r="T15" s="704" t="s">
        <v>14</v>
      </c>
      <c r="U15" s="705">
        <f t="shared" si="1"/>
        <v>100</v>
      </c>
      <c r="V15" s="704" t="s">
        <v>14</v>
      </c>
      <c r="W15" s="705">
        <f t="shared" si="2"/>
        <v>95</v>
      </c>
      <c r="X15" s="3488"/>
      <c r="Y15" s="3792" t="s">
        <v>1675</v>
      </c>
      <c r="Z15" s="3486" t="str">
        <f t="shared" si="7"/>
        <v>办公集聚程度</v>
      </c>
      <c r="AA15" s="3485">
        <f t="shared" si="3"/>
        <v>1</v>
      </c>
      <c r="AB15" s="3485">
        <f t="shared" si="4"/>
        <v>1</v>
      </c>
      <c r="AC15" s="1957">
        <f t="shared" si="5"/>
        <v>1.0526315789473684</v>
      </c>
    </row>
    <row r="16" spans="1:29" ht="15">
      <c r="A16" s="379"/>
      <c r="B16" s="578"/>
      <c r="C16" s="1899" t="s">
        <v>3388</v>
      </c>
      <c r="D16" s="399"/>
      <c r="E16" s="398" t="s">
        <v>3388</v>
      </c>
      <c r="F16" s="399"/>
      <c r="G16" s="398" t="s">
        <v>3388</v>
      </c>
      <c r="H16" s="401"/>
      <c r="I16" s="398" t="s">
        <v>3399</v>
      </c>
      <c r="J16" s="399"/>
      <c r="K16" s="564"/>
      <c r="L16" s="2693"/>
      <c r="M16" s="2687"/>
      <c r="N16" s="2687"/>
      <c r="O16" s="2687"/>
      <c r="P16" s="3791"/>
      <c r="Q16" s="3484"/>
      <c r="R16" s="704"/>
      <c r="S16" s="705"/>
      <c r="T16" s="704"/>
      <c r="U16" s="705"/>
      <c r="V16" s="704"/>
      <c r="W16" s="705"/>
      <c r="X16" s="3488"/>
      <c r="Y16" s="3793"/>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791"/>
      <c r="Q17" s="3484" t="str">
        <f>B17</f>
        <v>交通便捷度</v>
      </c>
      <c r="R17" s="704" t="s">
        <v>14</v>
      </c>
      <c r="S17" s="705">
        <f>F17</f>
        <v>100</v>
      </c>
      <c r="T17" s="704" t="s">
        <v>14</v>
      </c>
      <c r="U17" s="705">
        <f>H17</f>
        <v>100</v>
      </c>
      <c r="V17" s="704" t="s">
        <v>14</v>
      </c>
      <c r="W17" s="705">
        <f>J17</f>
        <v>100</v>
      </c>
      <c r="X17" s="3488"/>
      <c r="Y17" s="3793"/>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791"/>
      <c r="Q18" s="3484"/>
      <c r="R18" s="704"/>
      <c r="S18" s="705"/>
      <c r="T18" s="704"/>
      <c r="U18" s="705"/>
      <c r="V18" s="704"/>
      <c r="W18" s="705"/>
      <c r="X18" s="3488"/>
      <c r="Y18" s="3793"/>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3558" t="s">
        <v>4355</v>
      </c>
      <c r="H19" s="401">
        <f>SUMIF(81:81,G20,82:82)-SUMIF(81:81,C20,82:82)+100</f>
        <v>95</v>
      </c>
      <c r="I19" s="410" t="s">
        <v>3388</v>
      </c>
      <c r="J19" s="401">
        <f>SUMIF(81:81,I20,82:82)-SUMIF(81:81,C20,82:82)+100</f>
        <v>100</v>
      </c>
      <c r="K19" s="563">
        <v>5</v>
      </c>
      <c r="L19" s="2693"/>
      <c r="M19" s="2687"/>
      <c r="N19" s="2687"/>
      <c r="O19" s="2687"/>
      <c r="P19" s="3791"/>
      <c r="Q19" s="3484" t="str">
        <f>B19</f>
        <v>公共配套设施</v>
      </c>
      <c r="R19" s="704" t="s">
        <v>14</v>
      </c>
      <c r="S19" s="705">
        <f>F19</f>
        <v>100</v>
      </c>
      <c r="T19" s="704" t="s">
        <v>14</v>
      </c>
      <c r="U19" s="705">
        <f>H19</f>
        <v>95</v>
      </c>
      <c r="V19" s="704" t="s">
        <v>14</v>
      </c>
      <c r="W19" s="705">
        <f>J19</f>
        <v>100</v>
      </c>
      <c r="X19" s="3488"/>
      <c r="Y19" s="3793"/>
      <c r="Z19" s="3486" t="str">
        <f>Q19</f>
        <v>公共配套设施</v>
      </c>
      <c r="AA19" s="3485">
        <f t="shared" si="3"/>
        <v>1</v>
      </c>
      <c r="AB19" s="3485">
        <f t="shared" si="4"/>
        <v>1.0526315789473684</v>
      </c>
      <c r="AC19" s="1957">
        <f t="shared" si="5"/>
        <v>1</v>
      </c>
    </row>
    <row r="20" spans="1:29" ht="15">
      <c r="A20" s="379"/>
      <c r="B20" s="580"/>
      <c r="C20" s="1899" t="s">
        <v>3388</v>
      </c>
      <c r="D20" s="399"/>
      <c r="E20" s="1899" t="s">
        <v>3388</v>
      </c>
      <c r="F20" s="399"/>
      <c r="G20" s="1899" t="s">
        <v>3399</v>
      </c>
      <c r="H20" s="399"/>
      <c r="I20" s="1899" t="s">
        <v>3388</v>
      </c>
      <c r="J20" s="399"/>
      <c r="K20" s="564"/>
      <c r="L20" s="2693"/>
      <c r="M20" s="2687"/>
      <c r="N20" s="2687"/>
      <c r="O20" s="2687"/>
      <c r="P20" s="3791"/>
      <c r="Q20" s="3484"/>
      <c r="R20" s="704"/>
      <c r="S20" s="705"/>
      <c r="T20" s="704"/>
      <c r="U20" s="705"/>
      <c r="V20" s="704"/>
      <c r="W20" s="705"/>
      <c r="X20" s="3488"/>
      <c r="Y20" s="3793"/>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791"/>
      <c r="Q21" s="3484" t="str">
        <f>B21</f>
        <v>基础设施水平</v>
      </c>
      <c r="R21" s="704" t="s">
        <v>14</v>
      </c>
      <c r="S21" s="705">
        <f>F21</f>
        <v>100</v>
      </c>
      <c r="T21" s="704" t="s">
        <v>14</v>
      </c>
      <c r="U21" s="705">
        <f>H21</f>
        <v>100</v>
      </c>
      <c r="V21" s="704" t="s">
        <v>14</v>
      </c>
      <c r="W21" s="705">
        <f>J21</f>
        <v>100</v>
      </c>
      <c r="X21" s="3488"/>
      <c r="Y21" s="3793"/>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791"/>
      <c r="Q22" s="3484"/>
      <c r="R22" s="704"/>
      <c r="S22" s="705"/>
      <c r="T22" s="704"/>
      <c r="U22" s="705"/>
      <c r="V22" s="704"/>
      <c r="W22" s="705"/>
      <c r="X22" s="3488"/>
      <c r="Y22" s="3793"/>
      <c r="Z22" s="3486"/>
      <c r="AA22" s="3485">
        <v>1</v>
      </c>
      <c r="AB22" s="3485">
        <v>1</v>
      </c>
      <c r="AC22" s="1957">
        <v>1</v>
      </c>
    </row>
    <row r="23" spans="1:29" ht="15">
      <c r="A23" s="379"/>
      <c r="B23" s="579" t="s">
        <v>1798</v>
      </c>
      <c r="C23" s="1958" t="str">
        <f>估价对象房地状况!C9</f>
        <v>较好</v>
      </c>
      <c r="D23" s="401">
        <v>100</v>
      </c>
      <c r="E23" s="3458" t="s">
        <v>4314</v>
      </c>
      <c r="F23" s="401">
        <f>SUMIF(85:85,E24,86:86)-SUMIF(85:85,C24,86:86)+100</f>
        <v>95</v>
      </c>
      <c r="G23" s="405" t="s">
        <v>3388</v>
      </c>
      <c r="H23" s="401">
        <f>SUMIF(85:85,G24,86:86)-SUMIF(85:85,C24,86:86)+100</f>
        <v>95</v>
      </c>
      <c r="I23" s="405" t="s">
        <v>3388</v>
      </c>
      <c r="J23" s="401">
        <f>SUMIF(85:85,I24,86:86)-SUMIF(85:85,C24,86:86)+100</f>
        <v>100</v>
      </c>
      <c r="K23" s="563">
        <v>5</v>
      </c>
      <c r="L23" s="2693"/>
      <c r="M23" s="2687"/>
      <c r="N23" s="2687"/>
      <c r="O23" s="2687"/>
      <c r="P23" s="3791"/>
      <c r="Q23" s="3484" t="str">
        <f>B23</f>
        <v>环境质量</v>
      </c>
      <c r="R23" s="704" t="s">
        <v>14</v>
      </c>
      <c r="S23" s="705">
        <f>F23</f>
        <v>95</v>
      </c>
      <c r="T23" s="704" t="s">
        <v>14</v>
      </c>
      <c r="U23" s="705">
        <f>H23</f>
        <v>95</v>
      </c>
      <c r="V23" s="704" t="s">
        <v>14</v>
      </c>
      <c r="W23" s="705">
        <f>J23</f>
        <v>100</v>
      </c>
      <c r="X23" s="3488"/>
      <c r="Y23" s="3793"/>
      <c r="Z23" s="3486" t="str">
        <f>Q23</f>
        <v>环境质量</v>
      </c>
      <c r="AA23" s="3485">
        <f t="shared" si="3"/>
        <v>1.0526315789473684</v>
      </c>
      <c r="AB23" s="3485">
        <f t="shared" si="4"/>
        <v>1.0526315789473684</v>
      </c>
      <c r="AC23" s="1957">
        <f t="shared" si="5"/>
        <v>1</v>
      </c>
    </row>
    <row r="24" spans="1:29" ht="15">
      <c r="A24" s="379"/>
      <c r="B24" s="581"/>
      <c r="C24" s="1899" t="s">
        <v>3388</v>
      </c>
      <c r="D24" s="399"/>
      <c r="E24" s="1892" t="s">
        <v>3399</v>
      </c>
      <c r="F24" s="399"/>
      <c r="G24" s="1892" t="s">
        <v>3399</v>
      </c>
      <c r="H24" s="399"/>
      <c r="I24" s="1892" t="s">
        <v>3388</v>
      </c>
      <c r="J24" s="399"/>
      <c r="K24" s="564"/>
      <c r="L24" s="2693"/>
      <c r="M24" s="2687"/>
      <c r="N24" s="2687"/>
      <c r="O24" s="2687"/>
      <c r="P24" s="3791"/>
      <c r="Q24" s="3484"/>
      <c r="R24" s="704"/>
      <c r="S24" s="705"/>
      <c r="T24" s="704"/>
      <c r="U24" s="705"/>
      <c r="V24" s="704"/>
      <c r="W24" s="705"/>
      <c r="X24" s="3488"/>
      <c r="Y24" s="3793"/>
      <c r="Z24" s="3486"/>
      <c r="AA24" s="3485">
        <v>1</v>
      </c>
      <c r="AB24" s="3485">
        <v>1</v>
      </c>
      <c r="AC24" s="1957">
        <v>1</v>
      </c>
    </row>
    <row r="25" spans="1:29" ht="28.8">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791"/>
      <c r="Q25" s="3484" t="str">
        <f>B25</f>
        <v>毗邻道路的类型与等级</v>
      </c>
      <c r="R25" s="704" t="s">
        <v>14</v>
      </c>
      <c r="S25" s="705">
        <f>F25</f>
        <v>100</v>
      </c>
      <c r="T25" s="704" t="s">
        <v>14</v>
      </c>
      <c r="U25" s="705">
        <f>H25</f>
        <v>100</v>
      </c>
      <c r="V25" s="704" t="s">
        <v>14</v>
      </c>
      <c r="W25" s="705">
        <f>J25</f>
        <v>100</v>
      </c>
      <c r="X25" s="3488"/>
      <c r="Y25" s="3793"/>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565"/>
      <c r="J26" s="386"/>
      <c r="K26" s="564"/>
      <c r="L26" s="2693"/>
      <c r="M26" s="2687"/>
      <c r="N26" s="2687"/>
      <c r="O26" s="2687"/>
      <c r="P26" s="3791"/>
      <c r="Q26" s="3484"/>
      <c r="R26" s="704"/>
      <c r="S26" s="705"/>
      <c r="T26" s="704"/>
      <c r="U26" s="705"/>
      <c r="V26" s="704"/>
      <c r="W26" s="705"/>
      <c r="X26" s="3488"/>
      <c r="Y26" s="3793"/>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791"/>
      <c r="Q27" s="3484" t="str">
        <f t="shared" ref="Q27:Q47" si="11">B27</f>
        <v>楼层</v>
      </c>
      <c r="R27" s="704" t="s">
        <v>14</v>
      </c>
      <c r="S27" s="705">
        <f>F27</f>
        <v>100</v>
      </c>
      <c r="T27" s="704" t="s">
        <v>14</v>
      </c>
      <c r="U27" s="705">
        <f>H27</f>
        <v>100</v>
      </c>
      <c r="V27" s="704" t="s">
        <v>14</v>
      </c>
      <c r="W27" s="705">
        <f>J27</f>
        <v>100</v>
      </c>
      <c r="X27" s="3488"/>
      <c r="Y27" s="3793"/>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791"/>
      <c r="Q28" s="3483" t="str">
        <f t="shared" si="11"/>
        <v>朝向</v>
      </c>
      <c r="R28" s="700" t="s">
        <v>14</v>
      </c>
      <c r="S28" s="701">
        <f>F28</f>
        <v>100</v>
      </c>
      <c r="T28" s="700" t="s">
        <v>14</v>
      </c>
      <c r="U28" s="701">
        <f>H28</f>
        <v>100</v>
      </c>
      <c r="V28" s="700" t="s">
        <v>14</v>
      </c>
      <c r="W28" s="701">
        <f>J28</f>
        <v>100</v>
      </c>
      <c r="X28" s="702"/>
      <c r="Y28" s="3793"/>
      <c r="Z28" s="3482" t="str">
        <f>Q28</f>
        <v>朝向</v>
      </c>
      <c r="AA28" s="3485">
        <f>D28/F28</f>
        <v>1</v>
      </c>
      <c r="AB28" s="3485">
        <f>D28/H28</f>
        <v>1</v>
      </c>
      <c r="AC28" s="1957">
        <f>D28/J28</f>
        <v>1</v>
      </c>
    </row>
    <row r="29" spans="1:29" ht="15.6" thickBot="1">
      <c r="A29" s="379"/>
      <c r="B29" s="3476" t="s">
        <v>4152</v>
      </c>
      <c r="C29" s="3479" t="s">
        <v>4154</v>
      </c>
      <c r="D29" s="386">
        <v>100</v>
      </c>
      <c r="E29" s="3479" t="s">
        <v>4154</v>
      </c>
      <c r="F29" s="386">
        <f>SUMIF(93:93,E29,94:94)-SUMIF(93:93,C29,94:94)+100</f>
        <v>100</v>
      </c>
      <c r="G29" s="3479" t="s">
        <v>4154</v>
      </c>
      <c r="H29" s="386">
        <f>SUMIF(93:93,G29,94:94)-SUMIF(93:93,C29,94:94)+100</f>
        <v>100</v>
      </c>
      <c r="I29" s="3479" t="s">
        <v>4154</v>
      </c>
      <c r="J29" s="386">
        <f>SUMIF(93:93,I29,94:94)-SUMIF(93:93,C29,94:94)+100</f>
        <v>100</v>
      </c>
      <c r="K29" s="562"/>
      <c r="L29" s="2693"/>
      <c r="M29" s="2687"/>
      <c r="N29" s="2687"/>
      <c r="O29" s="2687"/>
      <c r="P29" s="3791"/>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793"/>
      <c r="Z29" s="3486" t="str">
        <f t="shared" ref="Z29:Z47" si="15">Q29</f>
        <v>商业繁华度</v>
      </c>
      <c r="AA29" s="3485">
        <f t="shared" si="3"/>
        <v>1</v>
      </c>
      <c r="AB29" s="3485">
        <f t="shared" si="4"/>
        <v>1</v>
      </c>
      <c r="AC29" s="1957">
        <f t="shared" si="5"/>
        <v>1</v>
      </c>
    </row>
    <row r="30" spans="1:29" ht="15.6"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791"/>
      <c r="Q30" s="3484">
        <f t="shared" si="11"/>
        <v>111</v>
      </c>
      <c r="R30" s="704" t="s">
        <v>14</v>
      </c>
      <c r="S30" s="705">
        <f t="shared" si="12"/>
        <v>100</v>
      </c>
      <c r="T30" s="704" t="s">
        <v>14</v>
      </c>
      <c r="U30" s="705">
        <f t="shared" si="13"/>
        <v>100</v>
      </c>
      <c r="V30" s="704" t="s">
        <v>14</v>
      </c>
      <c r="W30" s="705">
        <f t="shared" si="14"/>
        <v>100</v>
      </c>
      <c r="X30" s="3488"/>
      <c r="Y30" s="3793"/>
      <c r="Z30" s="3486">
        <f t="shared" si="15"/>
        <v>111</v>
      </c>
      <c r="AA30" s="3485">
        <f t="shared" si="3"/>
        <v>1</v>
      </c>
      <c r="AB30" s="3485">
        <f t="shared" si="4"/>
        <v>1</v>
      </c>
      <c r="AC30" s="1957">
        <f t="shared" si="5"/>
        <v>1</v>
      </c>
    </row>
    <row r="31" spans="1:29" ht="15.6"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791"/>
      <c r="Q31" s="3484">
        <f t="shared" si="11"/>
        <v>111</v>
      </c>
      <c r="R31" s="704" t="s">
        <v>14</v>
      </c>
      <c r="S31" s="705">
        <f t="shared" si="12"/>
        <v>100</v>
      </c>
      <c r="T31" s="704" t="s">
        <v>14</v>
      </c>
      <c r="U31" s="705">
        <f t="shared" si="13"/>
        <v>100</v>
      </c>
      <c r="V31" s="704" t="s">
        <v>14</v>
      </c>
      <c r="W31" s="705">
        <f t="shared" si="14"/>
        <v>100</v>
      </c>
      <c r="X31" s="3488"/>
      <c r="Y31" s="3793"/>
      <c r="Z31" s="3486">
        <f t="shared" si="15"/>
        <v>111</v>
      </c>
      <c r="AA31" s="3485">
        <f t="shared" si="3"/>
        <v>1</v>
      </c>
      <c r="AB31" s="3485">
        <f t="shared" si="4"/>
        <v>1</v>
      </c>
      <c r="AC31" s="1957">
        <f t="shared" si="5"/>
        <v>1</v>
      </c>
    </row>
    <row r="32" spans="1:29" ht="15.6"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791"/>
      <c r="Q32" s="3484">
        <f t="shared" si="11"/>
        <v>111</v>
      </c>
      <c r="R32" s="704" t="s">
        <v>14</v>
      </c>
      <c r="S32" s="705">
        <f t="shared" si="12"/>
        <v>100</v>
      </c>
      <c r="T32" s="704" t="s">
        <v>14</v>
      </c>
      <c r="U32" s="705">
        <f t="shared" si="13"/>
        <v>100</v>
      </c>
      <c r="V32" s="704" t="s">
        <v>14</v>
      </c>
      <c r="W32" s="705">
        <f t="shared" si="14"/>
        <v>100</v>
      </c>
      <c r="X32" s="3488"/>
      <c r="Y32" s="3793"/>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794" t="s">
        <v>1680</v>
      </c>
      <c r="Q33" s="3484" t="str">
        <f t="shared" si="11"/>
        <v>建筑类型</v>
      </c>
      <c r="R33" s="704" t="s">
        <v>14</v>
      </c>
      <c r="S33" s="705">
        <f t="shared" si="12"/>
        <v>100</v>
      </c>
      <c r="T33" s="704" t="s">
        <v>14</v>
      </c>
      <c r="U33" s="705">
        <f t="shared" si="13"/>
        <v>100</v>
      </c>
      <c r="V33" s="704" t="s">
        <v>14</v>
      </c>
      <c r="W33" s="705">
        <f t="shared" si="14"/>
        <v>100</v>
      </c>
      <c r="X33" s="3488"/>
      <c r="Y33" s="3797"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f>大宗!I28</f>
        <v>39145.39</v>
      </c>
      <c r="F34" s="376">
        <f>LOOKUP(E34,104:104,105:105)-LOOKUP(C34,104:104,105:105)+100</f>
        <v>101</v>
      </c>
      <c r="G34" s="380">
        <f>大宗!I2</f>
        <v>18396.150000000001</v>
      </c>
      <c r="H34" s="127">
        <f>LOOKUP(G34,104:104,105:105)-LOOKUP(C34,104:104,105:105)+100</f>
        <v>102</v>
      </c>
      <c r="I34" s="380">
        <f>大宗!I3</f>
        <v>14263.2</v>
      </c>
      <c r="J34" s="127">
        <f>LOOKUP(I34,104:104,105:105)-LOOKUP(C34,104:104,105:105)+100</f>
        <v>102</v>
      </c>
      <c r="K34" s="562"/>
      <c r="L34" s="2692"/>
      <c r="M34" s="2694"/>
      <c r="N34" s="2694"/>
      <c r="O34" s="2694"/>
      <c r="P34" s="3795"/>
      <c r="Q34" s="706" t="str">
        <f t="shared" si="11"/>
        <v>项目建筑规模</v>
      </c>
      <c r="R34" s="707" t="s">
        <v>14</v>
      </c>
      <c r="S34" s="708">
        <f t="shared" si="12"/>
        <v>101</v>
      </c>
      <c r="T34" s="707" t="s">
        <v>14</v>
      </c>
      <c r="U34" s="708">
        <f t="shared" si="13"/>
        <v>102</v>
      </c>
      <c r="V34" s="707" t="s">
        <v>14</v>
      </c>
      <c r="W34" s="708">
        <f t="shared" si="14"/>
        <v>102</v>
      </c>
      <c r="X34" s="709"/>
      <c r="Y34" s="3797"/>
      <c r="Z34" s="710" t="str">
        <f t="shared" si="15"/>
        <v>项目建筑规模</v>
      </c>
      <c r="AA34" s="3485">
        <f t="shared" si="3"/>
        <v>0.99009900990099009</v>
      </c>
      <c r="AB34" s="3485">
        <f t="shared" si="4"/>
        <v>0.98039215686274506</v>
      </c>
      <c r="AC34" s="1957">
        <f t="shared" si="5"/>
        <v>0.98039215686274506</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795"/>
      <c r="Q35" s="3484" t="str">
        <f t="shared" si="11"/>
        <v>建筑结构</v>
      </c>
      <c r="R35" s="704" t="s">
        <v>14</v>
      </c>
      <c r="S35" s="705">
        <f t="shared" si="12"/>
        <v>100</v>
      </c>
      <c r="T35" s="704" t="s">
        <v>14</v>
      </c>
      <c r="U35" s="705">
        <f t="shared" si="13"/>
        <v>100</v>
      </c>
      <c r="V35" s="704" t="s">
        <v>14</v>
      </c>
      <c r="W35" s="705">
        <f t="shared" si="14"/>
        <v>100</v>
      </c>
      <c r="X35" s="3488"/>
      <c r="Y35" s="3797"/>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795"/>
      <c r="Q36" s="3484" t="str">
        <f t="shared" si="11"/>
        <v>公共部分装修</v>
      </c>
      <c r="R36" s="704" t="s">
        <v>14</v>
      </c>
      <c r="S36" s="705">
        <f t="shared" si="12"/>
        <v>100</v>
      </c>
      <c r="T36" s="704" t="s">
        <v>14</v>
      </c>
      <c r="U36" s="705">
        <f t="shared" si="13"/>
        <v>100</v>
      </c>
      <c r="V36" s="704" t="s">
        <v>14</v>
      </c>
      <c r="W36" s="705">
        <f t="shared" si="14"/>
        <v>100</v>
      </c>
      <c r="X36" s="3488"/>
      <c r="Y36" s="3797"/>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3"/>
      <c r="M37" s="2687"/>
      <c r="N37" s="2687"/>
      <c r="O37" s="2687"/>
      <c r="P37" s="3795"/>
      <c r="Q37" s="3484" t="str">
        <f t="shared" si="11"/>
        <v>成新度</v>
      </c>
      <c r="R37" s="704" t="s">
        <v>14</v>
      </c>
      <c r="S37" s="705">
        <f t="shared" si="12"/>
        <v>94</v>
      </c>
      <c r="T37" s="704" t="s">
        <v>14</v>
      </c>
      <c r="U37" s="705">
        <f t="shared" si="13"/>
        <v>94</v>
      </c>
      <c r="V37" s="704" t="s">
        <v>14</v>
      </c>
      <c r="W37" s="705">
        <f t="shared" si="14"/>
        <v>97</v>
      </c>
      <c r="X37" s="3488"/>
      <c r="Y37" s="3797"/>
      <c r="Z37" s="3486" t="str">
        <f t="shared" si="15"/>
        <v>成新度</v>
      </c>
      <c r="AA37" s="3485">
        <f t="shared" si="3"/>
        <v>1.0638297872340425</v>
      </c>
      <c r="AB37" s="3485">
        <f t="shared" si="4"/>
        <v>1.0638297872340425</v>
      </c>
      <c r="AC37" s="1957">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795"/>
      <c r="Q38" s="3483" t="str">
        <f t="shared" si="11"/>
        <v>写字楼等级</v>
      </c>
      <c r="R38" s="700" t="s">
        <v>14</v>
      </c>
      <c r="S38" s="701">
        <f t="shared" si="12"/>
        <v>100</v>
      </c>
      <c r="T38" s="700" t="s">
        <v>14</v>
      </c>
      <c r="U38" s="701">
        <f t="shared" si="13"/>
        <v>100</v>
      </c>
      <c r="V38" s="700" t="s">
        <v>14</v>
      </c>
      <c r="W38" s="701">
        <f t="shared" si="14"/>
        <v>100</v>
      </c>
      <c r="X38" s="702"/>
      <c r="Y38" s="3797"/>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795" t="s">
        <v>1680</v>
      </c>
      <c r="Q39" s="3484" t="str">
        <f t="shared" si="11"/>
        <v>物业管理</v>
      </c>
      <c r="R39" s="704" t="s">
        <v>14</v>
      </c>
      <c r="S39" s="705">
        <f t="shared" si="12"/>
        <v>100</v>
      </c>
      <c r="T39" s="704" t="s">
        <v>14</v>
      </c>
      <c r="U39" s="705">
        <f t="shared" si="13"/>
        <v>100</v>
      </c>
      <c r="V39" s="704" t="s">
        <v>14</v>
      </c>
      <c r="W39" s="705">
        <f t="shared" si="14"/>
        <v>100</v>
      </c>
      <c r="X39" s="3488"/>
      <c r="Y39" s="3797"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795"/>
      <c r="Q40" s="3484" t="str">
        <f t="shared" si="11"/>
        <v>市政基础设施</v>
      </c>
      <c r="R40" s="704" t="s">
        <v>14</v>
      </c>
      <c r="S40" s="705">
        <f t="shared" si="12"/>
        <v>100</v>
      </c>
      <c r="T40" s="704" t="s">
        <v>14</v>
      </c>
      <c r="U40" s="705">
        <f t="shared" si="13"/>
        <v>100</v>
      </c>
      <c r="V40" s="704" t="s">
        <v>14</v>
      </c>
      <c r="W40" s="705">
        <f t="shared" si="14"/>
        <v>100</v>
      </c>
      <c r="X40" s="3488"/>
      <c r="Y40" s="3797"/>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795"/>
      <c r="Q41" s="3484" t="str">
        <f t="shared" si="11"/>
        <v>层高</v>
      </c>
      <c r="R41" s="704" t="s">
        <v>14</v>
      </c>
      <c r="S41" s="705">
        <f t="shared" si="12"/>
        <v>100</v>
      </c>
      <c r="T41" s="704" t="s">
        <v>14</v>
      </c>
      <c r="U41" s="705">
        <f t="shared" si="13"/>
        <v>100</v>
      </c>
      <c r="V41" s="704" t="s">
        <v>14</v>
      </c>
      <c r="W41" s="705">
        <f t="shared" si="14"/>
        <v>100</v>
      </c>
      <c r="X41" s="3488"/>
      <c r="Y41" s="3797"/>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795"/>
      <c r="Q42" s="706" t="str">
        <f t="shared" si="11"/>
        <v>单套建筑面积</v>
      </c>
      <c r="R42" s="707" t="s">
        <v>14</v>
      </c>
      <c r="S42" s="708">
        <f t="shared" si="12"/>
        <v>100</v>
      </c>
      <c r="T42" s="707" t="s">
        <v>14</v>
      </c>
      <c r="U42" s="708">
        <f t="shared" si="13"/>
        <v>100</v>
      </c>
      <c r="V42" s="707" t="s">
        <v>14</v>
      </c>
      <c r="W42" s="708">
        <f t="shared" si="14"/>
        <v>100</v>
      </c>
      <c r="X42" s="709"/>
      <c r="Y42" s="3797"/>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795"/>
      <c r="Q43" s="3484" t="str">
        <f t="shared" si="11"/>
        <v>内部装修</v>
      </c>
      <c r="R43" s="704" t="s">
        <v>14</v>
      </c>
      <c r="S43" s="705">
        <f t="shared" si="12"/>
        <v>100</v>
      </c>
      <c r="T43" s="704" t="s">
        <v>14</v>
      </c>
      <c r="U43" s="705">
        <f t="shared" si="13"/>
        <v>100</v>
      </c>
      <c r="V43" s="704" t="s">
        <v>14</v>
      </c>
      <c r="W43" s="705">
        <f t="shared" si="14"/>
        <v>100</v>
      </c>
      <c r="X43" s="3488"/>
      <c r="Y43" s="3797"/>
      <c r="Z43" s="3486" t="str">
        <f t="shared" si="15"/>
        <v>内部装修</v>
      </c>
      <c r="AA43" s="3485">
        <f t="shared" si="3"/>
        <v>1</v>
      </c>
      <c r="AB43" s="3485">
        <f t="shared" si="4"/>
        <v>1</v>
      </c>
      <c r="AC43" s="1957">
        <f t="shared" si="5"/>
        <v>1</v>
      </c>
    </row>
    <row r="44" spans="1:29" ht="28.8">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795"/>
      <c r="Q44" s="3484" t="str">
        <f t="shared" si="11"/>
        <v>内部装修维护情况</v>
      </c>
      <c r="R44" s="704" t="s">
        <v>14</v>
      </c>
      <c r="S44" s="705">
        <f t="shared" si="12"/>
        <v>100</v>
      </c>
      <c r="T44" s="704" t="s">
        <v>14</v>
      </c>
      <c r="U44" s="705">
        <f t="shared" si="13"/>
        <v>100</v>
      </c>
      <c r="V44" s="704" t="s">
        <v>14</v>
      </c>
      <c r="W44" s="705">
        <f t="shared" si="14"/>
        <v>100</v>
      </c>
      <c r="X44" s="3488"/>
      <c r="Y44" s="3797"/>
      <c r="Z44" s="3486" t="str">
        <f t="shared" si="15"/>
        <v>内部装修维护情况</v>
      </c>
      <c r="AA44" s="3485">
        <f t="shared" si="3"/>
        <v>1</v>
      </c>
      <c r="AB44" s="3485">
        <f t="shared" si="4"/>
        <v>1</v>
      </c>
      <c r="AC44" s="1957">
        <f t="shared" si="5"/>
        <v>1</v>
      </c>
    </row>
    <row r="45" spans="1:29" s="108" customFormat="1" ht="15">
      <c r="A45" s="424"/>
      <c r="B45" s="3437" t="s">
        <v>3400</v>
      </c>
      <c r="C45" s="416" t="s">
        <v>4348</v>
      </c>
      <c r="D45" s="127">
        <v>100</v>
      </c>
      <c r="E45" s="3556">
        <v>0.15</v>
      </c>
      <c r="F45" s="376">
        <f>SUMIF(127:127,E45,128:128)-SUMIF(127:127,C45,128:128)+100</f>
        <v>105</v>
      </c>
      <c r="G45" s="416" t="s">
        <v>4349</v>
      </c>
      <c r="H45" s="127">
        <f>SUMIF(127:127,G45,128:128)-SUMIF(127:127,C45,128:128)+100</f>
        <v>115</v>
      </c>
      <c r="I45" s="416" t="s">
        <v>4350</v>
      </c>
      <c r="J45" s="127">
        <f>SUMIF(127:127,I45,128:128)-SUMIF(127:127,C45,128:128)+100</f>
        <v>105</v>
      </c>
      <c r="K45" s="562"/>
      <c r="L45" s="2688"/>
      <c r="M45" s="2689"/>
      <c r="N45" s="2689"/>
      <c r="O45" s="2689"/>
      <c r="P45" s="3795"/>
      <c r="Q45" s="3483" t="str">
        <f t="shared" si="11"/>
        <v>地下占比</v>
      </c>
      <c r="R45" s="700" t="s">
        <v>14</v>
      </c>
      <c r="S45" s="701">
        <f t="shared" si="12"/>
        <v>105</v>
      </c>
      <c r="T45" s="700" t="s">
        <v>14</v>
      </c>
      <c r="U45" s="701">
        <f t="shared" si="13"/>
        <v>115</v>
      </c>
      <c r="V45" s="700" t="s">
        <v>14</v>
      </c>
      <c r="W45" s="701">
        <f t="shared" si="14"/>
        <v>105</v>
      </c>
      <c r="X45" s="702"/>
      <c r="Y45" s="3797"/>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536"/>
      <c r="J46" s="386">
        <f>SUMIF(129:129,I46,130:130)-SUMIF(129:129,C46,130:130)+100</f>
        <v>100</v>
      </c>
      <c r="K46" s="562"/>
      <c r="L46" s="2693"/>
      <c r="M46" s="2687"/>
      <c r="N46" s="2687"/>
      <c r="O46" s="2687"/>
      <c r="P46" s="3795"/>
      <c r="Q46" s="3484">
        <f t="shared" si="11"/>
        <v>111</v>
      </c>
      <c r="R46" s="704" t="s">
        <v>14</v>
      </c>
      <c r="S46" s="705">
        <f t="shared" si="12"/>
        <v>100</v>
      </c>
      <c r="T46" s="704" t="s">
        <v>14</v>
      </c>
      <c r="U46" s="705">
        <f t="shared" si="13"/>
        <v>100</v>
      </c>
      <c r="V46" s="704" t="s">
        <v>14</v>
      </c>
      <c r="W46" s="705">
        <f t="shared" si="14"/>
        <v>100</v>
      </c>
      <c r="X46" s="3488"/>
      <c r="Y46" s="3797"/>
      <c r="Z46" s="3486">
        <f t="shared" si="15"/>
        <v>111</v>
      </c>
      <c r="AA46" s="3485">
        <f t="shared" si="3"/>
        <v>1</v>
      </c>
      <c r="AB46" s="3485">
        <f t="shared" si="4"/>
        <v>1</v>
      </c>
      <c r="AC46" s="1957">
        <f t="shared" si="5"/>
        <v>1</v>
      </c>
    </row>
    <row r="47" spans="1:29" ht="15.6"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796"/>
      <c r="Q47" s="3484">
        <f t="shared" si="11"/>
        <v>111</v>
      </c>
      <c r="R47" s="704" t="s">
        <v>14</v>
      </c>
      <c r="S47" s="705">
        <f t="shared" si="12"/>
        <v>100</v>
      </c>
      <c r="T47" s="704" t="s">
        <v>14</v>
      </c>
      <c r="U47" s="705">
        <f t="shared" si="13"/>
        <v>100</v>
      </c>
      <c r="V47" s="704" t="s">
        <v>14</v>
      </c>
      <c r="W47" s="705">
        <f t="shared" si="14"/>
        <v>100</v>
      </c>
      <c r="X47" s="3488"/>
      <c r="Y47" s="3798"/>
      <c r="Z47" s="3486">
        <f t="shared" si="15"/>
        <v>111</v>
      </c>
      <c r="AA47" s="3485">
        <f t="shared" si="3"/>
        <v>1</v>
      </c>
      <c r="AB47" s="3485">
        <f t="shared" si="4"/>
        <v>1</v>
      </c>
      <c r="AC47" s="1957">
        <f t="shared" si="5"/>
        <v>1</v>
      </c>
    </row>
    <row r="48" spans="1:29" ht="14.4">
      <c r="A48" s="430" t="s">
        <v>1692</v>
      </c>
      <c r="B48" s="431"/>
      <c r="C48" s="1150" t="s">
        <v>0</v>
      </c>
      <c r="D48" s="1151"/>
      <c r="E48" s="1152">
        <f>大宗!M28</f>
        <v>63864</v>
      </c>
      <c r="F48" s="1153"/>
      <c r="G48" s="1154">
        <f>大宗!N2</f>
        <v>60981</v>
      </c>
      <c r="H48" s="1155"/>
      <c r="I48" s="1152">
        <f>大宗!M3</f>
        <v>69925</v>
      </c>
      <c r="J48" s="436"/>
      <c r="K48" s="713"/>
      <c r="L48" s="2695"/>
      <c r="M48" s="2687"/>
      <c r="N48" s="2687"/>
      <c r="O48" s="2687"/>
      <c r="P48" s="3784" t="str">
        <f>A48</f>
        <v>成交单价（元/平方米）</v>
      </c>
      <c r="Q48" s="3785"/>
      <c r="R48" s="3786">
        <f>E48</f>
        <v>63864</v>
      </c>
      <c r="S48" s="3786"/>
      <c r="T48" s="3786">
        <f>G48</f>
        <v>60981</v>
      </c>
      <c r="U48" s="3786"/>
      <c r="V48" s="3786">
        <f>I48</f>
        <v>69925</v>
      </c>
      <c r="W48" s="3786"/>
      <c r="X48" s="397"/>
      <c r="Y48" s="711"/>
      <c r="Z48" s="397"/>
      <c r="AA48" s="397"/>
      <c r="AB48" s="397"/>
      <c r="AC48" s="578"/>
    </row>
    <row r="49" spans="1:60" ht="15" thickBot="1">
      <c r="A49" s="437" t="s">
        <v>1693</v>
      </c>
      <c r="B49" s="438"/>
      <c r="C49" s="1156">
        <f>R50</f>
        <v>69754</v>
      </c>
      <c r="D49" s="2312" t="s">
        <v>2120</v>
      </c>
      <c r="E49" s="1157">
        <f>R49</f>
        <v>72456</v>
      </c>
      <c r="F49" s="2313"/>
      <c r="G49" s="1156">
        <f>T49</f>
        <v>65197</v>
      </c>
      <c r="H49" s="2313"/>
      <c r="I49" s="1157">
        <f>V49</f>
        <v>71610</v>
      </c>
      <c r="J49" s="2313"/>
      <c r="K49" s="2315">
        <f>F49+H49+J49</f>
        <v>0</v>
      </c>
      <c r="L49" s="2695"/>
      <c r="M49" s="2687"/>
      <c r="N49" s="2687"/>
      <c r="O49" s="2687"/>
      <c r="P49" s="3784" t="str">
        <f>A49</f>
        <v>比较价值（元/平方米）</v>
      </c>
      <c r="Q49" s="3785"/>
      <c r="R49" s="3786">
        <f>IF(F1="售价",ROUND(PRODUCT(R48,AA7:AA47),0),ROUND(PRODUCT(R48,AA7:AA47),1))</f>
        <v>72456</v>
      </c>
      <c r="S49" s="3786"/>
      <c r="T49" s="3786">
        <f>IF(F1="售价",ROUND(PRODUCT(T48,AB7:AB47),0),ROUND(PRODUCT(T48,AB7:AB47),1))</f>
        <v>65197</v>
      </c>
      <c r="U49" s="3786"/>
      <c r="V49" s="3786">
        <f>IF(F1="售价",ROUND(PRODUCT(V48,AC7:AC47),0),ROUND(PRODUCT(V48,AC7:AC47),1))</f>
        <v>71610</v>
      </c>
      <c r="W49" s="3786"/>
      <c r="X49" s="397"/>
      <c r="Y49" s="397"/>
      <c r="Z49" s="397"/>
      <c r="AA49" s="397"/>
      <c r="AB49" s="397"/>
      <c r="AC49" s="578"/>
    </row>
    <row r="50" spans="1:60" ht="15" thickBot="1">
      <c r="A50" s="441" t="s">
        <v>1694</v>
      </c>
      <c r="B50" s="442"/>
      <c r="C50" s="1159">
        <f>R50</f>
        <v>69754</v>
      </c>
      <c r="D50" s="1159"/>
      <c r="E50" s="1159"/>
      <c r="F50" s="1159"/>
      <c r="G50" s="1159"/>
      <c r="H50" s="1159"/>
      <c r="I50" s="1159"/>
      <c r="J50" s="443"/>
      <c r="K50" s="714"/>
      <c r="L50" s="2695"/>
      <c r="M50" s="2687"/>
      <c r="N50" s="2687"/>
      <c r="O50" s="2687"/>
      <c r="P50" s="3787" t="str">
        <f>A50</f>
        <v>估价对象XX用房的比较价值（楼面单价，元/平方米）</v>
      </c>
      <c r="Q50" s="3788"/>
      <c r="R50" s="3789">
        <f>IF(F1="售价",ROUND(IF(D49="简单平均",AVERAGE(R49:V49),R49*F49+T49*H49+V49*J49),0),ROUND(IF(D49="简单平均",AVERAGE(R49:V49),R49*F49+T49*H49+V49*J49),1))</f>
        <v>69754</v>
      </c>
      <c r="S50" s="3789"/>
      <c r="T50" s="3789"/>
      <c r="U50" s="3789"/>
      <c r="V50" s="3789"/>
      <c r="W50" s="3789"/>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0.13453588876362277</v>
      </c>
      <c r="F53" s="449" t="str">
        <f>IF(OR(E53&gt;=0.3,E53&lt;=-0.3),"超过30%","")</f>
        <v/>
      </c>
      <c r="G53" s="448">
        <f>IF(G48&lt;G49,G49/G48-1,G48/G49-1)</f>
        <v>6.9136288352109609E-2</v>
      </c>
      <c r="H53" s="449" t="str">
        <f>IF(OR(G53&gt;=0.3,G53&lt;=-0.3),"超过30%","")</f>
        <v/>
      </c>
      <c r="I53" s="448">
        <f>IF(I48&lt;I49,I49/I48-1,I48/I49-1)</f>
        <v>2.4097247050411053E-2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0.11133947881037476</v>
      </c>
      <c r="F54" s="449" t="str">
        <f>IF(OR(E54&gt;=0.2,E54&lt;=-0.2),"超过20%","")</f>
        <v/>
      </c>
      <c r="G54" s="448">
        <f>IF(G49&lt;I49,I49/G49-1,G49/I49-1)</f>
        <v>9.8363421629829695E-2</v>
      </c>
      <c r="H54" s="449" t="str">
        <f>IF(OR(G54&gt;=0.2,G54&lt;=-0.2),"超过20%","")</f>
        <v/>
      </c>
      <c r="I54" s="448">
        <f>IF(I49&lt;E49,E49/I49-1,I49/E49-1)</f>
        <v>1.1813992459153821E-2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2.2"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4.4">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4.4">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4.4"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ht="14.4">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4.4" thickBot="1">
      <c r="A65" s="483"/>
      <c r="B65" s="484"/>
      <c r="C65" s="485">
        <v>100</v>
      </c>
      <c r="D65" s="485">
        <v>95</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9.4" thickTop="1">
      <c r="A66" s="483"/>
      <c r="B66" s="487" t="s">
        <v>1672</v>
      </c>
      <c r="C66" s="532" t="s">
        <v>4343</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4.4" thickBot="1">
      <c r="A67" s="483"/>
      <c r="B67" s="492"/>
      <c r="C67" s="485">
        <v>100</v>
      </c>
      <c r="D67" s="485">
        <f>C67-1</f>
        <v>99</v>
      </c>
      <c r="E67" s="485">
        <f>D67-1</f>
        <v>98</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4.4"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4.4"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4.4"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4.4"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4.4"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4.4"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4.4"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ht="14.4">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4.4"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4.4"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4.4"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4.4"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4.4" thickBot="1">
      <c r="A86" s="483"/>
      <c r="B86" s="492"/>
      <c r="C86" s="493">
        <v>100</v>
      </c>
      <c r="D86" s="493">
        <f>C86-$K23</f>
        <v>95</v>
      </c>
      <c r="E86" s="493">
        <f>D86-$K23</f>
        <v>90</v>
      </c>
      <c r="F86" s="493">
        <f>E86-$K23</f>
        <v>85</v>
      </c>
      <c r="G86" s="493">
        <f>F86-$K23</f>
        <v>80</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9.4"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4.4"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4.4"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4.4"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4.4"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4.4"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4.4" thickBot="1">
      <c r="A94" s="483"/>
      <c r="B94" s="492"/>
      <c r="C94" s="509">
        <v>100</v>
      </c>
      <c r="D94" s="485">
        <f>C94+K15</f>
        <v>105</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4.4"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4.4"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4.4"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4.4"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4.4"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4.4"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ht="14.4">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4.4"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8.2"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4.4"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4.4"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4.4"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4.4"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4.4"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4.4"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4.4"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4.4"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4.4"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29.4"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4.4" thickTop="1">
      <c r="A127" s="542"/>
      <c r="B127" s="487" t="str">
        <f>B45</f>
        <v>地下占比</v>
      </c>
      <c r="C127" s="3555">
        <v>0</v>
      </c>
      <c r="D127" s="3555">
        <v>0.15</v>
      </c>
      <c r="E127" s="3438" t="s">
        <v>4347</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4.4" thickBot="1">
      <c r="A128" s="502"/>
      <c r="B128" s="492"/>
      <c r="C128" s="509">
        <v>100</v>
      </c>
      <c r="D128" s="485">
        <v>90</v>
      </c>
      <c r="E128" s="485">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4.4"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4.4"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4.4"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4.4"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ht="14.4">
      <c r="C134" s="3551" t="s">
        <v>4346</v>
      </c>
      <c r="D134" s="357">
        <v>50000</v>
      </c>
      <c r="E134" s="357">
        <v>50000</v>
      </c>
      <c r="F134" s="357">
        <f>E134</f>
        <v>50000</v>
      </c>
    </row>
    <row r="135" spans="1:29" ht="14.4">
      <c r="C135" s="3551" t="s">
        <v>4344</v>
      </c>
      <c r="D135" s="357">
        <f>D134-D136</f>
        <v>50000</v>
      </c>
      <c r="E135" s="357">
        <f t="shared" ref="E135:F135" si="32">E134-E136</f>
        <v>42500</v>
      </c>
      <c r="F135" s="357">
        <f t="shared" si="32"/>
        <v>37500</v>
      </c>
      <c r="G135" s="357">
        <v>70000</v>
      </c>
    </row>
    <row r="136" spans="1:29" ht="14.4">
      <c r="C136" s="3551" t="s">
        <v>4345</v>
      </c>
      <c r="D136" s="357">
        <f>D134*D137</f>
        <v>0</v>
      </c>
      <c r="E136" s="357">
        <f t="shared" ref="E136:F136" si="33">E134*E137</f>
        <v>7500</v>
      </c>
      <c r="F136" s="357">
        <f t="shared" si="33"/>
        <v>12500</v>
      </c>
      <c r="G136" s="357">
        <v>20000</v>
      </c>
    </row>
    <row r="137" spans="1:29">
      <c r="D137" s="3553">
        <v>0</v>
      </c>
      <c r="E137" s="3553">
        <v>0.15</v>
      </c>
      <c r="F137" s="3553">
        <v>0.25</v>
      </c>
    </row>
    <row r="138" spans="1:29">
      <c r="D138" s="357">
        <f>(D135*G135+D136*G136)/D134</f>
        <v>70000</v>
      </c>
      <c r="E138" s="357">
        <f>(E135*G135+E136*G136)/E134</f>
        <v>62500</v>
      </c>
      <c r="F138" s="357">
        <f>(F135*G135+F136*G136)/F134</f>
        <v>57500</v>
      </c>
    </row>
    <row r="139" spans="1:29">
      <c r="E139" s="3554">
        <f>(E138-D138)/E138</f>
        <v>-0.12</v>
      </c>
      <c r="F139" s="3554">
        <f>(F138-D138)/F138</f>
        <v>-0.21739130434782608</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3.2"/>
  <cols>
    <col min="1" max="1" width="30.66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890" t="s">
        <v>2068</v>
      </c>
      <c r="D1" s="3891"/>
      <c r="E1" s="3891"/>
      <c r="F1" s="3891"/>
      <c r="G1" s="3891"/>
      <c r="H1" s="3891"/>
      <c r="I1" s="3891"/>
      <c r="J1" s="3891"/>
      <c r="K1" s="3891"/>
      <c r="L1" s="3891"/>
      <c r="M1" s="3891"/>
      <c r="N1" s="3891"/>
      <c r="O1" s="3891"/>
      <c r="P1" s="3891"/>
      <c r="Q1" s="3891"/>
      <c r="R1" s="3891"/>
      <c r="S1" s="3892"/>
      <c r="T1" s="979" t="s">
        <v>2069</v>
      </c>
    </row>
    <row r="2" spans="1:45" s="655" customFormat="1" ht="39.6">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8"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2"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6">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87" t="s">
        <v>27</v>
      </c>
      <c r="D22" s="3888"/>
      <c r="E22" s="3888"/>
      <c r="F22" s="3888"/>
      <c r="G22" s="3888"/>
      <c r="H22" s="3888"/>
      <c r="I22" s="3888"/>
      <c r="J22" s="3888"/>
      <c r="K22" s="3888"/>
      <c r="L22" s="3888"/>
      <c r="M22" s="3888"/>
      <c r="N22" s="3888"/>
      <c r="O22" s="3888"/>
      <c r="P22" s="3888"/>
      <c r="Q22" s="3889"/>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3.8"/>
  <cols>
    <col min="1" max="1" width="14.33203125" style="357" customWidth="1"/>
    <col min="2" max="2" width="15.77734375" style="357" customWidth="1"/>
    <col min="3" max="3" width="18.7773437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4.4">
      <c r="A4" s="355" t="s">
        <v>1753</v>
      </c>
      <c r="B4" s="356"/>
      <c r="C4" s="3802" t="s">
        <v>1754</v>
      </c>
      <c r="D4" s="3803"/>
      <c r="E4" s="3804" t="s">
        <v>1755</v>
      </c>
      <c r="F4" s="3805"/>
      <c r="G4" s="3802" t="s">
        <v>1756</v>
      </c>
      <c r="H4" s="3803"/>
      <c r="I4" s="3802" t="s">
        <v>1757</v>
      </c>
      <c r="J4" s="3803"/>
      <c r="K4" s="559" t="s">
        <v>1758</v>
      </c>
      <c r="L4" s="2686"/>
      <c r="M4" s="2687"/>
      <c r="N4" s="2687"/>
      <c r="O4" s="2687"/>
      <c r="P4" s="3840" t="s">
        <v>1759</v>
      </c>
      <c r="Q4" s="3841"/>
      <c r="R4" s="3844" t="s">
        <v>1755</v>
      </c>
      <c r="S4" s="3845"/>
      <c r="T4" s="3844" t="s">
        <v>1756</v>
      </c>
      <c r="U4" s="3845"/>
      <c r="V4" s="3819" t="s">
        <v>1757</v>
      </c>
      <c r="W4" s="3819"/>
      <c r="X4" s="1350"/>
      <c r="Y4" s="3844" t="s">
        <v>1759</v>
      </c>
      <c r="Z4" s="3845"/>
      <c r="AA4" s="3839" t="s">
        <v>1755</v>
      </c>
      <c r="AB4" s="3832" t="s">
        <v>1756</v>
      </c>
      <c r="AC4" s="3839" t="s">
        <v>1757</v>
      </c>
    </row>
    <row r="5" spans="1:30" ht="75" customHeight="1">
      <c r="A5" s="358"/>
      <c r="B5" s="359"/>
      <c r="C5" s="3828" t="s">
        <v>1657</v>
      </c>
      <c r="D5" s="3823"/>
      <c r="E5" s="3834" t="str">
        <f>土地案例!A2</f>
        <v>北京市朝阳区太阳宫乡0301-613地块B4综合性商业金融服务业用地</v>
      </c>
      <c r="F5" s="3835"/>
      <c r="G5" s="3828" t="str">
        <f>土地案例!A3</f>
        <v>北京市海淀区西八里庄0711-652、640、641地块B4综合性商业金融服务业用地</v>
      </c>
      <c r="H5" s="3823"/>
      <c r="I5" s="3828" t="s">
        <v>3438</v>
      </c>
      <c r="J5" s="3823"/>
      <c r="K5" s="559"/>
      <c r="L5" s="2686"/>
      <c r="M5" s="2687"/>
      <c r="N5" s="2687"/>
      <c r="O5" s="2687"/>
      <c r="P5" s="3842"/>
      <c r="Q5" s="3809"/>
      <c r="R5" s="3814"/>
      <c r="S5" s="3815"/>
      <c r="T5" s="3814"/>
      <c r="U5" s="3815"/>
      <c r="V5" s="3819"/>
      <c r="W5" s="3819"/>
      <c r="X5" s="1350"/>
      <c r="Y5" s="3814"/>
      <c r="Z5" s="3815"/>
      <c r="AA5" s="3832"/>
      <c r="AB5" s="3832"/>
      <c r="AC5" s="3832"/>
    </row>
    <row r="6" spans="1:30" ht="15" thickBot="1">
      <c r="A6" s="360"/>
      <c r="B6" s="361"/>
      <c r="C6" s="3820" t="s">
        <v>1661</v>
      </c>
      <c r="D6" s="3821"/>
      <c r="E6" s="3829" t="s">
        <v>1661</v>
      </c>
      <c r="F6" s="3830"/>
      <c r="G6" s="3820" t="s">
        <v>1661</v>
      </c>
      <c r="H6" s="3821"/>
      <c r="I6" s="3820" t="s">
        <v>1661</v>
      </c>
      <c r="J6" s="3821"/>
      <c r="K6" s="559" t="s">
        <v>1662</v>
      </c>
      <c r="L6" s="2686"/>
      <c r="M6" s="2687"/>
      <c r="N6" s="2687"/>
      <c r="O6" s="2687"/>
      <c r="P6" s="3843"/>
      <c r="Q6" s="3811"/>
      <c r="R6" s="3814"/>
      <c r="S6" s="3815"/>
      <c r="T6" s="3816"/>
      <c r="U6" s="3817"/>
      <c r="V6" s="3819"/>
      <c r="W6" s="3819"/>
      <c r="X6" s="1350"/>
      <c r="Y6" s="3816"/>
      <c r="Z6" s="3817"/>
      <c r="AA6" s="3833"/>
      <c r="AB6" s="3833"/>
      <c r="AC6" s="3833"/>
    </row>
    <row r="7" spans="1:30" s="108" customFormat="1" ht="15" thickBot="1">
      <c r="A7" s="362" t="s">
        <v>1663</v>
      </c>
      <c r="B7" s="363"/>
      <c r="C7" s="364">
        <f>'数据-取费表'!B2</f>
        <v>45309</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826" t="s">
        <v>1664</v>
      </c>
      <c r="Q7" s="3827"/>
      <c r="R7" s="700" t="s">
        <v>14</v>
      </c>
      <c r="S7" s="701">
        <f t="shared" ref="S7:S15" si="0">F7</f>
        <v>99</v>
      </c>
      <c r="T7" s="700" t="s">
        <v>14</v>
      </c>
      <c r="U7" s="701">
        <f t="shared" ref="U7:U15" si="1">H7</f>
        <v>0</v>
      </c>
      <c r="V7" s="700" t="s">
        <v>14</v>
      </c>
      <c r="W7" s="701">
        <f t="shared" ref="W7:W15" si="2">J7</f>
        <v>98</v>
      </c>
      <c r="X7" s="702"/>
      <c r="Y7" s="3826" t="s">
        <v>1664</v>
      </c>
      <c r="Z7" s="3825"/>
      <c r="AA7" s="703">
        <f>D7/F7</f>
        <v>1.0101010101010102</v>
      </c>
      <c r="AB7" s="703" t="e">
        <f>D7/H7</f>
        <v>#DIV/0!</v>
      </c>
      <c r="AC7" s="703">
        <f>D7/J7</f>
        <v>1.0204081632653061</v>
      </c>
    </row>
    <row r="8" spans="1:30" s="108" customFormat="1" ht="1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826" t="s">
        <v>1667</v>
      </c>
      <c r="Q8" s="3825"/>
      <c r="R8" s="700" t="s">
        <v>14</v>
      </c>
      <c r="S8" s="701">
        <f t="shared" si="0"/>
        <v>100</v>
      </c>
      <c r="T8" s="700" t="s">
        <v>14</v>
      </c>
      <c r="U8" s="701">
        <f t="shared" si="1"/>
        <v>100</v>
      </c>
      <c r="V8" s="700" t="s">
        <v>14</v>
      </c>
      <c r="W8" s="701">
        <f t="shared" si="2"/>
        <v>100</v>
      </c>
      <c r="X8" s="702"/>
      <c r="Y8" s="3826" t="s">
        <v>1667</v>
      </c>
      <c r="Z8" s="3825"/>
      <c r="AA8" s="703">
        <f t="shared" ref="AA8:AA45" si="3">D8/F8</f>
        <v>1</v>
      </c>
      <c r="AB8" s="703">
        <f t="shared" ref="AB8:AB45" si="4">D8/H8</f>
        <v>1</v>
      </c>
      <c r="AC8" s="703">
        <f t="shared" ref="AC8:AC45" si="5">D8/J8</f>
        <v>1</v>
      </c>
    </row>
    <row r="9" spans="1:30" s="108" customFormat="1" ht="41.4">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785" t="s">
        <v>1670</v>
      </c>
      <c r="Q9" s="1338" t="str">
        <f t="shared" ref="Q9:Q15" si="6">B9</f>
        <v>用途</v>
      </c>
      <c r="R9" s="700" t="s">
        <v>14</v>
      </c>
      <c r="S9" s="701">
        <f t="shared" si="0"/>
        <v>100</v>
      </c>
      <c r="T9" s="700" t="s">
        <v>14</v>
      </c>
      <c r="U9" s="701">
        <f t="shared" si="1"/>
        <v>100</v>
      </c>
      <c r="V9" s="700" t="s">
        <v>14</v>
      </c>
      <c r="W9" s="701">
        <f t="shared" si="2"/>
        <v>100</v>
      </c>
      <c r="X9" s="702"/>
      <c r="Y9" s="3663" t="s">
        <v>1671</v>
      </c>
      <c r="Z9" s="52" t="str">
        <f t="shared" ref="Z9:Z15" si="7">Q9</f>
        <v>用途</v>
      </c>
      <c r="AA9" s="703">
        <f t="shared" si="3"/>
        <v>1</v>
      </c>
      <c r="AB9" s="703">
        <f t="shared" si="4"/>
        <v>1</v>
      </c>
      <c r="AC9" s="703">
        <f t="shared" si="5"/>
        <v>1</v>
      </c>
    </row>
    <row r="10" spans="1:30" s="378" customFormat="1" ht="28.8">
      <c r="A10" s="374"/>
      <c r="B10" s="375" t="s">
        <v>1672</v>
      </c>
      <c r="C10" s="383">
        <f>'数据-取费表'!F6</f>
        <v>20.64</v>
      </c>
      <c r="D10" s="127">
        <v>100</v>
      </c>
      <c r="E10" s="416" t="s">
        <v>3431</v>
      </c>
      <c r="F10" s="127">
        <f>ROUND(100/'数据-取费表'!G16,0)</f>
        <v>125</v>
      </c>
      <c r="G10" s="414" t="s">
        <v>4198</v>
      </c>
      <c r="H10" s="127">
        <f>ROUND(100/'数据-取费表'!G16,0)</f>
        <v>125</v>
      </c>
      <c r="I10" s="414" t="s">
        <v>3431</v>
      </c>
      <c r="J10" s="127">
        <f>ROUND(100/'数据-取费表'!G16,0)</f>
        <v>125</v>
      </c>
      <c r="K10" s="620"/>
      <c r="L10" s="2690"/>
      <c r="M10" s="2691"/>
      <c r="N10" s="2691"/>
      <c r="O10" s="2744"/>
      <c r="P10" s="3785"/>
      <c r="Q10" s="1338" t="str">
        <f t="shared" si="6"/>
        <v>土地使用年限（年）</v>
      </c>
      <c r="R10" s="700" t="s">
        <v>14</v>
      </c>
      <c r="S10" s="701">
        <f t="shared" si="0"/>
        <v>125</v>
      </c>
      <c r="T10" s="700" t="s">
        <v>14</v>
      </c>
      <c r="U10" s="701">
        <f t="shared" si="1"/>
        <v>125</v>
      </c>
      <c r="V10" s="700" t="s">
        <v>14</v>
      </c>
      <c r="W10" s="701">
        <f t="shared" si="2"/>
        <v>125</v>
      </c>
      <c r="X10" s="702"/>
      <c r="Y10" s="3663"/>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785"/>
      <c r="Q11" s="1338" t="str">
        <f t="shared" si="6"/>
        <v>容积率</v>
      </c>
      <c r="R11" s="700" t="s">
        <v>14</v>
      </c>
      <c r="S11" s="701">
        <f t="shared" si="0"/>
        <v>102</v>
      </c>
      <c r="T11" s="700" t="s">
        <v>14</v>
      </c>
      <c r="U11" s="701">
        <f t="shared" si="1"/>
        <v>102</v>
      </c>
      <c r="V11" s="700" t="s">
        <v>14</v>
      </c>
      <c r="W11" s="701">
        <f t="shared" si="2"/>
        <v>102</v>
      </c>
      <c r="X11" s="702"/>
      <c r="Y11" s="3663"/>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785"/>
      <c r="Q12" s="1338" t="str">
        <f t="shared" si="6"/>
        <v>配建</v>
      </c>
      <c r="R12" s="700" t="s">
        <v>14</v>
      </c>
      <c r="S12" s="701">
        <f t="shared" si="0"/>
        <v>100</v>
      </c>
      <c r="T12" s="700" t="s">
        <v>14</v>
      </c>
      <c r="U12" s="701">
        <f t="shared" si="1"/>
        <v>100</v>
      </c>
      <c r="V12" s="700" t="s">
        <v>14</v>
      </c>
      <c r="W12" s="701">
        <f t="shared" si="2"/>
        <v>100</v>
      </c>
      <c r="X12" s="702"/>
      <c r="Y12" s="3663"/>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785"/>
      <c r="Q13" s="1338">
        <f t="shared" si="6"/>
        <v>111</v>
      </c>
      <c r="R13" s="700" t="s">
        <v>14</v>
      </c>
      <c r="S13" s="701">
        <f t="shared" si="0"/>
        <v>100</v>
      </c>
      <c r="T13" s="700" t="s">
        <v>14</v>
      </c>
      <c r="U13" s="701">
        <f t="shared" si="1"/>
        <v>100</v>
      </c>
      <c r="V13" s="700" t="s">
        <v>14</v>
      </c>
      <c r="W13" s="701">
        <f t="shared" si="2"/>
        <v>100</v>
      </c>
      <c r="X13" s="702"/>
      <c r="Y13" s="3663"/>
      <c r="Z13" s="52">
        <f t="shared" si="7"/>
        <v>111</v>
      </c>
      <c r="AA13" s="703">
        <f>D13/F13</f>
        <v>1</v>
      </c>
      <c r="AB13" s="703">
        <f>D13/H13</f>
        <v>1</v>
      </c>
      <c r="AC13" s="703">
        <f>D13/J13</f>
        <v>1</v>
      </c>
    </row>
    <row r="14" spans="1:30" ht="15.6"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785"/>
      <c r="Q14" s="1338">
        <f t="shared" si="6"/>
        <v>111</v>
      </c>
      <c r="R14" s="700" t="s">
        <v>14</v>
      </c>
      <c r="S14" s="701">
        <f t="shared" si="0"/>
        <v>100</v>
      </c>
      <c r="T14" s="700" t="s">
        <v>14</v>
      </c>
      <c r="U14" s="701">
        <f t="shared" si="1"/>
        <v>100</v>
      </c>
      <c r="V14" s="700" t="s">
        <v>14</v>
      </c>
      <c r="W14" s="701">
        <f t="shared" si="2"/>
        <v>100</v>
      </c>
      <c r="X14" s="702"/>
      <c r="Y14" s="3663"/>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792" t="s">
        <v>1675</v>
      </c>
      <c r="Q15" s="1347" t="str">
        <f t="shared" si="6"/>
        <v>居住社区成熟度</v>
      </c>
      <c r="R15" s="704" t="s">
        <v>14</v>
      </c>
      <c r="S15" s="705">
        <f t="shared" si="0"/>
        <v>100</v>
      </c>
      <c r="T15" s="704" t="s">
        <v>14</v>
      </c>
      <c r="U15" s="705">
        <f t="shared" si="1"/>
        <v>100</v>
      </c>
      <c r="V15" s="704" t="s">
        <v>14</v>
      </c>
      <c r="W15" s="705">
        <f t="shared" si="2"/>
        <v>100</v>
      </c>
      <c r="X15" s="1350"/>
      <c r="Y15" s="3792"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793"/>
      <c r="Q16" s="1347"/>
      <c r="R16" s="704"/>
      <c r="S16" s="705"/>
      <c r="T16" s="704"/>
      <c r="U16" s="705"/>
      <c r="V16" s="704"/>
      <c r="W16" s="705"/>
      <c r="X16" s="1350"/>
      <c r="Y16" s="3793"/>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793"/>
      <c r="Q17" s="1347" t="str">
        <f>B17</f>
        <v>商业繁华度</v>
      </c>
      <c r="R17" s="704" t="s">
        <v>14</v>
      </c>
      <c r="S17" s="705">
        <f>F17</f>
        <v>102</v>
      </c>
      <c r="T17" s="704" t="s">
        <v>14</v>
      </c>
      <c r="U17" s="705">
        <f>H17</f>
        <v>100</v>
      </c>
      <c r="V17" s="704" t="s">
        <v>14</v>
      </c>
      <c r="W17" s="705">
        <f>J17</f>
        <v>102</v>
      </c>
      <c r="X17" s="1350"/>
      <c r="Y17" s="3793"/>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793"/>
      <c r="Q18" s="1347"/>
      <c r="R18" s="704"/>
      <c r="S18" s="705"/>
      <c r="T18" s="704"/>
      <c r="U18" s="705"/>
      <c r="V18" s="704"/>
      <c r="W18" s="705"/>
      <c r="X18" s="1350"/>
      <c r="Y18" s="3793"/>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793"/>
      <c r="Q19" s="1347" t="str">
        <f>B19</f>
        <v>办公集聚程度</v>
      </c>
      <c r="R19" s="704" t="s">
        <v>14</v>
      </c>
      <c r="S19" s="705">
        <f>F19</f>
        <v>100</v>
      </c>
      <c r="T19" s="704" t="s">
        <v>14</v>
      </c>
      <c r="U19" s="705">
        <f>H19</f>
        <v>100</v>
      </c>
      <c r="V19" s="704" t="s">
        <v>14</v>
      </c>
      <c r="W19" s="705">
        <f>J19</f>
        <v>96</v>
      </c>
      <c r="X19" s="1350"/>
      <c r="Y19" s="3793"/>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793"/>
      <c r="Q20" s="1347"/>
      <c r="R20" s="704"/>
      <c r="S20" s="705"/>
      <c r="T20" s="704"/>
      <c r="U20" s="705"/>
      <c r="V20" s="704"/>
      <c r="W20" s="705"/>
      <c r="X20" s="1350"/>
      <c r="Y20" s="3793"/>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793"/>
      <c r="Q21" s="1347" t="str">
        <f>B21</f>
        <v>交通便捷度</v>
      </c>
      <c r="R21" s="704" t="s">
        <v>14</v>
      </c>
      <c r="S21" s="705">
        <f>F21</f>
        <v>100</v>
      </c>
      <c r="T21" s="704" t="s">
        <v>14</v>
      </c>
      <c r="U21" s="705">
        <f>H21</f>
        <v>100</v>
      </c>
      <c r="V21" s="704" t="s">
        <v>14</v>
      </c>
      <c r="W21" s="705">
        <f>J21</f>
        <v>98</v>
      </c>
      <c r="X21" s="1350"/>
      <c r="Y21" s="3793"/>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793"/>
      <c r="Q22" s="1347"/>
      <c r="R22" s="704"/>
      <c r="S22" s="705"/>
      <c r="T22" s="704"/>
      <c r="U22" s="705"/>
      <c r="V22" s="704"/>
      <c r="W22" s="705"/>
      <c r="X22" s="1350"/>
      <c r="Y22" s="3793"/>
      <c r="Z22" s="1351"/>
      <c r="AA22" s="1348">
        <v>1</v>
      </c>
      <c r="AB22" s="1348">
        <v>1</v>
      </c>
      <c r="AC22" s="1348">
        <v>1</v>
      </c>
    </row>
    <row r="23" spans="1:29" ht="28.8">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793"/>
      <c r="Q23" s="1347" t="str">
        <f t="shared" ref="Q23:Q37" si="8">B23</f>
        <v>区域土地利用方向</v>
      </c>
      <c r="R23" s="704" t="s">
        <v>14</v>
      </c>
      <c r="S23" s="705">
        <f>F23</f>
        <v>100</v>
      </c>
      <c r="T23" s="704" t="s">
        <v>14</v>
      </c>
      <c r="U23" s="705">
        <f>H23</f>
        <v>100</v>
      </c>
      <c r="V23" s="704" t="s">
        <v>14</v>
      </c>
      <c r="W23" s="705">
        <f>J23</f>
        <v>100</v>
      </c>
      <c r="X23" s="1350"/>
      <c r="Y23" s="3793"/>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793"/>
      <c r="Q24" s="1347"/>
      <c r="R24" s="704"/>
      <c r="S24" s="705"/>
      <c r="T24" s="704"/>
      <c r="U24" s="705"/>
      <c r="V24" s="704"/>
      <c r="W24" s="705"/>
      <c r="X24" s="1350"/>
      <c r="Y24" s="3793"/>
      <c r="Z24" s="1351"/>
      <c r="AA24" s="1348"/>
      <c r="AB24" s="1348"/>
      <c r="AC24" s="1348"/>
    </row>
    <row r="25" spans="1:29" ht="28.8">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793"/>
      <c r="Q25" s="1347" t="str">
        <f t="shared" si="8"/>
        <v>自然及人文环境状况</v>
      </c>
      <c r="R25" s="704" t="s">
        <v>14</v>
      </c>
      <c r="S25" s="705">
        <f>F25</f>
        <v>100</v>
      </c>
      <c r="T25" s="704" t="s">
        <v>14</v>
      </c>
      <c r="U25" s="705">
        <f>H25</f>
        <v>100</v>
      </c>
      <c r="V25" s="704" t="s">
        <v>14</v>
      </c>
      <c r="W25" s="705">
        <f>J25</f>
        <v>100</v>
      </c>
      <c r="X25" s="1350"/>
      <c r="Y25" s="3793"/>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793"/>
      <c r="Q26" s="1347"/>
      <c r="R26" s="704"/>
      <c r="S26" s="705"/>
      <c r="T26" s="704"/>
      <c r="U26" s="705"/>
      <c r="V26" s="704"/>
      <c r="W26" s="705"/>
      <c r="X26" s="1350"/>
      <c r="Y26" s="3793"/>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793"/>
      <c r="Q27" s="1338" t="str">
        <f t="shared" si="8"/>
        <v>公共配套设施</v>
      </c>
      <c r="R27" s="700" t="s">
        <v>14</v>
      </c>
      <c r="S27" s="701">
        <f>F27</f>
        <v>100</v>
      </c>
      <c r="T27" s="700" t="s">
        <v>14</v>
      </c>
      <c r="U27" s="701">
        <f>H27</f>
        <v>100</v>
      </c>
      <c r="V27" s="700" t="s">
        <v>14</v>
      </c>
      <c r="W27" s="701">
        <f>J27</f>
        <v>100</v>
      </c>
      <c r="X27" s="702"/>
      <c r="Y27" s="3793"/>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793"/>
      <c r="Q28" s="1338"/>
      <c r="R28" s="700"/>
      <c r="S28" s="701"/>
      <c r="T28" s="700"/>
      <c r="U28" s="701"/>
      <c r="V28" s="700"/>
      <c r="W28" s="701"/>
      <c r="X28" s="702"/>
      <c r="Y28" s="3793"/>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793"/>
      <c r="Q29" s="1338" t="str">
        <f t="shared" ref="Q29" si="9">B29</f>
        <v>基础设施水平</v>
      </c>
      <c r="R29" s="700" t="s">
        <v>14</v>
      </c>
      <c r="S29" s="701">
        <f>F29</f>
        <v>100</v>
      </c>
      <c r="T29" s="700" t="s">
        <v>14</v>
      </c>
      <c r="U29" s="701">
        <f>H29</f>
        <v>100</v>
      </c>
      <c r="V29" s="700" t="s">
        <v>14</v>
      </c>
      <c r="W29" s="701">
        <f>J29</f>
        <v>100</v>
      </c>
      <c r="X29" s="702"/>
      <c r="Y29" s="3793"/>
      <c r="Z29" s="52" t="str">
        <f>Q29</f>
        <v>基础设施水平</v>
      </c>
      <c r="AA29" s="1348">
        <f>D29/F29</f>
        <v>1</v>
      </c>
      <c r="AB29" s="1348">
        <f>D29/H29</f>
        <v>1</v>
      </c>
      <c r="AC29" s="1348">
        <f>D29/J29</f>
        <v>1</v>
      </c>
    </row>
    <row r="30" spans="1:29" s="108" customFormat="1" ht="15.6" thickBot="1">
      <c r="A30" s="597"/>
      <c r="B30" s="407"/>
      <c r="C30" s="1973" t="s">
        <v>3393</v>
      </c>
      <c r="D30" s="399"/>
      <c r="E30" s="1974" t="s">
        <v>3393</v>
      </c>
      <c r="F30" s="399"/>
      <c r="G30" s="1974" t="s">
        <v>3393</v>
      </c>
      <c r="H30" s="399"/>
      <c r="I30" s="1974" t="s">
        <v>3393</v>
      </c>
      <c r="J30" s="399"/>
      <c r="K30" s="620"/>
      <c r="L30" s="2688"/>
      <c r="M30" s="2689"/>
      <c r="N30" s="2689"/>
      <c r="O30" s="2743"/>
      <c r="P30" s="3793"/>
      <c r="Q30" s="1338"/>
      <c r="R30" s="700"/>
      <c r="S30" s="701"/>
      <c r="T30" s="700"/>
      <c r="U30" s="701"/>
      <c r="V30" s="700"/>
      <c r="W30" s="701"/>
      <c r="X30" s="702"/>
      <c r="Y30" s="3793"/>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793"/>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793"/>
      <c r="Z31" s="1351" t="str">
        <f t="shared" ref="Z31:Z45" si="13">Q31</f>
        <v>临街状况</v>
      </c>
      <c r="AA31" s="1348">
        <f t="shared" si="3"/>
        <v>1</v>
      </c>
      <c r="AB31" s="1348">
        <f t="shared" si="4"/>
        <v>1</v>
      </c>
      <c r="AC31" s="1348">
        <f t="shared" si="5"/>
        <v>1</v>
      </c>
    </row>
    <row r="32" spans="1:29" ht="28.8"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793"/>
      <c r="Q32" s="1347" t="str">
        <f t="shared" si="8"/>
        <v>毗邻道路的类型与等级</v>
      </c>
      <c r="R32" s="704" t="s">
        <v>14</v>
      </c>
      <c r="S32" s="705">
        <f t="shared" si="10"/>
        <v>100</v>
      </c>
      <c r="T32" s="704" t="s">
        <v>14</v>
      </c>
      <c r="U32" s="705">
        <f t="shared" si="11"/>
        <v>100</v>
      </c>
      <c r="V32" s="704" t="s">
        <v>14</v>
      </c>
      <c r="W32" s="705">
        <f t="shared" si="12"/>
        <v>100</v>
      </c>
      <c r="X32" s="1350"/>
      <c r="Y32" s="3793"/>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793"/>
      <c r="Q33" s="1347"/>
      <c r="R33" s="704"/>
      <c r="S33" s="705"/>
      <c r="T33" s="704"/>
      <c r="U33" s="705"/>
      <c r="V33" s="704"/>
      <c r="W33" s="705"/>
      <c r="X33" s="1350"/>
      <c r="Y33" s="3793"/>
      <c r="Z33" s="1351"/>
      <c r="AA33" s="1348">
        <v>1</v>
      </c>
      <c r="AB33" s="1348">
        <v>1</v>
      </c>
      <c r="AC33" s="1348">
        <v>1</v>
      </c>
    </row>
    <row r="34" spans="1:29" ht="15.6"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793"/>
      <c r="Q34" s="1347" t="str">
        <f t="shared" si="8"/>
        <v>土地级别</v>
      </c>
      <c r="R34" s="704" t="s">
        <v>14</v>
      </c>
      <c r="S34" s="705">
        <f t="shared" si="10"/>
        <v>100</v>
      </c>
      <c r="T34" s="704" t="s">
        <v>14</v>
      </c>
      <c r="U34" s="705">
        <f t="shared" si="11"/>
        <v>100</v>
      </c>
      <c r="V34" s="704" t="s">
        <v>14</v>
      </c>
      <c r="W34" s="705">
        <f t="shared" si="12"/>
        <v>100</v>
      </c>
      <c r="X34" s="1350"/>
      <c r="Y34" s="3793"/>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793"/>
      <c r="Q35" s="1347">
        <f t="shared" si="8"/>
        <v>111</v>
      </c>
      <c r="R35" s="704" t="s">
        <v>14</v>
      </c>
      <c r="S35" s="705">
        <f t="shared" si="10"/>
        <v>100</v>
      </c>
      <c r="T35" s="704" t="s">
        <v>14</v>
      </c>
      <c r="U35" s="705">
        <f t="shared" si="11"/>
        <v>100</v>
      </c>
      <c r="V35" s="704" t="s">
        <v>14</v>
      </c>
      <c r="W35" s="705">
        <f t="shared" si="12"/>
        <v>100</v>
      </c>
      <c r="X35" s="1350"/>
      <c r="Y35" s="3793"/>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46" t="s">
        <v>1680</v>
      </c>
      <c r="Q36" s="1347">
        <f t="shared" si="8"/>
        <v>111</v>
      </c>
      <c r="R36" s="704" t="s">
        <v>14</v>
      </c>
      <c r="S36" s="705">
        <f t="shared" si="10"/>
        <v>100</v>
      </c>
      <c r="T36" s="704" t="s">
        <v>14</v>
      </c>
      <c r="U36" s="705">
        <f t="shared" si="11"/>
        <v>100</v>
      </c>
      <c r="V36" s="704" t="s">
        <v>14</v>
      </c>
      <c r="W36" s="705">
        <f t="shared" si="12"/>
        <v>100</v>
      </c>
      <c r="X36" s="1350"/>
      <c r="Y36" s="3797" t="s">
        <v>1680</v>
      </c>
      <c r="Z36" s="1351">
        <f t="shared" si="13"/>
        <v>111</v>
      </c>
      <c r="AA36" s="1348">
        <f t="shared" si="3"/>
        <v>1</v>
      </c>
      <c r="AB36" s="1348">
        <f t="shared" si="4"/>
        <v>1</v>
      </c>
      <c r="AC36" s="1348">
        <f t="shared" si="5"/>
        <v>1</v>
      </c>
    </row>
    <row r="37" spans="1:29" s="422" customFormat="1" ht="15.6"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797"/>
      <c r="Q37" s="1347">
        <f t="shared" si="8"/>
        <v>111</v>
      </c>
      <c r="R37" s="707" t="s">
        <v>14</v>
      </c>
      <c r="S37" s="708">
        <f t="shared" si="10"/>
        <v>100</v>
      </c>
      <c r="T37" s="707" t="s">
        <v>14</v>
      </c>
      <c r="U37" s="708">
        <f t="shared" si="11"/>
        <v>100</v>
      </c>
      <c r="V37" s="707" t="s">
        <v>14</v>
      </c>
      <c r="W37" s="708">
        <f t="shared" si="12"/>
        <v>100</v>
      </c>
      <c r="X37" s="709"/>
      <c r="Y37" s="3797"/>
      <c r="Z37" s="710">
        <f t="shared" si="13"/>
        <v>111</v>
      </c>
      <c r="AA37" s="1348">
        <f t="shared" si="3"/>
        <v>1</v>
      </c>
      <c r="AB37" s="1348">
        <f t="shared" si="4"/>
        <v>1</v>
      </c>
      <c r="AC37" s="1348">
        <f t="shared" si="5"/>
        <v>1</v>
      </c>
    </row>
    <row r="38" spans="1:29" ht="15.6">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797"/>
      <c r="Q38" s="1347" t="str">
        <f>B38</f>
        <v>宗地面积</v>
      </c>
      <c r="R38" s="704" t="s">
        <v>14</v>
      </c>
      <c r="S38" s="705">
        <f t="shared" si="10"/>
        <v>100</v>
      </c>
      <c r="T38" s="704" t="s">
        <v>14</v>
      </c>
      <c r="U38" s="705">
        <f t="shared" si="11"/>
        <v>104</v>
      </c>
      <c r="V38" s="704" t="s">
        <v>14</v>
      </c>
      <c r="W38" s="705">
        <f t="shared" si="12"/>
        <v>106</v>
      </c>
      <c r="X38" s="1350"/>
      <c r="Y38" s="3797"/>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797"/>
      <c r="Q39" s="1347" t="str">
        <f t="shared" ref="Q39:Q45" si="14">B39</f>
        <v>宗地形状</v>
      </c>
      <c r="R39" s="704" t="s">
        <v>14</v>
      </c>
      <c r="S39" s="705">
        <f t="shared" si="10"/>
        <v>100</v>
      </c>
      <c r="T39" s="704" t="s">
        <v>14</v>
      </c>
      <c r="U39" s="705">
        <f t="shared" si="11"/>
        <v>100</v>
      </c>
      <c r="V39" s="704" t="s">
        <v>14</v>
      </c>
      <c r="W39" s="705">
        <f t="shared" si="12"/>
        <v>100</v>
      </c>
      <c r="X39" s="1350"/>
      <c r="Y39" s="3797"/>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797"/>
      <c r="Q40" s="1347" t="str">
        <f t="shared" si="14"/>
        <v>临街宽度及深度</v>
      </c>
      <c r="R40" s="704" t="s">
        <v>14</v>
      </c>
      <c r="S40" s="705">
        <f t="shared" si="10"/>
        <v>100</v>
      </c>
      <c r="T40" s="704" t="s">
        <v>14</v>
      </c>
      <c r="U40" s="705">
        <f t="shared" si="11"/>
        <v>100</v>
      </c>
      <c r="V40" s="704" t="s">
        <v>14</v>
      </c>
      <c r="W40" s="705">
        <f t="shared" si="12"/>
        <v>100</v>
      </c>
      <c r="X40" s="1350"/>
      <c r="Y40" s="3797"/>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797"/>
      <c r="Q41" s="1347" t="str">
        <f t="shared" si="14"/>
        <v>宗地开发程度</v>
      </c>
      <c r="R41" s="700" t="s">
        <v>14</v>
      </c>
      <c r="S41" s="701">
        <f t="shared" si="10"/>
        <v>94</v>
      </c>
      <c r="T41" s="700" t="s">
        <v>14</v>
      </c>
      <c r="U41" s="701">
        <f t="shared" si="11"/>
        <v>94</v>
      </c>
      <c r="V41" s="700" t="s">
        <v>14</v>
      </c>
      <c r="W41" s="701">
        <f t="shared" si="12"/>
        <v>94</v>
      </c>
      <c r="X41" s="702"/>
      <c r="Y41" s="3797"/>
      <c r="Z41" s="52" t="str">
        <f t="shared" si="13"/>
        <v>宗地开发程度</v>
      </c>
      <c r="AA41" s="703">
        <f t="shared" si="3"/>
        <v>1.0638297872340425</v>
      </c>
      <c r="AB41" s="703">
        <f t="shared" si="4"/>
        <v>1.0638297872340425</v>
      </c>
      <c r="AC41" s="703">
        <f t="shared" si="5"/>
        <v>1.0638297872340425</v>
      </c>
    </row>
    <row r="42" spans="1:29" ht="15.6"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797" t="s">
        <v>1680</v>
      </c>
      <c r="Q42" s="1347" t="str">
        <f t="shared" si="14"/>
        <v>工程地质条件</v>
      </c>
      <c r="R42" s="704" t="s">
        <v>14</v>
      </c>
      <c r="S42" s="705">
        <f t="shared" si="10"/>
        <v>100</v>
      </c>
      <c r="T42" s="704" t="s">
        <v>14</v>
      </c>
      <c r="U42" s="705">
        <f t="shared" si="11"/>
        <v>100</v>
      </c>
      <c r="V42" s="704" t="s">
        <v>14</v>
      </c>
      <c r="W42" s="705">
        <f t="shared" si="12"/>
        <v>100</v>
      </c>
      <c r="X42" s="1350"/>
      <c r="Y42" s="3797"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797"/>
      <c r="Q43" s="1347">
        <f t="shared" si="14"/>
        <v>111</v>
      </c>
      <c r="R43" s="704" t="s">
        <v>14</v>
      </c>
      <c r="S43" s="705">
        <f t="shared" si="10"/>
        <v>100</v>
      </c>
      <c r="T43" s="704" t="s">
        <v>14</v>
      </c>
      <c r="U43" s="705">
        <f t="shared" si="11"/>
        <v>100</v>
      </c>
      <c r="V43" s="704" t="s">
        <v>14</v>
      </c>
      <c r="W43" s="705">
        <f t="shared" si="12"/>
        <v>100</v>
      </c>
      <c r="X43" s="1350"/>
      <c r="Y43" s="3797"/>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797"/>
      <c r="Q44" s="1347">
        <f t="shared" si="14"/>
        <v>111</v>
      </c>
      <c r="R44" s="704" t="s">
        <v>14</v>
      </c>
      <c r="S44" s="705">
        <f t="shared" si="10"/>
        <v>100</v>
      </c>
      <c r="T44" s="704" t="s">
        <v>14</v>
      </c>
      <c r="U44" s="705">
        <f t="shared" si="11"/>
        <v>100</v>
      </c>
      <c r="V44" s="704" t="s">
        <v>14</v>
      </c>
      <c r="W44" s="705">
        <f t="shared" si="12"/>
        <v>100</v>
      </c>
      <c r="X44" s="1350"/>
      <c r="Y44" s="3797"/>
      <c r="Z44" s="1351">
        <f t="shared" si="13"/>
        <v>111</v>
      </c>
      <c r="AA44" s="1348">
        <f t="shared" si="3"/>
        <v>1</v>
      </c>
      <c r="AB44" s="1348">
        <f t="shared" si="4"/>
        <v>1</v>
      </c>
      <c r="AC44" s="1348">
        <f t="shared" si="5"/>
        <v>1</v>
      </c>
    </row>
    <row r="45" spans="1:29" s="422" customFormat="1" ht="15.6"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797"/>
      <c r="Q45" s="1347">
        <f t="shared" si="14"/>
        <v>111</v>
      </c>
      <c r="R45" s="707" t="s">
        <v>14</v>
      </c>
      <c r="S45" s="708">
        <f t="shared" si="10"/>
        <v>100</v>
      </c>
      <c r="T45" s="707" t="s">
        <v>14</v>
      </c>
      <c r="U45" s="708">
        <f t="shared" si="11"/>
        <v>100</v>
      </c>
      <c r="V45" s="707" t="s">
        <v>14</v>
      </c>
      <c r="W45" s="708">
        <f t="shared" si="12"/>
        <v>100</v>
      </c>
      <c r="X45" s="709"/>
      <c r="Y45" s="3797"/>
      <c r="Z45" s="710">
        <f t="shared" si="13"/>
        <v>111</v>
      </c>
      <c r="AA45" s="1348">
        <f t="shared" si="3"/>
        <v>1</v>
      </c>
      <c r="AB45" s="1348">
        <f t="shared" si="4"/>
        <v>1</v>
      </c>
      <c r="AC45" s="1348">
        <f t="shared" si="5"/>
        <v>1</v>
      </c>
    </row>
    <row r="46" spans="1:29" ht="14.4">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785" t="str">
        <f>A46</f>
        <v>成交单价</v>
      </c>
      <c r="Q46" s="3785"/>
      <c r="R46" s="3819">
        <f>E46</f>
        <v>28065</v>
      </c>
      <c r="S46" s="3819"/>
      <c r="T46" s="3819">
        <f>G46</f>
        <v>31358</v>
      </c>
      <c r="U46" s="3819"/>
      <c r="V46" s="3819">
        <f>I46</f>
        <v>23078</v>
      </c>
      <c r="W46" s="3819"/>
      <c r="X46" s="689"/>
      <c r="Y46" s="711"/>
      <c r="Z46" s="689"/>
      <c r="AA46" s="689"/>
      <c r="AB46" s="689"/>
      <c r="AC46" s="689"/>
    </row>
    <row r="47" spans="1:29" ht="1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785" t="str">
        <f>A47</f>
        <v>比较价值（元/平方米）</v>
      </c>
      <c r="Q47" s="3785"/>
      <c r="R47" s="3854">
        <f>ROUND(PRODUCT(R46,AA7:AA45),0)</f>
        <v>23190</v>
      </c>
      <c r="S47" s="3854"/>
      <c r="T47" s="3854" t="e">
        <f>ROUND(PRODUCT(T46,AB7:AB45),0)</f>
        <v>#DIV/0!</v>
      </c>
      <c r="U47" s="3854"/>
      <c r="V47" s="3854">
        <f>ROUND(PRODUCT(V46,AC7:AC45),0)</f>
        <v>19317</v>
      </c>
      <c r="W47" s="3854"/>
      <c r="X47" s="689"/>
      <c r="Y47" s="689"/>
      <c r="Z47" s="689"/>
      <c r="AA47" s="689"/>
      <c r="AB47" s="689"/>
      <c r="AC47" s="689"/>
    </row>
    <row r="48" spans="1:29" ht="15" thickBot="1">
      <c r="A48" s="441" t="s">
        <v>1864</v>
      </c>
      <c r="B48" s="442"/>
      <c r="C48" s="443" t="e">
        <f>R48</f>
        <v>#DIV/0!</v>
      </c>
      <c r="D48" s="443"/>
      <c r="E48" s="443"/>
      <c r="F48" s="443"/>
      <c r="G48" s="443"/>
      <c r="H48" s="443"/>
      <c r="I48" s="443"/>
      <c r="J48" s="443"/>
      <c r="K48" s="714"/>
      <c r="L48" s="2695"/>
      <c r="M48" s="2696"/>
      <c r="N48" s="2696"/>
      <c r="O48" s="2696"/>
      <c r="P48" s="3836" t="str">
        <f>A48</f>
        <v>估价对象XX用房的比较价值（楼面单价，元/平方米）</v>
      </c>
      <c r="Q48" s="3837"/>
      <c r="R48" s="3853" t="e">
        <f>ROUND(IF(D47="简单平均",AVERAGE(R47:W47),R47*F47+T47*H47+V47*J47),0)</f>
        <v>#DIV/0!</v>
      </c>
      <c r="S48" s="3853"/>
      <c r="T48" s="3853"/>
      <c r="U48" s="3853"/>
      <c r="V48" s="3853"/>
      <c r="W48" s="3853"/>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4.4"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02" t="s">
        <v>1871</v>
      </c>
      <c r="H55" s="3848"/>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784"/>
      <c r="H56" s="3785"/>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4.4"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2.2"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4.4">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4.4">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4.4"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43.2">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4.4"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9.4"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4.4"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4.4"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4.4"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4.4"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4.4"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4.4"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4.4"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4.4"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ht="14.4">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4.4"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4.4"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4.4"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29.4"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4.4"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9.4"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4.4"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4.4"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4.4"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4.4"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9.4"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4.4"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4.4"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4.4"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4.4"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4.4"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4.4"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4.4"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4.4"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7.6">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4.4"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4.4"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4.4"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4.4"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4.4"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4.4"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4.4"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4.4"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4.4"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4.4"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4.4"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4.4"/>
  <cols>
    <col min="1" max="1" width="28.77734375" customWidth="1"/>
    <col min="2" max="7" width="28.77734375" hidden="1" customWidth="1"/>
    <col min="8" max="8" width="15.88671875" customWidth="1"/>
    <col min="14" max="28" width="0" hidden="1" customWidth="1"/>
    <col min="29" max="29" width="11.6640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L80" sqref="L80"/>
    </sheetView>
  </sheetViews>
  <sheetFormatPr defaultColWidth="9" defaultRowHeight="14.4"/>
  <cols>
    <col min="1" max="1" width="9" style="3539"/>
    <col min="2" max="2" width="14.6640625" style="3539" customWidth="1"/>
    <col min="3" max="12" width="9" style="3539"/>
    <col min="13" max="13" width="15.77734375" style="3539" customWidth="1"/>
    <col min="14" max="14" width="9" style="3540"/>
    <col min="15" max="15" width="9" style="3539"/>
    <col min="16" max="16" width="15.6640625" style="3539" customWidth="1"/>
    <col min="17" max="17" width="47.777343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3.2">
      <c r="A2" s="3539">
        <v>2</v>
      </c>
      <c r="B2" s="3542" t="s">
        <v>4320</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8.8">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8.8">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4321</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8.8">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8.8">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29.6">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4322</v>
      </c>
      <c r="R14" s="3539" t="s">
        <v>3547</v>
      </c>
      <c r="S14" s="3539">
        <v>54956.13</v>
      </c>
      <c r="T14" s="3539">
        <v>45984</v>
      </c>
      <c r="V14" s="3539">
        <v>0.56000000000000005</v>
      </c>
      <c r="W14" s="3539" t="s">
        <v>3467</v>
      </c>
    </row>
    <row r="15" spans="1:24" ht="28.8">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8.8">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8.8">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7.6">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8.8">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ht="28.8">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86.4">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8.8">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8.8">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6.4">
      <c r="A28" s="3540">
        <v>78</v>
      </c>
      <c r="B28" s="3540" t="s">
        <v>4323</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6.4">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4324</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6.4">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4325</v>
      </c>
      <c r="C72" s="3539" t="s">
        <v>3664</v>
      </c>
      <c r="D72" s="3539" t="s">
        <v>4326</v>
      </c>
      <c r="E72" s="3539" t="s">
        <v>4327</v>
      </c>
      <c r="F72" s="3539" t="s">
        <v>4328</v>
      </c>
      <c r="G72" s="3539" t="s">
        <v>4329</v>
      </c>
      <c r="H72" s="3539" t="s">
        <v>4330</v>
      </c>
      <c r="I72" s="3539" t="s">
        <v>3448</v>
      </c>
      <c r="J72" s="3539" t="s">
        <v>4331</v>
      </c>
      <c r="K72" s="3539" t="s">
        <v>4332</v>
      </c>
      <c r="L72" s="3539" t="s">
        <v>4333</v>
      </c>
      <c r="M72" s="3539" t="s">
        <v>4334</v>
      </c>
    </row>
    <row r="73" spans="1:13">
      <c r="A73" s="3539">
        <v>82</v>
      </c>
      <c r="B73" s="3542" t="s">
        <v>4335</v>
      </c>
      <c r="C73" s="3539" t="s">
        <v>4336</v>
      </c>
      <c r="D73" s="3539" t="s">
        <v>3465</v>
      </c>
      <c r="E73" s="3539" t="s">
        <v>21</v>
      </c>
      <c r="F73" s="3539">
        <v>40824</v>
      </c>
      <c r="G73" s="3539" t="s">
        <v>4337</v>
      </c>
      <c r="H73" s="3539">
        <v>2022</v>
      </c>
      <c r="I73" s="3539" t="s">
        <v>4338</v>
      </c>
      <c r="J73" s="3539" t="s">
        <v>4339</v>
      </c>
      <c r="K73" s="3539">
        <v>1342</v>
      </c>
      <c r="L73" s="3539">
        <v>70831</v>
      </c>
      <c r="M73" s="3539" t="s">
        <v>4340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3.8"/>
  <cols>
    <col min="1" max="1" width="23.6640625" style="1472" customWidth="1"/>
    <col min="2" max="2" width="12" style="1472" customWidth="1"/>
    <col min="3" max="3" width="9" style="1472"/>
    <col min="4" max="4" width="14.109375" style="1472" customWidth="1"/>
    <col min="5" max="5" width="9" style="1472"/>
    <col min="6" max="6" width="12.88671875" style="1472" customWidth="1"/>
    <col min="7" max="16384" width="9" style="1472"/>
  </cols>
  <sheetData>
    <row r="1" spans="1:22" ht="21.6">
      <c r="A1" s="1862" t="s">
        <v>1642</v>
      </c>
      <c r="B1" s="1863"/>
      <c r="C1" s="1863"/>
      <c r="D1" s="1863"/>
      <c r="E1" s="1864"/>
      <c r="F1" s="2678"/>
      <c r="G1" s="1484"/>
      <c r="H1" s="1484"/>
      <c r="I1" s="1484"/>
      <c r="J1" s="1484"/>
      <c r="K1" s="1484"/>
      <c r="L1" s="1484"/>
      <c r="M1" s="1484"/>
      <c r="N1" s="1484"/>
      <c r="O1" s="1484"/>
      <c r="P1" s="1484"/>
      <c r="Q1" s="1484"/>
      <c r="R1" s="1484"/>
      <c r="S1" s="1484"/>
    </row>
    <row r="2" spans="1:22" ht="15.6">
      <c r="A2" s="1865" t="s">
        <v>1446</v>
      </c>
      <c r="B2" s="1866">
        <f ca="1">SUMIF(B6:B13,"&lt;&gt;#ref!",B6:B13)</f>
        <v>496536</v>
      </c>
      <c r="C2" s="1867" t="s">
        <v>1635</v>
      </c>
      <c r="D2" s="1868" t="s">
        <v>1636</v>
      </c>
      <c r="E2" s="2579">
        <f>SUM(E6:E13)</f>
        <v>84373.1</v>
      </c>
      <c r="F2" s="2678"/>
      <c r="G2" s="1484"/>
      <c r="H2" s="1484"/>
      <c r="I2" s="1484"/>
      <c r="J2" s="1484"/>
      <c r="K2" s="1484"/>
      <c r="L2" s="1484"/>
      <c r="M2" s="1484"/>
      <c r="N2" s="1484"/>
      <c r="O2" s="1484"/>
      <c r="P2" s="1484"/>
      <c r="Q2" s="1484"/>
      <c r="R2" s="1484"/>
      <c r="S2" s="1484"/>
    </row>
    <row r="3" spans="1:22" ht="15.6">
      <c r="A3" s="1865" t="s">
        <v>686</v>
      </c>
      <c r="B3" s="2573">
        <f ca="1">ROUND(B2*10000/E2,0)</f>
        <v>58850</v>
      </c>
      <c r="C3" s="1867" t="s">
        <v>1643</v>
      </c>
      <c r="D3" s="2680"/>
      <c r="E3" s="2682"/>
      <c r="F3" s="2678"/>
      <c r="G3" s="1484"/>
      <c r="H3" s="1484"/>
      <c r="I3" s="1484"/>
      <c r="J3" s="1484"/>
      <c r="K3" s="1484"/>
      <c r="L3" s="1484"/>
      <c r="M3" s="1484"/>
      <c r="N3" s="1484"/>
      <c r="O3" s="1484"/>
      <c r="P3" s="1484"/>
      <c r="Q3" s="1484"/>
      <c r="R3" s="1484"/>
      <c r="S3" s="1484"/>
    </row>
    <row r="4" spans="1:22" ht="15.6">
      <c r="A4" s="2683"/>
      <c r="B4" s="2680"/>
      <c r="C4" s="2680"/>
      <c r="D4" s="2680"/>
      <c r="E4" s="2682"/>
      <c r="F4" s="2678"/>
      <c r="G4" s="1484"/>
      <c r="H4" s="1484"/>
      <c r="I4" s="1484"/>
      <c r="J4" s="1484"/>
      <c r="K4" s="1484"/>
      <c r="L4" s="1484"/>
      <c r="M4" s="1484"/>
      <c r="N4" s="1484"/>
      <c r="O4" s="1484"/>
      <c r="P4" s="1484"/>
      <c r="Q4" s="1484"/>
      <c r="R4" s="1484"/>
      <c r="S4" s="1484"/>
    </row>
    <row r="5" spans="1:22" ht="14.4">
      <c r="A5" s="2575" t="s">
        <v>1637</v>
      </c>
      <c r="B5" s="3893" t="s">
        <v>1638</v>
      </c>
      <c r="C5" s="3894"/>
      <c r="D5" s="2679"/>
      <c r="E5" s="1869" t="s">
        <v>1639</v>
      </c>
      <c r="F5" s="1870" t="s">
        <v>1640</v>
      </c>
      <c r="G5" s="1484"/>
      <c r="H5" s="1484"/>
      <c r="I5" s="1484"/>
      <c r="J5" s="1484"/>
      <c r="K5" s="1484"/>
      <c r="L5" s="1484"/>
      <c r="M5" s="1484"/>
      <c r="N5" s="1484"/>
      <c r="O5" s="1484"/>
      <c r="P5" s="1484"/>
      <c r="Q5" s="1484"/>
      <c r="R5" s="1484"/>
      <c r="S5" s="1484"/>
    </row>
    <row r="6" spans="1:22" ht="14.4">
      <c r="A6" s="2576" t="str">
        <f>'数据-取费表'!AN6</f>
        <v>收益法</v>
      </c>
      <c r="B6" s="2574">
        <f ca="1">IF(F6="是",'数据-取费表'!AO6,0)</f>
        <v>191813</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ht="14.4">
      <c r="A7" s="2576" t="str">
        <f>'数据-取费表'!AN7</f>
        <v>收益法办</v>
      </c>
      <c r="B7" s="2574">
        <f ca="1">IF(F7="是",'数据-取费表'!AO7,0)</f>
        <v>297620</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ht="14.4">
      <c r="A8" s="2576" t="str">
        <f>'数据-取费表'!AN8</f>
        <v>收益法车</v>
      </c>
      <c r="B8" s="2574">
        <f ca="1">IF(F8="是",'数据-取费表'!AO8,0)</f>
        <v>7103</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ht="14.4">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ht="14.4">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ht="14.4">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ht="14.4">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B1" zoomScale="90" zoomScaleNormal="70" zoomScaleSheetLayoutView="90" workbookViewId="0">
      <selection activeCell="I36" sqref="I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3" customWidth="1"/>
    <col min="12" max="12" width="16.33203125" style="258" customWidth="1"/>
    <col min="13" max="13" width="13" style="258" customWidth="1"/>
    <col min="14" max="14" width="13.77734375" style="1379" customWidth="1"/>
    <col min="15" max="15" width="5.109375" style="1379" customWidth="1"/>
    <col min="16" max="16" width="25.77734375" style="1379" customWidth="1"/>
    <col min="17" max="17" width="13.77734375" style="1379" customWidth="1"/>
    <col min="18" max="18" width="20.44140625" style="1379" customWidth="1"/>
    <col min="19" max="19" width="13.21875" style="1379" customWidth="1"/>
    <col min="20" max="37" width="9" style="1379"/>
    <col min="38" max="16384" width="9" style="258"/>
  </cols>
  <sheetData>
    <row r="1" spans="1:37" s="293" customFormat="1" ht="21.6">
      <c r="A1" s="1370" t="s">
        <v>877</v>
      </c>
      <c r="B1" s="712"/>
      <c r="C1" s="1374" t="s">
        <v>673</v>
      </c>
      <c r="D1" s="1357" t="s">
        <v>43</v>
      </c>
      <c r="E1" s="1358" t="s">
        <v>678</v>
      </c>
      <c r="F1" s="1058">
        <f ca="1">J53</f>
        <v>20.64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191813</v>
      </c>
      <c r="C2" s="1382" t="s">
        <v>805</v>
      </c>
      <c r="D2" s="1382"/>
      <c r="E2" s="1383"/>
      <c r="F2" s="1384"/>
      <c r="G2" s="2677"/>
      <c r="H2" s="2666"/>
      <c r="I2" s="2666"/>
      <c r="J2" s="2666"/>
      <c r="K2" s="2667"/>
      <c r="L2" s="2666"/>
      <c r="M2" s="2666"/>
    </row>
    <row r="3" spans="1:37" ht="18" customHeight="1" thickBot="1">
      <c r="A3" s="1385" t="s">
        <v>806</v>
      </c>
      <c r="B3" s="1386">
        <f ca="1">IF(ISERROR(B2*10000/F43),0,ROUND(B2*10000/F43,0))</f>
        <v>55644</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14739</v>
      </c>
      <c r="D5" s="1359" t="s">
        <v>693</v>
      </c>
      <c r="E5" s="1067"/>
      <c r="F5" s="1068"/>
      <c r="G5" s="1379"/>
      <c r="H5" s="299">
        <v>1</v>
      </c>
      <c r="I5" s="300" t="s">
        <v>692</v>
      </c>
      <c r="J5" s="1066">
        <f ca="1">J6+J10+J12</f>
        <v>0</v>
      </c>
      <c r="K5" s="1359" t="s">
        <v>693</v>
      </c>
      <c r="L5" s="1067"/>
      <c r="M5" s="1068"/>
    </row>
    <row r="6" spans="1:37" ht="18" customHeight="1">
      <c r="A6" s="1065" t="s">
        <v>398</v>
      </c>
      <c r="B6" s="3760" t="s">
        <v>694</v>
      </c>
      <c r="C6" s="1070">
        <f ca="1">ROUND(F6*F8*F7*(1-F9)/10000,0)</f>
        <v>14721</v>
      </c>
      <c r="D6" s="155" t="s">
        <v>2091</v>
      </c>
      <c r="E6" s="302" t="s">
        <v>696</v>
      </c>
      <c r="F6" s="303">
        <f ca="1">INDIRECT("'数据-取费表'!u"&amp;$G$1)</f>
        <v>13</v>
      </c>
      <c r="G6" s="1379"/>
      <c r="H6" s="1065" t="s">
        <v>398</v>
      </c>
      <c r="I6" s="3760" t="s">
        <v>694</v>
      </c>
      <c r="J6" s="301">
        <f ca="1">ROUND(M6*M8*M7*(1-M9)/10000,0)</f>
        <v>0</v>
      </c>
      <c r="K6" s="155" t="s">
        <v>2090</v>
      </c>
      <c r="L6" s="302" t="s">
        <v>696</v>
      </c>
      <c r="M6" s="303">
        <f ca="1">INDIRECT("'数据-取费表'!z"&amp;$G$1)</f>
        <v>0</v>
      </c>
    </row>
    <row r="7" spans="1:37" ht="18" customHeight="1">
      <c r="A7" s="1069"/>
      <c r="B7" s="3761"/>
      <c r="C7" s="1071"/>
      <c r="D7" s="307"/>
      <c r="E7" s="1072" t="s">
        <v>697</v>
      </c>
      <c r="F7" s="303">
        <f ca="1">IF(INDIRECT("'数据-取费表'!ah"&amp;$G$1)="",INDIRECT("'数据-取费表'!k"&amp;$G$1),INDIRECT("'数据-取费表'!ah"&amp;$G$1))</f>
        <v>34471.17</v>
      </c>
      <c r="G7" s="1379"/>
      <c r="H7" s="304"/>
      <c r="I7" s="3761"/>
      <c r="J7" s="306"/>
      <c r="K7" s="307"/>
      <c r="L7" s="302" t="s">
        <v>697</v>
      </c>
      <c r="M7" s="303">
        <f ca="1">F7</f>
        <v>34471.17</v>
      </c>
    </row>
    <row r="8" spans="1:37" ht="18" customHeight="1">
      <c r="A8" s="304"/>
      <c r="B8" s="3761"/>
      <c r="C8" s="306"/>
      <c r="D8" s="307"/>
      <c r="E8" s="302" t="s">
        <v>698</v>
      </c>
      <c r="F8" s="303">
        <f ca="1">INDIRECT("'数据-取费表'!ai"&amp;$G$1)</f>
        <v>365</v>
      </c>
      <c r="G8" s="1379"/>
      <c r="H8" s="304"/>
      <c r="I8" s="3761"/>
      <c r="J8" s="306"/>
      <c r="K8" s="307"/>
      <c r="L8" s="302" t="s">
        <v>698</v>
      </c>
      <c r="M8" s="303">
        <f ca="1">INDIRECT("'数据-取费表'!ai"&amp;$G$1)</f>
        <v>365</v>
      </c>
    </row>
    <row r="9" spans="1:37" ht="18" customHeight="1">
      <c r="A9" s="304"/>
      <c r="B9" s="3762"/>
      <c r="C9" s="306"/>
      <c r="D9" s="307"/>
      <c r="E9" s="302" t="s">
        <v>699</v>
      </c>
      <c r="F9" s="312">
        <f ca="1">INDIRECT("'数据-取费表'!w"&amp;$G$1)</f>
        <v>0.1</v>
      </c>
      <c r="G9" s="1379"/>
      <c r="H9" s="304"/>
      <c r="I9" s="3762"/>
      <c r="J9" s="306"/>
      <c r="K9" s="307"/>
      <c r="L9" s="313" t="s">
        <v>699</v>
      </c>
      <c r="M9" s="314">
        <f ca="1">INDIRECT("'数据-取费表'!ab"&amp;$G$1)</f>
        <v>0</v>
      </c>
    </row>
    <row r="10" spans="1:37" ht="18" customHeight="1">
      <c r="A10" s="1065" t="s">
        <v>402</v>
      </c>
      <c r="B10" s="1360" t="s">
        <v>700</v>
      </c>
      <c r="C10" s="316">
        <f ca="1">ROUND(IF(F10="押一",C6/12*F11,IF(F10="押二",C6/12*2*F11,IF(F10="押三",C6/12*3*F11,C11*F11))),0)</f>
        <v>18</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28815</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29403</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157</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341</v>
      </c>
      <c r="D20" s="323" t="s">
        <v>729</v>
      </c>
      <c r="E20" s="302" t="s">
        <v>712</v>
      </c>
      <c r="F20" s="322">
        <f>'数据-取费表'!B37</f>
        <v>1.4999999999999999E-2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147.02000000000001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796</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-157</v>
      </c>
      <c r="K25" s="1091" t="s">
        <v>753</v>
      </c>
      <c r="L25" s="1092"/>
      <c r="M25" s="1093"/>
    </row>
    <row r="26" spans="1:37">
      <c r="A26" s="978" t="s">
        <v>397</v>
      </c>
      <c r="B26" s="302" t="s">
        <v>754</v>
      </c>
      <c r="C26" s="21">
        <f ca="1">ROUND((C19+C20)*F26,0)</f>
        <v>3459</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29403</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2727</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2477.91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785.12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1682.4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f ca="1">C13*10000/F7</f>
        <v>8359.1592626534002</v>
      </c>
      <c r="J35" s="1394"/>
      <c r="K35" s="2672"/>
      <c r="L35" s="2671"/>
      <c r="M35" s="2671"/>
    </row>
    <row r="36" spans="1:18" ht="18" customHeight="1">
      <c r="A36" s="1098" t="s">
        <v>402</v>
      </c>
      <c r="B36" s="302" t="s">
        <v>738</v>
      </c>
      <c r="C36" s="21">
        <f ca="1">ROUND(C29*F36,2)</f>
        <v>147.02000000000001</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28.82</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73.7</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12012</v>
      </c>
      <c r="D39" s="1091" t="s">
        <v>773</v>
      </c>
      <c r="E39" s="1092"/>
      <c r="F39" s="1093"/>
      <c r="G39" s="1379"/>
      <c r="H39" s="2671"/>
      <c r="I39" s="1393"/>
      <c r="J39" s="1394"/>
      <c r="K39" s="2675"/>
      <c r="L39" s="2671"/>
      <c r="M39" s="2671"/>
    </row>
    <row r="40" spans="1:18" ht="18" customHeight="1">
      <c r="A40" s="299" t="s">
        <v>395</v>
      </c>
      <c r="B40" s="300" t="s">
        <v>774</v>
      </c>
      <c r="C40" s="301">
        <f ca="1">ROUND(C39*(1-((1+F42)/(1+F40))^F41)/(F40-F42),0)</f>
        <v>187590</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20.64</v>
      </c>
      <c r="G41" s="1379"/>
      <c r="H41" s="1186"/>
      <c r="I41" s="1393"/>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54419</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8" thickBot="1">
      <c r="A46" s="1399" t="s">
        <v>809</v>
      </c>
      <c r="C46" s="1400">
        <f ca="1">C68-C40</f>
        <v>-189852</v>
      </c>
      <c r="D46" s="1401" t="str">
        <f>C2</f>
        <v>万元</v>
      </c>
      <c r="E46" s="1395"/>
      <c r="F46" s="1395"/>
      <c r="I46" s="1402" t="s">
        <v>810</v>
      </c>
      <c r="J46" s="1403"/>
      <c r="K46" s="1404"/>
      <c r="L46" s="1405">
        <f ca="1">IF(M47="住宅",0,IF(L48&gt;J51,L60,J60))</f>
        <v>4223</v>
      </c>
      <c r="O46" s="1406" t="s">
        <v>811</v>
      </c>
      <c r="P46" s="1407" t="s">
        <v>812</v>
      </c>
      <c r="Q46" s="1408" t="s">
        <v>813</v>
      </c>
      <c r="R46" s="1408" t="s">
        <v>814</v>
      </c>
    </row>
    <row r="47" spans="1:18" s="1379" customFormat="1" ht="13.8"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187590</v>
      </c>
      <c r="R47" s="1415" t="s">
        <v>818</v>
      </c>
    </row>
    <row r="48" spans="1:18" s="1379" customFormat="1" ht="40.200000000000003"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20.64</v>
      </c>
      <c r="O48" s="1413" t="s">
        <v>404</v>
      </c>
      <c r="P48" s="1414" t="s">
        <v>821</v>
      </c>
      <c r="Q48" s="1415">
        <f ca="1">J60</f>
        <v>4223</v>
      </c>
      <c r="R48" s="1415" t="s">
        <v>822</v>
      </c>
    </row>
    <row r="49" spans="1:18" s="1379" customFormat="1" ht="13.8"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29403</v>
      </c>
      <c r="R49" s="1415" t="s">
        <v>818</v>
      </c>
    </row>
    <row r="50" spans="1:18" s="1379" customFormat="1" ht="13.8"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0.63900000000000001</v>
      </c>
      <c r="R50" s="1415"/>
    </row>
    <row r="51" spans="1:18" s="1379" customFormat="1" ht="13.8"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188662</v>
      </c>
      <c r="M51" s="1431"/>
      <c r="O51" s="1423" t="s">
        <v>407</v>
      </c>
      <c r="P51" s="1414" t="s">
        <v>831</v>
      </c>
      <c r="Q51" s="1426">
        <f>J52</f>
        <v>7.5000000000000011E-2</v>
      </c>
      <c r="R51" s="1415"/>
    </row>
    <row r="52" spans="1:18" s="1379" customFormat="1" ht="13.8"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20.64</v>
      </c>
      <c r="R52" s="1415" t="s">
        <v>835</v>
      </c>
    </row>
    <row r="53" spans="1:18" s="1379" customFormat="1" ht="36.6"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20.64</v>
      </c>
      <c r="K53" s="3763" t="s">
        <v>837</v>
      </c>
      <c r="L53" s="3764"/>
      <c r="O53" s="1413" t="s">
        <v>409</v>
      </c>
      <c r="P53" s="1414" t="s">
        <v>838</v>
      </c>
      <c r="Q53" s="1415">
        <f ca="1">Q47+Q48</f>
        <v>191813</v>
      </c>
      <c r="R53" s="1415" t="s">
        <v>410</v>
      </c>
    </row>
    <row r="54" spans="1:18" s="1379" customFormat="1" ht="24.6"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8" thickBot="1">
      <c r="A55" s="1079" t="s">
        <v>437</v>
      </c>
      <c r="B55" s="1364" t="s">
        <v>703</v>
      </c>
      <c r="C55" s="1080"/>
      <c r="D55" s="1361"/>
      <c r="E55" s="1369"/>
      <c r="F55" s="1435"/>
      <c r="I55" s="1438" t="s">
        <v>840</v>
      </c>
      <c r="J55" s="1439">
        <f ca="1">ROUND(IF(J47="钢混",J57/J50,1-(1-2%)*(J50-J57)/J50),3)</f>
        <v>0.63900000000000001</v>
      </c>
      <c r="K55" s="1440" t="s">
        <v>841</v>
      </c>
      <c r="L55" s="1441"/>
      <c r="O55" s="1406" t="s">
        <v>811</v>
      </c>
      <c r="P55" s="1407" t="s">
        <v>812</v>
      </c>
      <c r="Q55" s="1408" t="s">
        <v>813</v>
      </c>
      <c r="R55" s="1408" t="s">
        <v>814</v>
      </c>
    </row>
    <row r="56" spans="1:18" s="1379" customFormat="1" ht="37.200000000000003" thickTop="1" thickBot="1">
      <c r="A56" s="953">
        <v>2</v>
      </c>
      <c r="B56" s="954" t="s">
        <v>704</v>
      </c>
      <c r="C56" s="232">
        <f ca="1">C13</f>
        <v>28815</v>
      </c>
      <c r="D56" s="1442"/>
      <c r="E56" s="1443"/>
      <c r="F56" s="1435"/>
      <c r="I56" s="1444" t="s">
        <v>842</v>
      </c>
      <c r="J56" s="1445" t="s">
        <v>3386</v>
      </c>
      <c r="K56" s="1416" t="s">
        <v>843</v>
      </c>
      <c r="L56" s="1419" t="str">
        <f ca="1">IF(L48&lt;J51,"——",L48-J53)</f>
        <v>——</v>
      </c>
      <c r="O56" s="1413" t="s">
        <v>403</v>
      </c>
      <c r="P56" s="1414" t="s">
        <v>817</v>
      </c>
      <c r="Q56" s="1415">
        <f ca="1">C40+J29</f>
        <v>187590</v>
      </c>
      <c r="R56" s="1415" t="s">
        <v>818</v>
      </c>
    </row>
    <row r="57" spans="1:18" s="1379" customFormat="1" ht="24.6" thickBot="1">
      <c r="A57" s="1446"/>
      <c r="B57" s="946" t="s">
        <v>767</v>
      </c>
      <c r="C57" s="238">
        <f ca="1">C29</f>
        <v>29403</v>
      </c>
      <c r="D57" s="1447"/>
      <c r="E57" s="1448"/>
      <c r="F57" s="1449"/>
      <c r="I57" s="1450" t="s">
        <v>844</v>
      </c>
      <c r="J57" s="1451">
        <f ca="1">IF(OR(M47="住宅",J51&lt;L48,J56="是"),"——",J51-L48)</f>
        <v>38.36</v>
      </c>
      <c r="K57" s="1416" t="s">
        <v>845</v>
      </c>
      <c r="L57" s="1419" t="str">
        <f ca="1">IF(L48&lt;J51,"——",IF(L55="比较法",L49,IF(L55="基准地价",L50,L51)))</f>
        <v>——</v>
      </c>
      <c r="O57" s="1413" t="s">
        <v>404</v>
      </c>
      <c r="P57" s="1414" t="s">
        <v>846</v>
      </c>
      <c r="Q57" s="1415">
        <f ca="1">L60</f>
        <v>0</v>
      </c>
      <c r="R57" s="1415" t="s">
        <v>847</v>
      </c>
    </row>
    <row r="58" spans="1:18" s="1379" customFormat="1" ht="24.6" thickBot="1">
      <c r="A58" s="315" t="s">
        <v>393</v>
      </c>
      <c r="B58" s="954" t="s">
        <v>714</v>
      </c>
      <c r="C58" s="316">
        <f ca="1">ROUND(C59+C64+C65+C66,0)</f>
        <v>186</v>
      </c>
      <c r="D58" s="956" t="s">
        <v>715</v>
      </c>
      <c r="E58" s="957"/>
      <c r="F58" s="958"/>
      <c r="I58" s="1450" t="s">
        <v>848</v>
      </c>
      <c r="J58" s="1452">
        <f ca="1">IF(J55&lt;0.4,0.4,J55)</f>
        <v>0.63900000000000001</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6"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18789</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2"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4223</v>
      </c>
      <c r="K60" s="1455" t="s">
        <v>854</v>
      </c>
      <c r="L60" s="1454">
        <f ca="1">IF(OR(M47="住宅",L48&lt;J51),0,ROUND(L57*(L58/L59-1),0))</f>
        <v>0</v>
      </c>
      <c r="O60" s="1423" t="s">
        <v>407</v>
      </c>
      <c r="P60" s="1414" t="s">
        <v>855</v>
      </c>
      <c r="Q60" s="1415" t="e">
        <f ca="1">L58</f>
        <v>#DIV/0!</v>
      </c>
      <c r="R60" s="1415" t="s">
        <v>856</v>
      </c>
    </row>
    <row r="61" spans="1:18" s="1379" customFormat="1" ht="13.8"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8"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187590</v>
      </c>
      <c r="R62" s="1415" t="s">
        <v>410</v>
      </c>
    </row>
    <row r="63" spans="1:18" s="1379" customFormat="1" ht="13.8"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8" thickBot="1">
      <c r="A64" s="978" t="s">
        <v>789</v>
      </c>
      <c r="B64" s="946" t="s">
        <v>790</v>
      </c>
      <c r="C64" s="21">
        <f ca="1">ROUND(C57*F64,2)</f>
        <v>147.02000000000001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8" thickBot="1">
      <c r="A65" s="978" t="s">
        <v>792</v>
      </c>
      <c r="B65" s="946" t="s">
        <v>742</v>
      </c>
      <c r="C65" s="21">
        <f ca="1">ROUND(C56*F65,2)</f>
        <v>28.82</v>
      </c>
      <c r="D65" s="960" t="s">
        <v>743</v>
      </c>
      <c r="E65" s="946" t="s">
        <v>744</v>
      </c>
      <c r="F65" s="330">
        <f t="shared" ca="1" si="0"/>
        <v>1E-3</v>
      </c>
      <c r="I65" s="1457" t="s">
        <v>867</v>
      </c>
      <c r="J65" s="1458">
        <v>40</v>
      </c>
      <c r="K65" s="1458">
        <v>30</v>
      </c>
      <c r="L65" s="1458">
        <v>50</v>
      </c>
      <c r="M65" s="1460">
        <v>0.02</v>
      </c>
      <c r="O65" s="1413" t="s">
        <v>403</v>
      </c>
      <c r="P65" s="1414" t="s">
        <v>868</v>
      </c>
      <c r="Q65" s="1415">
        <f ca="1">C40+J29</f>
        <v>187590</v>
      </c>
      <c r="R65" s="1415" t="s">
        <v>818</v>
      </c>
    </row>
    <row r="66" spans="1:18" s="1379" customFormat="1" ht="16.2"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24.6" thickBot="1">
      <c r="A67" s="953" t="s">
        <v>394</v>
      </c>
      <c r="B67" s="963" t="s">
        <v>752</v>
      </c>
      <c r="C67" s="316">
        <f ca="1">C48-C58</f>
        <v>-186</v>
      </c>
      <c r="D67" s="959" t="s">
        <v>753</v>
      </c>
      <c r="E67" s="964"/>
      <c r="F67" s="965"/>
      <c r="O67" s="1423" t="s">
        <v>405</v>
      </c>
      <c r="P67" s="1414" t="s">
        <v>850</v>
      </c>
      <c r="Q67" s="1461">
        <f ca="1">L51</f>
        <v>188662</v>
      </c>
      <c r="R67" s="1415" t="s">
        <v>870</v>
      </c>
    </row>
    <row r="68" spans="1:18" s="1379" customFormat="1" ht="16.2" thickBot="1">
      <c r="A68" s="943" t="s">
        <v>395</v>
      </c>
      <c r="B68" s="944" t="s">
        <v>774</v>
      </c>
      <c r="C68" s="301">
        <f ca="1">ROUND(C67*(1-((1+F70)/(1+F68))^F69)/(F68-F70),0)</f>
        <v>-2262</v>
      </c>
      <c r="D68" s="961" t="s">
        <v>758</v>
      </c>
      <c r="E68" s="946" t="s">
        <v>759</v>
      </c>
      <c r="F68" s="312">
        <f ca="1">F40</f>
        <v>5.5E-2</v>
      </c>
      <c r="O68" s="1423" t="s">
        <v>406</v>
      </c>
      <c r="P68" s="1462" t="s">
        <v>871</v>
      </c>
      <c r="Q68" s="1415">
        <f ca="1">ROUND(Q69-Q70*Q71,0)</f>
        <v>9995</v>
      </c>
      <c r="R68" s="1415" t="s">
        <v>414</v>
      </c>
    </row>
    <row r="69" spans="1:18" s="1379" customFormat="1" ht="13.8" thickBot="1">
      <c r="A69" s="947"/>
      <c r="B69" s="948"/>
      <c r="C69" s="306"/>
      <c r="D69" s="966" t="s">
        <v>762</v>
      </c>
      <c r="E69" s="946" t="s">
        <v>763</v>
      </c>
      <c r="F69" s="333">
        <f ca="1">F41</f>
        <v>20.64</v>
      </c>
      <c r="O69" s="1423" t="s">
        <v>411</v>
      </c>
      <c r="P69" s="1462" t="s">
        <v>872</v>
      </c>
      <c r="Q69" s="1415">
        <f ca="1">C39</f>
        <v>12012</v>
      </c>
      <c r="R69" s="1415" t="s">
        <v>818</v>
      </c>
    </row>
    <row r="70" spans="1:18" s="1379" customFormat="1" ht="13.8" thickBot="1">
      <c r="A70" s="950"/>
      <c r="B70" s="951"/>
      <c r="C70" s="310"/>
      <c r="D70" s="962"/>
      <c r="E70" s="946" t="s">
        <v>766</v>
      </c>
      <c r="F70" s="1050"/>
      <c r="O70" s="1423" t="s">
        <v>412</v>
      </c>
      <c r="P70" s="1462" t="s">
        <v>873</v>
      </c>
      <c r="Q70" s="1415">
        <f ca="1">C13</f>
        <v>28815</v>
      </c>
      <c r="R70" s="1415" t="s">
        <v>818</v>
      </c>
    </row>
    <row r="71" spans="1:18" s="1379" customFormat="1" ht="13.8" thickBot="1">
      <c r="A71" s="967" t="s">
        <v>396</v>
      </c>
      <c r="B71" s="968" t="s">
        <v>776</v>
      </c>
      <c r="C71" s="336">
        <f ca="1">ROUND(C68*10000/F71,0)</f>
        <v>-656</v>
      </c>
      <c r="D71" s="969" t="s">
        <v>777</v>
      </c>
      <c r="E71" s="970" t="s">
        <v>778</v>
      </c>
      <c r="F71" s="339">
        <f ca="1">F43</f>
        <v>34471.17</v>
      </c>
      <c r="O71" s="1423" t="s">
        <v>413</v>
      </c>
      <c r="P71" s="1462" t="s">
        <v>874</v>
      </c>
      <c r="Q71" s="1426">
        <f ca="1">C76</f>
        <v>7.0000000000000007E-2</v>
      </c>
      <c r="R71" s="1415"/>
    </row>
    <row r="72" spans="1:18" s="1379" customFormat="1" ht="13.8" thickBot="1">
      <c r="B72" s="725"/>
      <c r="C72" s="725"/>
      <c r="O72" s="1423" t="s">
        <v>407</v>
      </c>
      <c r="P72" s="1414" t="s">
        <v>852</v>
      </c>
      <c r="Q72" s="1426">
        <f>L52</f>
        <v>0</v>
      </c>
      <c r="R72" s="1415"/>
    </row>
    <row r="73" spans="1:18" ht="16.2" thickBot="1">
      <c r="A73" s="1379"/>
      <c r="B73" s="725"/>
      <c r="C73" s="725"/>
      <c r="D73" s="1379"/>
      <c r="E73" s="1379"/>
      <c r="F73" s="1379"/>
      <c r="O73" s="1423" t="s">
        <v>408</v>
      </c>
      <c r="P73" s="1414" t="s">
        <v>855</v>
      </c>
      <c r="Q73" s="1415" t="e">
        <f ca="1">L58</f>
        <v>#DIV/0!</v>
      </c>
      <c r="R73" s="1415" t="s">
        <v>856</v>
      </c>
    </row>
    <row r="74" spans="1:18" ht="13.8"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8" thickBot="1">
      <c r="A75" s="1379"/>
      <c r="B75" s="340" t="s">
        <v>795</v>
      </c>
      <c r="C75" s="341">
        <f ca="1">ROUND(C13*C76,0)</f>
        <v>2017</v>
      </c>
      <c r="D75" s="1379"/>
      <c r="E75" s="1379"/>
      <c r="F75" s="1379"/>
      <c r="K75" s="1397"/>
      <c r="L75" s="1379"/>
      <c r="O75" s="1413" t="s">
        <v>409</v>
      </c>
      <c r="P75" s="1414" t="s">
        <v>838</v>
      </c>
      <c r="Q75" s="1415">
        <f ca="1">Q65+Q66</f>
        <v>187590</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0.84599999999999997</v>
      </c>
    </row>
    <row r="83" spans="2:3">
      <c r="B83" s="273" t="s">
        <v>803</v>
      </c>
      <c r="C83" s="274">
        <f ca="1">ROUND(C13/C40,3)</f>
        <v>0.154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I42" sqref="I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3" customWidth="1"/>
    <col min="12" max="12" width="16.33203125" style="258" customWidth="1"/>
    <col min="13" max="13" width="13" style="258" customWidth="1"/>
    <col min="14" max="14" width="13.77734375" style="1379" customWidth="1"/>
    <col min="15" max="15" width="5.109375" style="1379" customWidth="1"/>
    <col min="16" max="16" width="25.77734375" style="1379" customWidth="1"/>
    <col min="17" max="17" width="13.77734375" style="1379" customWidth="1"/>
    <col min="18" max="18" width="20.44140625" style="1379" customWidth="1"/>
    <col min="19" max="19" width="13.21875" style="1379" customWidth="1"/>
    <col min="20" max="37" width="9" style="1379"/>
    <col min="38" max="16384" width="9" style="258"/>
  </cols>
  <sheetData>
    <row r="1" spans="1:37" s="293" customFormat="1" ht="21.6">
      <c r="A1" s="1370" t="s">
        <v>877</v>
      </c>
      <c r="B1" s="712"/>
      <c r="C1" s="1374" t="s">
        <v>21</v>
      </c>
      <c r="D1" s="1357" t="s">
        <v>43</v>
      </c>
      <c r="E1" s="1358" t="s">
        <v>678</v>
      </c>
      <c r="F1" s="1058">
        <f ca="1">J53</f>
        <v>30.64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297620</v>
      </c>
      <c r="C2" s="1382" t="s">
        <v>805</v>
      </c>
      <c r="D2" s="1382"/>
      <c r="E2" s="1383"/>
      <c r="F2" s="1384"/>
      <c r="G2" s="2677"/>
      <c r="H2" s="2666"/>
      <c r="I2" s="2666"/>
      <c r="J2" s="2666"/>
      <c r="K2" s="2667"/>
      <c r="L2" s="2666"/>
      <c r="M2" s="2666"/>
    </row>
    <row r="3" spans="1:37" ht="18" customHeight="1" thickBot="1">
      <c r="A3" s="1385" t="s">
        <v>806</v>
      </c>
      <c r="B3" s="1386">
        <f ca="1">IF(ISERROR(B2*10000/F43),0,ROUND(B2*10000/F43,0))</f>
        <v>84310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17416</v>
      </c>
      <c r="D5" s="1359" t="s">
        <v>693</v>
      </c>
      <c r="E5" s="1067"/>
      <c r="F5" s="1068"/>
      <c r="G5" s="1379"/>
      <c r="H5" s="299">
        <v>1</v>
      </c>
      <c r="I5" s="300" t="s">
        <v>692</v>
      </c>
      <c r="J5" s="1066">
        <f ca="1">J6+J10+J12</f>
        <v>0</v>
      </c>
      <c r="K5" s="1359" t="s">
        <v>693</v>
      </c>
      <c r="L5" s="1067"/>
      <c r="M5" s="1068"/>
    </row>
    <row r="6" spans="1:37" ht="18" customHeight="1">
      <c r="A6" s="1065" t="s">
        <v>398</v>
      </c>
      <c r="B6" s="3760" t="s">
        <v>694</v>
      </c>
      <c r="C6" s="1070">
        <f ca="1">ROUND(F6*F8*F7*(1-F9)/10000,0)</f>
        <v>17394</v>
      </c>
      <c r="D6" s="155" t="s">
        <v>2091</v>
      </c>
      <c r="E6" s="302" t="s">
        <v>696</v>
      </c>
      <c r="F6" s="303">
        <f ca="1">INDIRECT("'数据-取费表'!u"&amp;$G$1)</f>
        <v>15</v>
      </c>
      <c r="G6" s="1379"/>
      <c r="H6" s="1065" t="s">
        <v>398</v>
      </c>
      <c r="I6" s="3760" t="s">
        <v>694</v>
      </c>
      <c r="J6" s="301">
        <f ca="1">ROUND(M6*M8*M7*(1-M9)/10000,0)</f>
        <v>0</v>
      </c>
      <c r="K6" s="155" t="s">
        <v>2090</v>
      </c>
      <c r="L6" s="302" t="s">
        <v>696</v>
      </c>
      <c r="M6" s="303">
        <f ca="1">INDIRECT("'数据-取费表'!z"&amp;$G$1)</f>
        <v>0</v>
      </c>
    </row>
    <row r="7" spans="1:37" ht="18" customHeight="1">
      <c r="A7" s="1069"/>
      <c r="B7" s="3761"/>
      <c r="C7" s="1071"/>
      <c r="D7" s="307"/>
      <c r="E7" s="3422" t="s">
        <v>697</v>
      </c>
      <c r="F7" s="303">
        <f ca="1">IF(INDIRECT("'数据-取费表'!ah"&amp;$G$1)="",INDIRECT("'数据-取费表'!k"&amp;$G$1),INDIRECT("'数据-取费表'!ah"&amp;$G$1))</f>
        <v>35300.840000000011</v>
      </c>
      <c r="G7" s="1379"/>
      <c r="H7" s="304"/>
      <c r="I7" s="3761"/>
      <c r="J7" s="306"/>
      <c r="K7" s="307"/>
      <c r="L7" s="302" t="s">
        <v>697</v>
      </c>
      <c r="M7" s="303">
        <f ca="1">F7</f>
        <v>35300.840000000011</v>
      </c>
    </row>
    <row r="8" spans="1:37" ht="18" customHeight="1">
      <c r="A8" s="304"/>
      <c r="B8" s="3761"/>
      <c r="C8" s="306"/>
      <c r="D8" s="307"/>
      <c r="E8" s="302" t="s">
        <v>698</v>
      </c>
      <c r="F8" s="303">
        <f ca="1">INDIRECT("'数据-取费表'!ai"&amp;$G$1)</f>
        <v>365</v>
      </c>
      <c r="G8" s="1379"/>
      <c r="H8" s="304"/>
      <c r="I8" s="3761"/>
      <c r="J8" s="306"/>
      <c r="K8" s="307"/>
      <c r="L8" s="302" t="s">
        <v>698</v>
      </c>
      <c r="M8" s="303">
        <f ca="1">INDIRECT("'数据-取费表'!ai"&amp;$G$1)</f>
        <v>365</v>
      </c>
    </row>
    <row r="9" spans="1:37" ht="18" customHeight="1">
      <c r="A9" s="304"/>
      <c r="B9" s="3762"/>
      <c r="C9" s="306"/>
      <c r="D9" s="307"/>
      <c r="E9" s="302" t="s">
        <v>699</v>
      </c>
      <c r="F9" s="312">
        <f ca="1">INDIRECT("'数据-取费表'!w"&amp;$G$1)</f>
        <v>0.1</v>
      </c>
      <c r="G9" s="1379"/>
      <c r="H9" s="304"/>
      <c r="I9" s="3762"/>
      <c r="J9" s="306"/>
      <c r="K9" s="307"/>
      <c r="L9" s="313" t="s">
        <v>699</v>
      </c>
      <c r="M9" s="314">
        <f ca="1">INDIRECT("'数据-取费表'!ab"&amp;$G$1)</f>
        <v>0</v>
      </c>
    </row>
    <row r="10" spans="1:37" ht="18" customHeight="1">
      <c r="A10" s="1065" t="s">
        <v>402</v>
      </c>
      <c r="B10" s="1360" t="s">
        <v>700</v>
      </c>
      <c r="C10" s="316">
        <f ca="1">ROUND(IF(F10="押一",C6/12*F11,IF(F10="押二",C6/12*2*F11,IF(F10="押三",C6/12*3*F11,C11*F11))),0)</f>
        <v>22</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29509</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30111</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161</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349</v>
      </c>
      <c r="D20" s="2422" t="s">
        <v>729</v>
      </c>
      <c r="E20" s="302" t="s">
        <v>712</v>
      </c>
      <c r="F20" s="322">
        <f>'数据-取费表'!B37</f>
        <v>1.4999999999999999E-2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150.56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815</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-161</v>
      </c>
      <c r="K25" s="1091" t="s">
        <v>753</v>
      </c>
      <c r="L25" s="1092"/>
      <c r="M25" s="1093"/>
    </row>
    <row r="26" spans="1:37">
      <c r="A26" s="978" t="s">
        <v>397</v>
      </c>
      <c r="B26" s="302" t="s">
        <v>754</v>
      </c>
      <c r="C26" s="21">
        <f ca="1">ROUND((C19+C20)*F26,0)</f>
        <v>3542</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30111</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3193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2926.21</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927.68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1987.89</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150.56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29.51</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87.08</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14223</v>
      </c>
      <c r="D39" s="1091" t="s">
        <v>753</v>
      </c>
      <c r="E39" s="1092"/>
      <c r="F39" s="1093"/>
      <c r="G39" s="1379"/>
      <c r="H39" s="2671"/>
      <c r="I39" s="1393"/>
      <c r="J39" s="1394"/>
      <c r="K39" s="2675"/>
      <c r="L39" s="2671"/>
      <c r="M39" s="2671"/>
    </row>
    <row r="40" spans="1:18" ht="18" customHeight="1">
      <c r="A40" s="299" t="s">
        <v>395</v>
      </c>
      <c r="B40" s="300" t="s">
        <v>774</v>
      </c>
      <c r="C40" s="301">
        <f ca="1">ROUND(C39*(1-((1+F42)/(1+F40))^F41)/(F40-F42),0)</f>
        <v>296067</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f ca="1">C13*10000/F7</f>
        <v>8359.2911670090543</v>
      </c>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83870</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8" thickBot="1">
      <c r="A46" s="1399" t="s">
        <v>809</v>
      </c>
      <c r="C46" s="1400">
        <f ca="1">C68-C40</f>
        <v>-298866</v>
      </c>
      <c r="D46" s="1401" t="str">
        <f>C2</f>
        <v>万元</v>
      </c>
      <c r="E46" s="1395"/>
      <c r="F46" s="1395"/>
      <c r="I46" s="1402" t="s">
        <v>810</v>
      </c>
      <c r="J46" s="1403"/>
      <c r="K46" s="1404"/>
      <c r="L46" s="1405">
        <f ca="1">IF(M47="住宅",0,IF(L48&gt;J51,L60,J60))</f>
        <v>1553</v>
      </c>
      <c r="O46" s="1406" t="s">
        <v>811</v>
      </c>
      <c r="P46" s="1407" t="s">
        <v>812</v>
      </c>
      <c r="Q46" s="1408" t="s">
        <v>813</v>
      </c>
      <c r="R46" s="1408" t="s">
        <v>814</v>
      </c>
    </row>
    <row r="47" spans="1:18" s="1379" customFormat="1" ht="13.8"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296067</v>
      </c>
      <c r="R47" s="1415" t="s">
        <v>818</v>
      </c>
    </row>
    <row r="48" spans="1:18" s="1379" customFormat="1" ht="40.200000000000003"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1553</v>
      </c>
      <c r="R48" s="1415" t="s">
        <v>822</v>
      </c>
    </row>
    <row r="49" spans="1:18" s="1379" customFormat="1" ht="13.8"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30111</v>
      </c>
      <c r="R49" s="1415" t="s">
        <v>818</v>
      </c>
    </row>
    <row r="50" spans="1:18" s="1379" customFormat="1" ht="13.8"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8"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229480</v>
      </c>
      <c r="M51" s="1431"/>
      <c r="O51" s="1423" t="s">
        <v>407</v>
      </c>
      <c r="P51" s="1414" t="s">
        <v>831</v>
      </c>
      <c r="Q51" s="1426">
        <f>J52</f>
        <v>7.5000000000000011E-2</v>
      </c>
      <c r="R51" s="1415"/>
    </row>
    <row r="52" spans="1:18" s="1379" customFormat="1" ht="13.8"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36.6"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63" t="s">
        <v>837</v>
      </c>
      <c r="L53" s="3764"/>
      <c r="O53" s="1413" t="s">
        <v>409</v>
      </c>
      <c r="P53" s="1414" t="s">
        <v>838</v>
      </c>
      <c r="Q53" s="1415">
        <f ca="1">Q47+Q48</f>
        <v>297620</v>
      </c>
      <c r="R53" s="1415" t="s">
        <v>410</v>
      </c>
    </row>
    <row r="54" spans="1:18" s="1379" customFormat="1" ht="24.6"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8"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37.200000000000003" thickTop="1" thickBot="1">
      <c r="A56" s="953">
        <v>2</v>
      </c>
      <c r="B56" s="954" t="s">
        <v>704</v>
      </c>
      <c r="C56" s="232">
        <f ca="1">C13</f>
        <v>29509</v>
      </c>
      <c r="D56" s="1442"/>
      <c r="E56" s="1443"/>
      <c r="F56" s="1435"/>
      <c r="I56" s="1444" t="s">
        <v>842</v>
      </c>
      <c r="J56" s="1445" t="s">
        <v>3386</v>
      </c>
      <c r="K56" s="1416" t="s">
        <v>843</v>
      </c>
      <c r="L56" s="1419" t="str">
        <f ca="1">IF(L48&lt;J51,"——",L48-J53)</f>
        <v>——</v>
      </c>
      <c r="O56" s="1413" t="s">
        <v>403</v>
      </c>
      <c r="P56" s="1414" t="s">
        <v>817</v>
      </c>
      <c r="Q56" s="1415">
        <f ca="1">C40+J29</f>
        <v>296067</v>
      </c>
      <c r="R56" s="1415" t="s">
        <v>818</v>
      </c>
    </row>
    <row r="57" spans="1:18" s="1379" customFormat="1" ht="24.6" thickBot="1">
      <c r="A57" s="1446"/>
      <c r="B57" s="946" t="s">
        <v>767</v>
      </c>
      <c r="C57" s="238">
        <f ca="1">C29</f>
        <v>30111</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6" thickBot="1">
      <c r="A58" s="315" t="s">
        <v>393</v>
      </c>
      <c r="B58" s="954" t="s">
        <v>714</v>
      </c>
      <c r="C58" s="316">
        <f ca="1">ROUND(C59+C64+C65+C66,0)</f>
        <v>191</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6"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14243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2"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1553</v>
      </c>
      <c r="K60" s="1455" t="s">
        <v>854</v>
      </c>
      <c r="L60" s="1454">
        <f ca="1">IF(OR(M47="住宅",L48&lt;J51),0,ROUND(L57*(L58/L59-1),0))</f>
        <v>0</v>
      </c>
      <c r="O60" s="1423" t="s">
        <v>407</v>
      </c>
      <c r="P60" s="1414" t="s">
        <v>855</v>
      </c>
      <c r="Q60" s="1415" t="e">
        <f ca="1">L58</f>
        <v>#DIV/0!</v>
      </c>
      <c r="R60" s="1415" t="s">
        <v>856</v>
      </c>
    </row>
    <row r="61" spans="1:18" s="1379" customFormat="1" ht="13.8"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8"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296067</v>
      </c>
      <c r="R62" s="1415" t="s">
        <v>410</v>
      </c>
    </row>
    <row r="63" spans="1:18" s="1379" customFormat="1" ht="13.8"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8" thickBot="1">
      <c r="A64" s="978" t="s">
        <v>402</v>
      </c>
      <c r="B64" s="946" t="s">
        <v>738</v>
      </c>
      <c r="C64" s="21">
        <f ca="1">ROUND(C57*F64,2)</f>
        <v>150.56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8" thickBot="1">
      <c r="A65" s="978" t="s">
        <v>792</v>
      </c>
      <c r="B65" s="946" t="s">
        <v>742</v>
      </c>
      <c r="C65" s="21">
        <f ca="1">ROUND(C56*F65,2)</f>
        <v>29.51</v>
      </c>
      <c r="D65" s="960" t="s">
        <v>743</v>
      </c>
      <c r="E65" s="946" t="s">
        <v>712</v>
      </c>
      <c r="F65" s="330">
        <f t="shared" ca="1" si="0"/>
        <v>1E-3</v>
      </c>
      <c r="I65" s="1457" t="s">
        <v>867</v>
      </c>
      <c r="J65" s="1458">
        <v>40</v>
      </c>
      <c r="K65" s="1458">
        <v>30</v>
      </c>
      <c r="L65" s="1458">
        <v>50</v>
      </c>
      <c r="M65" s="1460">
        <v>0.02</v>
      </c>
      <c r="O65" s="1413" t="s">
        <v>403</v>
      </c>
      <c r="P65" s="1414" t="s">
        <v>817</v>
      </c>
      <c r="Q65" s="1415">
        <f ca="1">C40+J29</f>
        <v>296067</v>
      </c>
      <c r="R65" s="1415" t="s">
        <v>818</v>
      </c>
    </row>
    <row r="66" spans="1:18" s="1379" customFormat="1" ht="16.2"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24.6" thickBot="1">
      <c r="A67" s="953" t="s">
        <v>394</v>
      </c>
      <c r="B67" s="963" t="s">
        <v>752</v>
      </c>
      <c r="C67" s="316">
        <f ca="1">C48-C58</f>
        <v>-191</v>
      </c>
      <c r="D67" s="959" t="s">
        <v>753</v>
      </c>
      <c r="E67" s="964"/>
      <c r="F67" s="965"/>
      <c r="O67" s="1423" t="s">
        <v>405</v>
      </c>
      <c r="P67" s="1414" t="s">
        <v>850</v>
      </c>
      <c r="Q67" s="1461">
        <f ca="1">L51</f>
        <v>229480</v>
      </c>
      <c r="R67" s="1415" t="s">
        <v>870</v>
      </c>
    </row>
    <row r="68" spans="1:18" s="1379" customFormat="1" ht="16.2" thickBot="1">
      <c r="A68" s="943" t="s">
        <v>395</v>
      </c>
      <c r="B68" s="944" t="s">
        <v>774</v>
      </c>
      <c r="C68" s="301">
        <f ca="1">ROUND(C67*(1-((1+F70)/(1+F68))^F69)/(F68-F70),0)</f>
        <v>-2799</v>
      </c>
      <c r="D68" s="961" t="s">
        <v>758</v>
      </c>
      <c r="E68" s="946" t="s">
        <v>759</v>
      </c>
      <c r="F68" s="312">
        <f ca="1">F40</f>
        <v>5.5E-2</v>
      </c>
      <c r="O68" s="1423" t="s">
        <v>406</v>
      </c>
      <c r="P68" s="1462" t="s">
        <v>871</v>
      </c>
      <c r="Q68" s="1415">
        <f ca="1">ROUND(Q69-Q70*Q71,0)</f>
        <v>12157</v>
      </c>
      <c r="R68" s="1415" t="s">
        <v>414</v>
      </c>
    </row>
    <row r="69" spans="1:18" s="1379" customFormat="1" ht="13.8" thickBot="1">
      <c r="A69" s="947"/>
      <c r="B69" s="948"/>
      <c r="C69" s="306"/>
      <c r="D69" s="966" t="s">
        <v>762</v>
      </c>
      <c r="E69" s="946" t="s">
        <v>763</v>
      </c>
      <c r="F69" s="333">
        <f ca="1">F41</f>
        <v>30.64</v>
      </c>
      <c r="O69" s="1423" t="s">
        <v>411</v>
      </c>
      <c r="P69" s="1462" t="s">
        <v>872</v>
      </c>
      <c r="Q69" s="1415">
        <f ca="1">C39</f>
        <v>14223</v>
      </c>
      <c r="R69" s="1415" t="s">
        <v>818</v>
      </c>
    </row>
    <row r="70" spans="1:18" s="1379" customFormat="1" ht="13.8" thickBot="1">
      <c r="A70" s="950"/>
      <c r="B70" s="951"/>
      <c r="C70" s="310"/>
      <c r="D70" s="962"/>
      <c r="E70" s="946" t="s">
        <v>766</v>
      </c>
      <c r="F70" s="1050"/>
      <c r="O70" s="1423" t="s">
        <v>412</v>
      </c>
      <c r="P70" s="1462" t="s">
        <v>873</v>
      </c>
      <c r="Q70" s="1415">
        <f ca="1">C13</f>
        <v>29509</v>
      </c>
      <c r="R70" s="1415" t="s">
        <v>818</v>
      </c>
    </row>
    <row r="71" spans="1:18" s="1379" customFormat="1" ht="13.8" thickBot="1">
      <c r="A71" s="967" t="s">
        <v>396</v>
      </c>
      <c r="B71" s="968" t="s">
        <v>776</v>
      </c>
      <c r="C71" s="336">
        <f ca="1">ROUND(C68*10000/F71,0)</f>
        <v>-793</v>
      </c>
      <c r="D71" s="969" t="s">
        <v>777</v>
      </c>
      <c r="E71" s="970" t="s">
        <v>778</v>
      </c>
      <c r="F71" s="339">
        <f ca="1">F43</f>
        <v>35300.840000000011</v>
      </c>
      <c r="O71" s="1423" t="s">
        <v>413</v>
      </c>
      <c r="P71" s="1462" t="s">
        <v>874</v>
      </c>
      <c r="Q71" s="1426">
        <f ca="1">C76</f>
        <v>7.0000000000000007E-2</v>
      </c>
      <c r="R71" s="1415"/>
    </row>
    <row r="72" spans="1:18" s="1379" customFormat="1" ht="13.8" thickBot="1">
      <c r="B72" s="725"/>
      <c r="C72" s="725"/>
      <c r="O72" s="1423" t="s">
        <v>407</v>
      </c>
      <c r="P72" s="1414" t="s">
        <v>852</v>
      </c>
      <c r="Q72" s="1426">
        <f>L52</f>
        <v>0</v>
      </c>
      <c r="R72" s="1415"/>
    </row>
    <row r="73" spans="1:18" ht="16.2" thickBot="1">
      <c r="A73" s="1379"/>
      <c r="B73" s="725"/>
      <c r="C73" s="725"/>
      <c r="D73" s="1379"/>
      <c r="E73" s="1379"/>
      <c r="F73" s="1379"/>
      <c r="O73" s="1423" t="s">
        <v>408</v>
      </c>
      <c r="P73" s="1414" t="s">
        <v>855</v>
      </c>
      <c r="Q73" s="1415" t="e">
        <f ca="1">L58</f>
        <v>#DIV/0!</v>
      </c>
      <c r="R73" s="1415" t="s">
        <v>856</v>
      </c>
    </row>
    <row r="74" spans="1:18" ht="13.8"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8" thickBot="1">
      <c r="A75" s="1379"/>
      <c r="B75" s="340" t="s">
        <v>795</v>
      </c>
      <c r="C75" s="341">
        <f ca="1">ROUND(C13*C76,0)</f>
        <v>2066</v>
      </c>
      <c r="D75" s="1379"/>
      <c r="E75" s="1379"/>
      <c r="F75" s="1379"/>
      <c r="K75" s="1397"/>
      <c r="L75" s="1379"/>
      <c r="O75" s="1413" t="s">
        <v>409</v>
      </c>
      <c r="P75" s="1414" t="s">
        <v>838</v>
      </c>
      <c r="Q75" s="1415">
        <f ca="1">Q65+Q66</f>
        <v>296067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2" customWidth="1"/>
    <col min="2" max="9" width="12.109375" style="1472" customWidth="1"/>
    <col min="10" max="16384" width="9" style="1472"/>
  </cols>
  <sheetData>
    <row r="1" spans="1:9" ht="18" thickBot="1">
      <c r="A1" s="3588" t="str">
        <f>IF(项目基本情况!B9="房地产市场价值","估价结果一览表","结果表-2")</f>
        <v>估价结果一览表</v>
      </c>
      <c r="B1" s="3588"/>
      <c r="C1" s="3588"/>
      <c r="D1" s="3588"/>
      <c r="E1" s="3588"/>
      <c r="F1" s="3588"/>
      <c r="G1" s="3588"/>
      <c r="H1" s="3588"/>
      <c r="I1" s="3588"/>
    </row>
    <row r="2" spans="1:9" ht="30" customHeight="1" thickTop="1">
      <c r="A2" s="3589" t="s">
        <v>928</v>
      </c>
      <c r="B2" s="3589" t="s">
        <v>929</v>
      </c>
      <c r="C2" s="3589" t="s">
        <v>930</v>
      </c>
      <c r="D2" s="3589" t="str">
        <f>结果表!D116</f>
        <v>出让国有建设用地使用权价值</v>
      </c>
      <c r="E2" s="3589"/>
      <c r="F2" s="3589" t="str">
        <f>结果表!F116</f>
        <v>在建建筑物价值</v>
      </c>
      <c r="G2" s="3589"/>
      <c r="H2" s="3589" t="str">
        <f>IF(项目基本情况!B9="房地产市场价值","房地产市场价值","房地产价值")</f>
        <v>房地产市场价值</v>
      </c>
      <c r="I2" s="3589"/>
    </row>
    <row r="3" spans="1:9" ht="15.6">
      <c r="A3" s="3584"/>
      <c r="B3" s="3584"/>
      <c r="C3" s="3584"/>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466699</v>
      </c>
      <c r="E4" s="850">
        <f ca="1">结果表!E118</f>
        <v>55314</v>
      </c>
      <c r="F4" s="850">
        <f ca="1">结果表!F118</f>
        <v>94237</v>
      </c>
      <c r="G4" s="850">
        <f ca="1">结果表!G118</f>
        <v>11169</v>
      </c>
      <c r="H4" s="850">
        <f ca="1">结果表!H118</f>
        <v>560936</v>
      </c>
      <c r="I4" s="850">
        <f ca="1">结果表!I118</f>
        <v>66483</v>
      </c>
    </row>
    <row r="5" spans="1:9" ht="30" customHeight="1">
      <c r="A5" s="3584" t="s">
        <v>927</v>
      </c>
      <c r="B5" s="3584"/>
      <c r="C5" s="3584"/>
      <c r="D5" s="3584" t="str">
        <f ca="1">结果表!D119</f>
        <v>肆拾陆亿陆仟陆佰玖拾玖万元整</v>
      </c>
      <c r="E5" s="3584"/>
      <c r="F5" s="3584" t="str">
        <f ca="1">结果表!F119</f>
        <v>玖亿肆仟贰佰叁拾柒万元整</v>
      </c>
      <c r="G5" s="3584"/>
      <c r="H5" s="3584" t="str">
        <f ca="1">结果表!H119</f>
        <v>伍拾陆亿零玖佰叁拾陆万元整</v>
      </c>
      <c r="I5" s="3584"/>
    </row>
    <row r="6" spans="1:9" ht="15.6">
      <c r="A6" s="3583" t="str">
        <f>结果表!A120</f>
        <v/>
      </c>
      <c r="B6" s="3583"/>
      <c r="C6" s="3583"/>
      <c r="D6" s="3583">
        <f>结果表!D120</f>
        <v>0</v>
      </c>
      <c r="E6" s="3583"/>
      <c r="F6" s="3583"/>
      <c r="G6" s="3583"/>
      <c r="H6" s="3583"/>
      <c r="I6" s="3583"/>
    </row>
    <row r="7" spans="1:9" ht="15">
      <c r="A7" s="3584" t="s">
        <v>927</v>
      </c>
      <c r="B7" s="3584"/>
      <c r="C7" s="3584"/>
      <c r="D7" s="3585" t="str">
        <f>结果表!D121</f>
        <v>零元整</v>
      </c>
      <c r="E7" s="3586"/>
      <c r="F7" s="3586"/>
      <c r="G7" s="3586"/>
      <c r="H7" s="3586"/>
      <c r="I7" s="3587"/>
    </row>
    <row r="8" spans="1:9" ht="15.6">
      <c r="A8" s="3583" t="str">
        <f>结果表!A122</f>
        <v/>
      </c>
      <c r="B8" s="3583"/>
      <c r="C8" s="3583"/>
      <c r="D8" s="3583">
        <f ca="1">结果表!D122</f>
        <v>560936</v>
      </c>
      <c r="E8" s="3583"/>
      <c r="F8" s="3583"/>
      <c r="G8" s="3583"/>
      <c r="H8" s="3583"/>
      <c r="I8" s="3583"/>
    </row>
    <row r="9" spans="1:9" ht="15">
      <c r="A9" s="3584" t="s">
        <v>927</v>
      </c>
      <c r="B9" s="3584"/>
      <c r="C9" s="3584"/>
      <c r="D9" s="3584" t="str">
        <f ca="1">结果表!D123</f>
        <v>伍拾陆亿零玖佰叁拾陆万元整</v>
      </c>
      <c r="E9" s="3584"/>
      <c r="F9" s="3584"/>
      <c r="G9" s="3584"/>
      <c r="H9" s="3584"/>
      <c r="I9" s="3584"/>
    </row>
    <row r="10" spans="1:9" ht="15.6">
      <c r="A10" s="3583" t="str">
        <f>结果表!A124</f>
        <v/>
      </c>
      <c r="B10" s="3583"/>
      <c r="C10" s="3583"/>
      <c r="D10" s="3583" t="str">
        <f>结果表!D124</f>
        <v>——</v>
      </c>
      <c r="E10" s="3583"/>
      <c r="F10" s="3583"/>
      <c r="G10" s="3583"/>
      <c r="H10" s="3583"/>
      <c r="I10" s="3583"/>
    </row>
    <row r="11" spans="1:9" ht="15">
      <c r="A11" s="3584" t="s">
        <v>927</v>
      </c>
      <c r="B11" s="3584"/>
      <c r="C11" s="3584"/>
      <c r="D11" s="3584" t="e">
        <f>结果表!D125</f>
        <v>#VALUE!</v>
      </c>
      <c r="E11" s="3584"/>
      <c r="F11" s="3584"/>
      <c r="G11" s="3584"/>
      <c r="H11" s="3584"/>
      <c r="I11" s="3584"/>
    </row>
    <row r="12" spans="1:9" ht="15.6">
      <c r="A12" s="3583" t="str">
        <f>结果表!A126</f>
        <v/>
      </c>
      <c r="B12" s="3583"/>
      <c r="C12" s="3583"/>
      <c r="D12" s="3583">
        <f ca="1">结果表!D126</f>
        <v>504028</v>
      </c>
      <c r="E12" s="3583"/>
      <c r="F12" s="3583"/>
      <c r="G12" s="3583"/>
      <c r="H12" s="3583"/>
      <c r="I12" s="3583"/>
    </row>
    <row r="13" spans="1:9" ht="15.6" thickBot="1">
      <c r="A13" s="3581" t="s">
        <v>927</v>
      </c>
      <c r="B13" s="3581"/>
      <c r="C13" s="3581"/>
      <c r="D13" s="3581" t="str">
        <f ca="1">结果表!D127</f>
        <v>伍拾亿肆仟零贰拾捌万元整</v>
      </c>
      <c r="E13" s="3581"/>
      <c r="F13" s="3581"/>
      <c r="G13" s="3581"/>
      <c r="H13" s="3581"/>
      <c r="I13" s="3581"/>
    </row>
    <row r="14" spans="1:9" ht="14.4" thickTop="1">
      <c r="A14" s="3582" t="s">
        <v>932</v>
      </c>
      <c r="B14" s="3582"/>
      <c r="C14" s="3582"/>
      <c r="D14" s="3582"/>
      <c r="E14" s="3582"/>
      <c r="F14" s="3582"/>
      <c r="G14" s="3582"/>
      <c r="H14" s="3582"/>
      <c r="I14" s="3582"/>
    </row>
    <row r="16" spans="1:9" ht="17.399999999999999">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4.4"/>
  <cols>
    <col min="3" max="3" width="12.88671875" customWidth="1"/>
  </cols>
  <sheetData>
    <row r="1" spans="1:11">
      <c r="B1" s="3490" t="s">
        <v>4360</v>
      </c>
      <c r="C1" s="3490" t="s">
        <v>4361</v>
      </c>
      <c r="D1" s="3490" t="s">
        <v>4363</v>
      </c>
      <c r="E1" s="3490" t="s">
        <v>4364</v>
      </c>
      <c r="F1" s="3490" t="s">
        <v>4366</v>
      </c>
      <c r="G1" s="3490" t="s">
        <v>4367</v>
      </c>
      <c r="H1" s="3490" t="s">
        <v>4368</v>
      </c>
      <c r="I1" s="3490" t="s">
        <v>4369</v>
      </c>
      <c r="J1" s="3490" t="s">
        <v>4370</v>
      </c>
    </row>
    <row r="2" spans="1:11">
      <c r="A2" s="3225">
        <v>1</v>
      </c>
      <c r="B2" s="3561" t="s">
        <v>4359</v>
      </c>
      <c r="C2" s="3561" t="s">
        <v>4362</v>
      </c>
      <c r="D2" s="3225">
        <v>77</v>
      </c>
      <c r="E2" s="3561" t="s">
        <v>4365</v>
      </c>
      <c r="F2" s="3225">
        <v>335.42</v>
      </c>
      <c r="G2" s="3225">
        <v>335.42</v>
      </c>
      <c r="H2" s="3225">
        <v>335.42</v>
      </c>
      <c r="I2" s="3225">
        <v>355.19</v>
      </c>
      <c r="J2" s="3225">
        <v>355.19</v>
      </c>
      <c r="K2" s="3225"/>
    </row>
    <row r="3" spans="1:11">
      <c r="A3" s="3225"/>
      <c r="B3" s="3225"/>
      <c r="C3" s="3225"/>
      <c r="D3" s="3225"/>
      <c r="E3" s="3561" t="s">
        <v>654</v>
      </c>
      <c r="F3" s="3562">
        <f>F2/30</f>
        <v>11.180666666666667</v>
      </c>
      <c r="G3" s="3562">
        <f t="shared" ref="G3:K3" si="0">G2/30</f>
        <v>11.180666666666667</v>
      </c>
      <c r="H3" s="3562">
        <f t="shared" si="0"/>
        <v>11.180666666666667</v>
      </c>
      <c r="I3" s="3562">
        <f t="shared" si="0"/>
        <v>11.839666666666666</v>
      </c>
      <c r="J3" s="3562">
        <f t="shared" si="0"/>
        <v>11.839666666666666</v>
      </c>
      <c r="K3" s="3562">
        <f t="shared" si="0"/>
        <v>0</v>
      </c>
    </row>
    <row r="4" spans="1:11">
      <c r="E4" s="3490" t="s">
        <v>4371</v>
      </c>
      <c r="F4" s="3225">
        <f>60/30</f>
        <v>2</v>
      </c>
    </row>
    <row r="6" spans="1:11">
      <c r="A6">
        <v>2</v>
      </c>
      <c r="B6" s="3490" t="s">
        <v>4372</v>
      </c>
      <c r="C6" s="3490" t="s">
        <v>4373</v>
      </c>
      <c r="D6">
        <v>7240.53</v>
      </c>
      <c r="E6" s="3490" t="s">
        <v>4374</v>
      </c>
      <c r="F6">
        <v>456.67</v>
      </c>
      <c r="G6">
        <v>456.67</v>
      </c>
      <c r="H6">
        <v>456.67</v>
      </c>
      <c r="I6">
        <v>479.5</v>
      </c>
      <c r="J6">
        <f>I6</f>
        <v>479.5</v>
      </c>
      <c r="K6">
        <f>J6</f>
        <v>479.5</v>
      </c>
    </row>
    <row r="7" spans="1:11">
      <c r="E7" s="3561" t="s">
        <v>654</v>
      </c>
      <c r="F7" s="3560">
        <f>F6/30</f>
        <v>15.222333333333333</v>
      </c>
      <c r="G7" s="3560">
        <f t="shared" ref="G7:I7" si="1">G6/30</f>
        <v>15.222333333333333</v>
      </c>
      <c r="H7" s="3560">
        <f t="shared" si="1"/>
        <v>15.222333333333333</v>
      </c>
      <c r="I7" s="3560">
        <f t="shared" si="1"/>
        <v>15.983333333333333</v>
      </c>
      <c r="J7" s="3560">
        <f>J6/30</f>
        <v>15.983333333333333</v>
      </c>
      <c r="K7" s="3560">
        <f t="shared" ref="K7" si="2">K6/30</f>
        <v>15.983333333333333</v>
      </c>
    </row>
    <row r="8" spans="1:11">
      <c r="E8" s="3490" t="s">
        <v>4371</v>
      </c>
      <c r="F8" s="3225">
        <f>30/30</f>
        <v>1</v>
      </c>
      <c r="I8">
        <f>(I7-H7)/H7</f>
        <v>4.9992335822366209E-2</v>
      </c>
    </row>
    <row r="15" spans="1:11">
      <c r="C15">
        <f ca="1">收益法!C6+收益法办!C6+收益法车!C6</f>
        <v>32580</v>
      </c>
      <c r="D15">
        <f ca="1">C15/0.055</f>
        <v>592363.63636363635</v>
      </c>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19" zoomScale="90" zoomScaleNormal="70" zoomScaleSheetLayoutView="90" workbookViewId="0">
      <selection activeCell="I37" sqref="I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3" customWidth="1"/>
    <col min="12" max="12" width="16.33203125" style="258" customWidth="1"/>
    <col min="13" max="13" width="13" style="258" customWidth="1"/>
    <col min="14" max="14" width="13.77734375" style="1379" customWidth="1"/>
    <col min="15" max="15" width="5.109375" style="1379" customWidth="1"/>
    <col min="16" max="16" width="25.77734375" style="1379" customWidth="1"/>
    <col min="17" max="17" width="13.77734375" style="1379" customWidth="1"/>
    <col min="18" max="18" width="20.44140625" style="1379" customWidth="1"/>
    <col min="19" max="19" width="13.21875" style="1379" customWidth="1"/>
    <col min="20" max="37" width="9" style="1379"/>
    <col min="38" max="16384" width="9" style="258"/>
  </cols>
  <sheetData>
    <row r="1" spans="1:37" s="293" customFormat="1" ht="21.6">
      <c r="A1" s="1370" t="s">
        <v>877</v>
      </c>
      <c r="B1" s="712"/>
      <c r="C1" s="1374" t="s">
        <v>4274</v>
      </c>
      <c r="D1" s="1357" t="s">
        <v>43</v>
      </c>
      <c r="E1" s="1358" t="s">
        <v>678</v>
      </c>
      <c r="F1" s="1058">
        <f ca="1">J53</f>
        <v>30.64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7103</v>
      </c>
      <c r="C2" s="1382" t="s">
        <v>805</v>
      </c>
      <c r="D2" s="1382"/>
      <c r="E2" s="1383"/>
      <c r="F2" s="1384"/>
      <c r="G2" s="2677"/>
      <c r="H2" s="2666"/>
      <c r="I2" s="2666"/>
      <c r="J2" s="2666"/>
      <c r="K2" s="2667"/>
      <c r="L2" s="2666"/>
      <c r="M2" s="2666"/>
    </row>
    <row r="3" spans="1:37" ht="18" customHeight="1" thickBot="1">
      <c r="A3" s="1385" t="s">
        <v>806</v>
      </c>
      <c r="B3" s="1386">
        <f ca="1">IF(ISERROR(B2*10000/F43),0,ROUND(B2*10000/F43,0))</f>
        <v>4865</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465</v>
      </c>
      <c r="D5" s="1359" t="s">
        <v>693</v>
      </c>
      <c r="E5" s="1067"/>
      <c r="F5" s="1068"/>
      <c r="G5" s="1379"/>
      <c r="H5" s="299">
        <v>1</v>
      </c>
      <c r="I5" s="300" t="s">
        <v>692</v>
      </c>
      <c r="J5" s="1066">
        <f ca="1">J6+J10+J12</f>
        <v>0</v>
      </c>
      <c r="K5" s="1359" t="s">
        <v>693</v>
      </c>
      <c r="L5" s="1067"/>
      <c r="M5" s="1068"/>
    </row>
    <row r="6" spans="1:37" ht="18" customHeight="1">
      <c r="A6" s="1065" t="s">
        <v>398</v>
      </c>
      <c r="B6" s="3760" t="s">
        <v>694</v>
      </c>
      <c r="C6" s="1070">
        <f ca="1">ROUND(F6*F8*F7*(1-F9)/10000,0)</f>
        <v>465</v>
      </c>
      <c r="D6" s="155" t="s">
        <v>2091</v>
      </c>
      <c r="E6" s="302" t="s">
        <v>696</v>
      </c>
      <c r="F6" s="303">
        <f ca="1">INDIRECT("'数据-取费表'!u"&amp;$G$1)</f>
        <v>1500</v>
      </c>
      <c r="G6" s="1379"/>
      <c r="H6" s="1065" t="s">
        <v>398</v>
      </c>
      <c r="I6" s="3760" t="s">
        <v>694</v>
      </c>
      <c r="J6" s="301">
        <f ca="1">ROUND(M6*M8*M7*(1-M9)/10000,0)</f>
        <v>0</v>
      </c>
      <c r="K6" s="155" t="s">
        <v>2090</v>
      </c>
      <c r="L6" s="302" t="s">
        <v>696</v>
      </c>
      <c r="M6" s="303">
        <f ca="1">INDIRECT("'数据-取费表'!z"&amp;$G$1)</f>
        <v>0</v>
      </c>
    </row>
    <row r="7" spans="1:37" ht="18" customHeight="1">
      <c r="A7" s="1069"/>
      <c r="B7" s="3761"/>
      <c r="C7" s="1071"/>
      <c r="D7" s="307"/>
      <c r="E7" s="3422" t="s">
        <v>697</v>
      </c>
      <c r="F7" s="303">
        <f ca="1">IF(INDIRECT("'数据-取费表'!ah"&amp;$G$1)="",INDIRECT("'数据-取费表'!k"&amp;$G$1),INDIRECT("'数据-取费表'!ah"&amp;$G$1))</f>
        <v>287</v>
      </c>
      <c r="G7" s="1379"/>
      <c r="H7" s="304"/>
      <c r="I7" s="3761"/>
      <c r="J7" s="306"/>
      <c r="K7" s="307"/>
      <c r="L7" s="302" t="s">
        <v>697</v>
      </c>
      <c r="M7" s="303">
        <f ca="1">F7</f>
        <v>287</v>
      </c>
    </row>
    <row r="8" spans="1:37" ht="18" customHeight="1">
      <c r="A8" s="304"/>
      <c r="B8" s="3761"/>
      <c r="C8" s="306"/>
      <c r="D8" s="307"/>
      <c r="E8" s="302" t="s">
        <v>698</v>
      </c>
      <c r="F8" s="303">
        <f ca="1">INDIRECT("'数据-取费表'!ai"&amp;$G$1)</f>
        <v>12</v>
      </c>
      <c r="G8" s="1379"/>
      <c r="H8" s="304"/>
      <c r="I8" s="3761"/>
      <c r="J8" s="306"/>
      <c r="K8" s="307"/>
      <c r="L8" s="302" t="s">
        <v>698</v>
      </c>
      <c r="M8" s="303">
        <f ca="1">INDIRECT("'数据-取费表'!ai"&amp;$G$1)</f>
        <v>12</v>
      </c>
    </row>
    <row r="9" spans="1:37" ht="18" customHeight="1">
      <c r="A9" s="304"/>
      <c r="B9" s="3762"/>
      <c r="C9" s="306"/>
      <c r="D9" s="307"/>
      <c r="E9" s="302" t="s">
        <v>699</v>
      </c>
      <c r="F9" s="312">
        <f ca="1">INDIRECT("'数据-取费表'!w"&amp;$G$1)</f>
        <v>0.1</v>
      </c>
      <c r="G9" s="1379"/>
      <c r="H9" s="304"/>
      <c r="I9" s="3762"/>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11155</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11383</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61</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144</v>
      </c>
      <c r="D20" s="2422" t="s">
        <v>729</v>
      </c>
      <c r="E20" s="302" t="s">
        <v>712</v>
      </c>
      <c r="F20" s="322">
        <f>'数据-取费表'!B37</f>
        <v>1.4999999999999999E-2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56.92</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337</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-61</v>
      </c>
      <c r="K25" s="1091" t="s">
        <v>753</v>
      </c>
      <c r="L25" s="1092"/>
      <c r="M25" s="1093"/>
    </row>
    <row r="26" spans="1:37">
      <c r="A26" s="978" t="s">
        <v>397</v>
      </c>
      <c r="B26" s="302" t="s">
        <v>754</v>
      </c>
      <c r="C26" s="21">
        <f ca="1">ROUND((C19+C20)*F26,0)</f>
        <v>488</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8.0000000000000004E-4</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11383</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153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82.34</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24.8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53.14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56.92</v>
      </c>
      <c r="D36" s="3504" t="s">
        <v>771</v>
      </c>
      <c r="E36" s="302" t="s">
        <v>712</v>
      </c>
      <c r="F36" s="328">
        <f ca="1">INDIRECT("'数据-取费表'!Ak"&amp;$G$1)</f>
        <v>5.0000000000000001E-3</v>
      </c>
      <c r="G36" s="1379"/>
      <c r="H36" s="2671"/>
      <c r="I36" s="1393">
        <f ca="1">C13*10000/F43</f>
        <v>7639.8405872438288</v>
      </c>
      <c r="J36" s="1394"/>
      <c r="K36" s="2517"/>
      <c r="L36" s="2671"/>
      <c r="M36" s="2671"/>
    </row>
    <row r="37" spans="1:18" ht="18" customHeight="1">
      <c r="A37" s="978" t="s">
        <v>437</v>
      </c>
      <c r="B37" s="302" t="s">
        <v>742</v>
      </c>
      <c r="C37" s="21">
        <f ca="1">ROUND(C13*F37,2)</f>
        <v>11.16</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2.33</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312</v>
      </c>
      <c r="D39" s="1091" t="s">
        <v>753</v>
      </c>
      <c r="E39" s="1092"/>
      <c r="F39" s="1093"/>
      <c r="G39" s="1379"/>
      <c r="H39" s="2671"/>
      <c r="I39" s="1393"/>
      <c r="J39" s="1394"/>
      <c r="K39" s="2675"/>
      <c r="L39" s="2671"/>
      <c r="M39" s="2671"/>
    </row>
    <row r="40" spans="1:18" ht="18" customHeight="1">
      <c r="A40" s="299" t="s">
        <v>395</v>
      </c>
      <c r="B40" s="300" t="s">
        <v>774</v>
      </c>
      <c r="C40" s="301">
        <f ca="1">ROUND(C39*(1-((1+F42)/(1+F40))^F41)/(F40-F42),0)</f>
        <v>6516</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4463</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8" thickBot="1">
      <c r="A46" s="1399" t="s">
        <v>809</v>
      </c>
      <c r="C46" s="1400">
        <f ca="1">C68-C40</f>
        <v>-7633</v>
      </c>
      <c r="D46" s="1401" t="str">
        <f>C2</f>
        <v>万元</v>
      </c>
      <c r="E46" s="1395"/>
      <c r="F46" s="1395"/>
      <c r="I46" s="1402" t="s">
        <v>810</v>
      </c>
      <c r="J46" s="1403"/>
      <c r="K46" s="1404"/>
      <c r="L46" s="1405">
        <f ca="1">IF(M47="住宅",0,IF(L48&gt;J51,L60,J60))</f>
        <v>587</v>
      </c>
      <c r="O46" s="1406" t="s">
        <v>811</v>
      </c>
      <c r="P46" s="1407" t="s">
        <v>812</v>
      </c>
      <c r="Q46" s="1408" t="s">
        <v>813</v>
      </c>
      <c r="R46" s="1408" t="s">
        <v>814</v>
      </c>
    </row>
    <row r="47" spans="1:18" s="1379" customFormat="1" ht="13.8"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6516</v>
      </c>
      <c r="R47" s="1415" t="s">
        <v>818</v>
      </c>
    </row>
    <row r="48" spans="1:18" s="1379" customFormat="1" ht="40.200000000000003"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587</v>
      </c>
      <c r="R48" s="1415" t="s">
        <v>822</v>
      </c>
    </row>
    <row r="49" spans="1:18" s="1379" customFormat="1" ht="13.8"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11383</v>
      </c>
      <c r="R49" s="1415" t="s">
        <v>818</v>
      </c>
    </row>
    <row r="50" spans="1:18" s="1379" customFormat="1" ht="13.8"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8"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-9643</v>
      </c>
      <c r="M51" s="1431"/>
      <c r="O51" s="1423" t="s">
        <v>407</v>
      </c>
      <c r="P51" s="1414" t="s">
        <v>831</v>
      </c>
      <c r="Q51" s="1426">
        <f>J52</f>
        <v>7.5000000000000011E-2</v>
      </c>
      <c r="R51" s="1415"/>
    </row>
    <row r="52" spans="1:18" s="1379" customFormat="1" ht="13.8"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36.6"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63" t="s">
        <v>837</v>
      </c>
      <c r="L53" s="3764"/>
      <c r="O53" s="1413" t="s">
        <v>409</v>
      </c>
      <c r="P53" s="1414" t="s">
        <v>838</v>
      </c>
      <c r="Q53" s="1415">
        <f ca="1">Q47+Q48</f>
        <v>7103</v>
      </c>
      <c r="R53" s="1415" t="s">
        <v>410</v>
      </c>
    </row>
    <row r="54" spans="1:18" s="1379" customFormat="1" ht="24.6"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8"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37.200000000000003" thickTop="1" thickBot="1">
      <c r="A56" s="953">
        <v>2</v>
      </c>
      <c r="B56" s="954" t="s">
        <v>704</v>
      </c>
      <c r="C56" s="232">
        <f ca="1">C13</f>
        <v>11155</v>
      </c>
      <c r="D56" s="1442"/>
      <c r="E56" s="1443"/>
      <c r="F56" s="1435"/>
      <c r="I56" s="1444" t="s">
        <v>842</v>
      </c>
      <c r="J56" s="1445" t="s">
        <v>3386</v>
      </c>
      <c r="K56" s="1416" t="s">
        <v>843</v>
      </c>
      <c r="L56" s="1419" t="str">
        <f ca="1">IF(L48&lt;J51,"——",L48-J53)</f>
        <v>——</v>
      </c>
      <c r="O56" s="1413" t="s">
        <v>403</v>
      </c>
      <c r="P56" s="1414" t="s">
        <v>817</v>
      </c>
      <c r="Q56" s="1415">
        <f ca="1">C40+J29</f>
        <v>6516</v>
      </c>
      <c r="R56" s="1415" t="s">
        <v>818</v>
      </c>
    </row>
    <row r="57" spans="1:18" s="1379" customFormat="1" ht="24.6" thickBot="1">
      <c r="A57" s="1446"/>
      <c r="B57" s="946" t="s">
        <v>767</v>
      </c>
      <c r="C57" s="238">
        <f ca="1">C29</f>
        <v>11383</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6" thickBot="1">
      <c r="A58" s="315" t="s">
        <v>393</v>
      </c>
      <c r="B58" s="954" t="s">
        <v>714</v>
      </c>
      <c r="C58" s="316">
        <f ca="1">ROUND(C59+C64+C65+C66,0)</f>
        <v>72</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6"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5384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2"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587</v>
      </c>
      <c r="K60" s="1455" t="s">
        <v>854</v>
      </c>
      <c r="L60" s="1454">
        <f ca="1">IF(OR(M47="住宅",L48&lt;J51),0,ROUND(L57*(L58/L59-1),0))</f>
        <v>0</v>
      </c>
      <c r="O60" s="1423" t="s">
        <v>407</v>
      </c>
      <c r="P60" s="1414" t="s">
        <v>855</v>
      </c>
      <c r="Q60" s="1415" t="e">
        <f ca="1">L58</f>
        <v>#DIV/0!</v>
      </c>
      <c r="R60" s="1415" t="s">
        <v>856</v>
      </c>
    </row>
    <row r="61" spans="1:18" s="1379" customFormat="1" ht="13.8"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8"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6516</v>
      </c>
      <c r="R62" s="1415" t="s">
        <v>410</v>
      </c>
    </row>
    <row r="63" spans="1:18" s="1379" customFormat="1" ht="13.8"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8" thickBot="1">
      <c r="A64" s="978" t="s">
        <v>402</v>
      </c>
      <c r="B64" s="946" t="s">
        <v>738</v>
      </c>
      <c r="C64" s="21">
        <f ca="1">ROUND(C57*F64,2)</f>
        <v>56.92</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8" thickBot="1">
      <c r="A65" s="978" t="s">
        <v>792</v>
      </c>
      <c r="B65" s="946" t="s">
        <v>742</v>
      </c>
      <c r="C65" s="21">
        <f ca="1">ROUND(C56*F65,2)</f>
        <v>11.16</v>
      </c>
      <c r="D65" s="960" t="s">
        <v>743</v>
      </c>
      <c r="E65" s="946" t="s">
        <v>712</v>
      </c>
      <c r="F65" s="330">
        <f t="shared" ca="1" si="0"/>
        <v>1E-3</v>
      </c>
      <c r="I65" s="1457" t="s">
        <v>867</v>
      </c>
      <c r="J65" s="1458">
        <v>40</v>
      </c>
      <c r="K65" s="1458">
        <v>30</v>
      </c>
      <c r="L65" s="1458">
        <v>50</v>
      </c>
      <c r="M65" s="1460">
        <v>0.02</v>
      </c>
      <c r="O65" s="1413" t="s">
        <v>403</v>
      </c>
      <c r="P65" s="1414" t="s">
        <v>817</v>
      </c>
      <c r="Q65" s="1415">
        <f ca="1">C40+J29</f>
        <v>6516</v>
      </c>
      <c r="R65" s="1415" t="s">
        <v>818</v>
      </c>
    </row>
    <row r="66" spans="1:18" s="1379" customFormat="1" ht="16.2"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24.6" thickBot="1">
      <c r="A67" s="953" t="s">
        <v>394</v>
      </c>
      <c r="B67" s="963" t="s">
        <v>752</v>
      </c>
      <c r="C67" s="316">
        <f ca="1">C48-C58</f>
        <v>-72</v>
      </c>
      <c r="D67" s="959" t="s">
        <v>753</v>
      </c>
      <c r="E67" s="964"/>
      <c r="F67" s="965"/>
      <c r="O67" s="1423" t="s">
        <v>405</v>
      </c>
      <c r="P67" s="1414" t="s">
        <v>850</v>
      </c>
      <c r="Q67" s="1461">
        <f ca="1">L51</f>
        <v>-9643</v>
      </c>
      <c r="R67" s="1415" t="s">
        <v>870</v>
      </c>
    </row>
    <row r="68" spans="1:18" s="1379" customFormat="1" ht="16.2" thickBot="1">
      <c r="A68" s="943" t="s">
        <v>395</v>
      </c>
      <c r="B68" s="944" t="s">
        <v>774</v>
      </c>
      <c r="C68" s="301">
        <f ca="1">ROUND(C67*(1-((1+F70)/(1+F68))^F69)/(F68-F70),0)</f>
        <v>-1117</v>
      </c>
      <c r="D68" s="961" t="s">
        <v>758</v>
      </c>
      <c r="E68" s="946" t="s">
        <v>759</v>
      </c>
      <c r="F68" s="312">
        <f ca="1">F40</f>
        <v>0.05</v>
      </c>
      <c r="O68" s="1423" t="s">
        <v>406</v>
      </c>
      <c r="P68" s="1462" t="s">
        <v>871</v>
      </c>
      <c r="Q68" s="1415">
        <f ca="1">ROUND(Q69-Q70*Q71,0)</f>
        <v>-469</v>
      </c>
      <c r="R68" s="1415" t="s">
        <v>414</v>
      </c>
    </row>
    <row r="69" spans="1:18" s="1379" customFormat="1" ht="13.8" thickBot="1">
      <c r="A69" s="947"/>
      <c r="B69" s="948"/>
      <c r="C69" s="306"/>
      <c r="D69" s="966" t="s">
        <v>762</v>
      </c>
      <c r="E69" s="946" t="s">
        <v>763</v>
      </c>
      <c r="F69" s="333">
        <f ca="1">F41</f>
        <v>30.64</v>
      </c>
      <c r="O69" s="1423" t="s">
        <v>411</v>
      </c>
      <c r="P69" s="1462" t="s">
        <v>872</v>
      </c>
      <c r="Q69" s="1415">
        <f ca="1">C39</f>
        <v>312</v>
      </c>
      <c r="R69" s="1415" t="s">
        <v>818</v>
      </c>
    </row>
    <row r="70" spans="1:18" s="1379" customFormat="1" ht="13.8" thickBot="1">
      <c r="A70" s="950"/>
      <c r="B70" s="951"/>
      <c r="C70" s="310"/>
      <c r="D70" s="962"/>
      <c r="E70" s="946" t="s">
        <v>766</v>
      </c>
      <c r="F70" s="1050"/>
      <c r="O70" s="1423" t="s">
        <v>412</v>
      </c>
      <c r="P70" s="1462" t="s">
        <v>873</v>
      </c>
      <c r="Q70" s="1415">
        <f ca="1">C13</f>
        <v>11155</v>
      </c>
      <c r="R70" s="1415" t="s">
        <v>818</v>
      </c>
    </row>
    <row r="71" spans="1:18" s="1379" customFormat="1" ht="13.8" thickBot="1">
      <c r="A71" s="967" t="s">
        <v>396</v>
      </c>
      <c r="B71" s="968" t="s">
        <v>776</v>
      </c>
      <c r="C71" s="336">
        <f ca="1">ROUND(C68*10000/F71,0)</f>
        <v>-765</v>
      </c>
      <c r="D71" s="969" t="s">
        <v>777</v>
      </c>
      <c r="E71" s="970" t="s">
        <v>778</v>
      </c>
      <c r="F71" s="339">
        <f ca="1">F43</f>
        <v>14601.09</v>
      </c>
      <c r="O71" s="1423" t="s">
        <v>413</v>
      </c>
      <c r="P71" s="1462" t="s">
        <v>874</v>
      </c>
      <c r="Q71" s="1426">
        <f ca="1">C76</f>
        <v>7.0000000000000007E-2</v>
      </c>
      <c r="R71" s="1415"/>
    </row>
    <row r="72" spans="1:18" s="1379" customFormat="1" ht="13.8" thickBot="1">
      <c r="B72" s="725"/>
      <c r="C72" s="725"/>
      <c r="O72" s="1423" t="s">
        <v>407</v>
      </c>
      <c r="P72" s="1414" t="s">
        <v>852</v>
      </c>
      <c r="Q72" s="1426">
        <f>L52</f>
        <v>0</v>
      </c>
      <c r="R72" s="1415"/>
    </row>
    <row r="73" spans="1:18" ht="16.2" thickBot="1">
      <c r="A73" s="1379"/>
      <c r="B73" s="725"/>
      <c r="C73" s="725"/>
      <c r="D73" s="1379"/>
      <c r="E73" s="1379"/>
      <c r="F73" s="1379"/>
      <c r="O73" s="1423" t="s">
        <v>408</v>
      </c>
      <c r="P73" s="1414" t="s">
        <v>855</v>
      </c>
      <c r="Q73" s="1415" t="e">
        <f ca="1">L58</f>
        <v>#DIV/0!</v>
      </c>
      <c r="R73" s="1415" t="s">
        <v>856</v>
      </c>
    </row>
    <row r="74" spans="1:18" ht="13.8"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8" thickBot="1">
      <c r="A75" s="1379"/>
      <c r="B75" s="340" t="s">
        <v>795</v>
      </c>
      <c r="C75" s="341">
        <f ca="1">ROUND(C13*C76,0)</f>
        <v>781</v>
      </c>
      <c r="D75" s="1379"/>
      <c r="E75" s="1379"/>
      <c r="F75" s="1379"/>
      <c r="K75" s="1397"/>
      <c r="L75" s="1379"/>
      <c r="O75" s="1413" t="s">
        <v>409</v>
      </c>
      <c r="P75" s="1414" t="s">
        <v>838</v>
      </c>
      <c r="Q75" s="1415">
        <f ca="1">Q65+Q66</f>
        <v>6516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-1.5030000000000001</v>
      </c>
    </row>
    <row r="80" spans="1:18">
      <c r="B80" s="340" t="s">
        <v>800</v>
      </c>
      <c r="C80" s="274">
        <f ca="1">ROUND(C75/C39,3)</f>
        <v>2.5030000000000001</v>
      </c>
    </row>
    <row r="81" spans="2:3">
      <c r="B81" s="270" t="s">
        <v>801</v>
      </c>
      <c r="C81" s="238"/>
    </row>
    <row r="82" spans="2:3">
      <c r="B82" s="273" t="s">
        <v>802</v>
      </c>
      <c r="C82" s="275">
        <f ca="1">1-C83</f>
        <v>-0.71199999999999997</v>
      </c>
    </row>
    <row r="83" spans="2:3">
      <c r="B83" s="273" t="s">
        <v>803</v>
      </c>
      <c r="C83" s="274">
        <f ca="1">ROUND(C13/C40,3)</f>
        <v>1.712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6">
      <c r="A2" s="201" t="s">
        <v>1918</v>
      </c>
      <c r="B2" s="204">
        <f>C30</f>
        <v>90104</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38647</v>
      </c>
      <c r="U2" s="1208">
        <f>'数据-基础表'!I13+'数据-基础表'!I19</f>
        <v>5161.3899999999994</v>
      </c>
      <c r="V2" s="3332">
        <f>ROUND(T2*U2/10000,0)</f>
        <v>19947</v>
      </c>
      <c r="W2" s="1211"/>
      <c r="X2" s="1211"/>
      <c r="Y2" s="1211"/>
      <c r="Z2" s="1211"/>
      <c r="AA2" s="1211"/>
      <c r="AB2" s="1211"/>
      <c r="AC2" s="1212"/>
      <c r="AD2" s="1213"/>
      <c r="AE2" s="1213"/>
      <c r="AF2" s="1213"/>
      <c r="AG2" s="1213"/>
      <c r="AH2" s="1213"/>
      <c r="AI2" s="1213"/>
      <c r="AJ2" s="1214"/>
    </row>
    <row r="3" spans="1:36" ht="15.6">
      <c r="A3" s="203" t="s">
        <v>1924</v>
      </c>
      <c r="B3" s="204">
        <f>ROUND(B2*10000/D1,0)</f>
        <v>131013</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30682</v>
      </c>
      <c r="U3" s="1208">
        <f>'数据-基础表'!I14+'数据-基础表'!I20</f>
        <v>4919.5599999999995</v>
      </c>
      <c r="V3" s="3332">
        <f t="shared" ref="V3:V16" si="1">ROUND(T3*U3/10000,0)</f>
        <v>15094</v>
      </c>
      <c r="W3" s="1211"/>
      <c r="X3" s="1211"/>
      <c r="Y3" s="1211"/>
      <c r="Z3" s="1211"/>
      <c r="AA3" s="1211"/>
      <c r="AB3" s="1211"/>
      <c r="AC3" s="1212"/>
      <c r="AD3" s="1213"/>
      <c r="AE3" s="1213"/>
      <c r="AF3" s="1213"/>
      <c r="AG3" s="1213"/>
      <c r="AH3" s="1213"/>
      <c r="AI3" s="1213"/>
      <c r="AJ3" s="1214"/>
    </row>
    <row r="4" spans="1:36" ht="15.6">
      <c r="A4" s="3902"/>
      <c r="B4" s="3903"/>
      <c r="C4" s="3903"/>
      <c r="D4" s="3904"/>
      <c r="E4" s="3904"/>
      <c r="F4" s="3904"/>
      <c r="G4" s="3904"/>
      <c r="H4" s="3904"/>
      <c r="I4" s="3904"/>
      <c r="J4" s="3905"/>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26511</v>
      </c>
      <c r="U4" s="1208">
        <f>'数据-基础表'!I15+'数据-基础表'!I21</f>
        <v>5837.57</v>
      </c>
      <c r="V4" s="3332">
        <f t="shared" si="1"/>
        <v>15476</v>
      </c>
      <c r="W4" s="1211"/>
      <c r="X4" s="1211"/>
      <c r="Y4" s="1211"/>
      <c r="Z4" s="1211"/>
      <c r="AA4" s="1211"/>
      <c r="AB4" s="1211"/>
      <c r="AC4" s="1212"/>
      <c r="AD4" s="1213"/>
      <c r="AE4" s="1213"/>
      <c r="AF4" s="1213"/>
      <c r="AG4" s="1213"/>
      <c r="AH4" s="1213"/>
      <c r="AI4" s="1213"/>
      <c r="AJ4" s="1214"/>
    </row>
    <row r="5" spans="1:36" s="2009" customFormat="1" ht="15.6"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23990</v>
      </c>
      <c r="U5" s="1208">
        <f>'数据-基础表'!I16+'数据-基础表'!I22</f>
        <v>5837.57</v>
      </c>
      <c r="V5" s="3332">
        <f t="shared" si="1"/>
        <v>14004</v>
      </c>
      <c r="W5" s="1211"/>
      <c r="X5" s="1211"/>
      <c r="Y5" s="1211"/>
      <c r="Z5" s="1211"/>
      <c r="AA5" s="1211"/>
      <c r="AB5" s="1211"/>
      <c r="AC5" s="2006"/>
      <c r="AD5" s="2007"/>
      <c r="AE5" s="2007"/>
      <c r="AF5" s="2007"/>
      <c r="AG5" s="2007"/>
      <c r="AH5" s="2007"/>
      <c r="AI5" s="2007"/>
      <c r="AJ5" s="2008"/>
    </row>
    <row r="6" spans="1:36" ht="15.6"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22864</v>
      </c>
      <c r="U6" s="1208">
        <f>'数据-基础表'!I17+'数据-基础表'!I23</f>
        <v>5837.57</v>
      </c>
      <c r="V6" s="3332">
        <f t="shared" si="1"/>
        <v>13347</v>
      </c>
      <c r="W6" s="1211"/>
      <c r="X6" s="1211"/>
      <c r="Y6" s="1211"/>
      <c r="Z6" s="1211"/>
      <c r="AA6" s="1211"/>
      <c r="AB6" s="1211"/>
      <c r="AC6" s="2006"/>
      <c r="AD6" s="2007"/>
      <c r="AE6" s="2007"/>
      <c r="AF6" s="2007"/>
      <c r="AG6" s="2007"/>
      <c r="AH6" s="2007"/>
      <c r="AI6" s="2007"/>
      <c r="AJ6" s="2008"/>
    </row>
    <row r="7" spans="1:36" ht="24.6"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21311</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6.4">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21311</v>
      </c>
      <c r="U8" s="1208"/>
      <c r="V8" s="3332">
        <f t="shared" si="1"/>
        <v>0</v>
      </c>
      <c r="W8" s="3899" t="s">
        <v>1944</v>
      </c>
      <c r="X8" s="3900"/>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21311</v>
      </c>
      <c r="U9" s="1208">
        <f>SUM('数据-基础表'!I31:I48)</f>
        <v>0</v>
      </c>
      <c r="V9" s="3332">
        <f t="shared" si="1"/>
        <v>0</v>
      </c>
      <c r="W9" s="3901"/>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21311</v>
      </c>
      <c r="U10" s="1208">
        <f>SUM('数据-基础表'!I49:I68)</f>
        <v>0</v>
      </c>
      <c r="V10" s="3332">
        <f t="shared" si="1"/>
        <v>0</v>
      </c>
      <c r="W10" s="390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6"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8"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24.6"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24">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6"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ht="24">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4.4"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3.8">
      <c r="A20" s="3906" t="s">
        <v>3236</v>
      </c>
      <c r="B20" s="167" t="s">
        <v>1978</v>
      </c>
      <c r="C20" s="3296">
        <f>ROUND(IF(F21="与级别开发程度一致",0,(G21-E21)/C21),0)</f>
        <v>0</v>
      </c>
      <c r="D20" s="3312" t="s">
        <v>1982</v>
      </c>
      <c r="E20" s="3313"/>
      <c r="F20" s="3912" t="s">
        <v>1979</v>
      </c>
      <c r="G20" s="3913"/>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7" thickBot="1">
      <c r="A21" s="3907"/>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7"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1990</v>
      </c>
      <c r="C24" s="760">
        <f>ROUND(POWER(1+G24,J24-I24)*(POWER(1+G24,I24)-1)/(POWER(1+G24,J24)-1),4)</f>
        <v>0.75780000000000003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20.64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4.4">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2008</v>
      </c>
      <c r="C30" s="2316">
        <f>IF(B25="容积率修正",E33+SUM(E37:E42),SUM(V2:V16)+SUM(E37:E42))</f>
        <v>90104</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2009</v>
      </c>
      <c r="C31" s="762">
        <f>E34+SUM(I37:I42)</f>
        <v>3059</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2014</v>
      </c>
      <c r="C33" s="175">
        <f>ROUND(C5*C22*C23*C24*C25*C28,0)</f>
        <v>38647</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910"/>
      <c r="B37" s="2108" t="s">
        <v>2020</v>
      </c>
      <c r="C37" s="175">
        <f>ROUND(D5*C22*C23*C24*C28*F37,0)</f>
        <v>17791</v>
      </c>
      <c r="D37" s="2093">
        <f>'数据-汇总表'!G19</f>
        <v>6877.51</v>
      </c>
      <c r="E37" s="171">
        <f>ROUND(C37*D37/10000,0)</f>
        <v>12236</v>
      </c>
      <c r="F37" s="171">
        <f>SUMIF(修正!A57:A68,G2,修正!B57:B68)</f>
        <v>0.7</v>
      </c>
      <c r="G37" s="171">
        <f>ROUND(IF(E2="工业",C37*$M$42,C37*$M$41),0)</f>
        <v>4448</v>
      </c>
      <c r="H37" s="171">
        <f>D37</f>
        <v>6877.51</v>
      </c>
      <c r="I37" s="171">
        <f>ROUND(G37*H37/10000,0)</f>
        <v>3059</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11"/>
      <c r="B38" s="2036" t="s">
        <v>2021</v>
      </c>
      <c r="C38" s="175">
        <f>ROUND(D5*C22*C23*C24*C28*F38,0)</f>
        <v>10166</v>
      </c>
      <c r="D38" s="2093"/>
      <c r="E38" s="171">
        <f t="shared" ref="E38:E42" si="4">ROUND(C38*D38/10000,0)</f>
        <v>0</v>
      </c>
      <c r="F38" s="171">
        <f>SUMIF(修正!A57:A68,G2,修正!C57:C68)</f>
        <v>0.4</v>
      </c>
      <c r="G38" s="171">
        <f>ROUND(IF(E2="工业",C38*$M$42,C38*$M$41),0)</f>
        <v>2542</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8" thickBot="1">
      <c r="A39" s="3911"/>
      <c r="B39" s="2036" t="s">
        <v>3241</v>
      </c>
      <c r="C39" s="175">
        <f>ROUND(D5*C22*C23*C24*C28*F39,0)</f>
        <v>7625</v>
      </c>
      <c r="D39" s="2093"/>
      <c r="E39" s="171">
        <f t="shared" si="4"/>
        <v>0</v>
      </c>
      <c r="F39" s="171">
        <f>SUMIF(修正!A57:A68,G2,修正!D57:D68)</f>
        <v>0.3</v>
      </c>
      <c r="G39" s="171">
        <f>ROUND(IF(E2="工业",C39*$M$42,C39*$M$41),0)</f>
        <v>1906</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7625</v>
      </c>
      <c r="D40" s="2093"/>
      <c r="E40" s="171">
        <f t="shared" si="4"/>
        <v>0</v>
      </c>
      <c r="F40" s="175">
        <f>SUMIF(修正!A57:A68,G2,修正!E57:E68)</f>
        <v>0.3</v>
      </c>
      <c r="G40" s="171">
        <f>ROUND(IF(E2="工业",C40*$M$42,C40*$M$41),0)</f>
        <v>1906</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8709</v>
      </c>
      <c r="D41" s="2093"/>
      <c r="E41" s="171">
        <f t="shared" si="4"/>
        <v>0</v>
      </c>
      <c r="F41" s="175">
        <f>SUMIF(修正!A57:A68,G2,修正!F57:F68)</f>
        <v>0.3</v>
      </c>
      <c r="G41" s="171">
        <f>ROUND(IF(E2="工业",C41*$M$42,C41*$M$41),0)</f>
        <v>2177</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8" thickBot="1">
      <c r="A42" s="2096"/>
      <c r="B42" s="2114" t="s">
        <v>2025</v>
      </c>
      <c r="C42" s="187">
        <f>ROUND(D5*C22*C23*C44*C28*F42,0)</f>
        <v>5806</v>
      </c>
      <c r="D42" s="2098">
        <f>'数据-汇总表'!G20</f>
        <v>0</v>
      </c>
      <c r="E42" s="187">
        <f t="shared" si="4"/>
        <v>0</v>
      </c>
      <c r="F42" s="763">
        <f>SUMIF(修正!A57:A68,G2,修正!G57:G68)</f>
        <v>0.2</v>
      </c>
      <c r="G42" s="187">
        <f>ROUND(IF(E2="工业",C42*$M$42,C42*$M$41),0)</f>
        <v>1452</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4.4">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5.2">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5.2">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24">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48">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7.200000000000003">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36">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36.6"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4.4">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24">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36.6"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24">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36">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36.6"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4.4">
      <c r="A81" s="2121" t="s">
        <v>2053</v>
      </c>
      <c r="B81" s="2122">
        <f>1+E83</f>
        <v>1</v>
      </c>
      <c r="C81" s="737"/>
      <c r="D81" s="737"/>
      <c r="E81" s="738"/>
      <c r="F81" s="2124"/>
      <c r="G81" s="3"/>
      <c r="H81" s="3"/>
      <c r="I81" s="3"/>
      <c r="J81" s="4"/>
      <c r="K81" s="4"/>
      <c r="L81" s="4"/>
      <c r="M81" s="4"/>
      <c r="N81" s="4"/>
      <c r="Z81" s="1993"/>
      <c r="AA81" s="2048"/>
      <c r="AG81" s="1117"/>
      <c r="AK81" s="2048"/>
    </row>
    <row r="82" spans="1:37" ht="25.2">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9.6">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48">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3.8">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6.4">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6.4">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36">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40.200000000000003"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3.8">
      <c r="A91" s="3348" t="s">
        <v>2594</v>
      </c>
      <c r="B91" s="3349">
        <f>1+E93</f>
        <v>1</v>
      </c>
      <c r="C91" s="3342"/>
      <c r="D91" s="3343"/>
      <c r="E91" s="1809"/>
      <c r="F91" s="1809"/>
      <c r="G91" s="3344"/>
      <c r="H91" s="3345"/>
      <c r="I91" s="3346"/>
      <c r="J91" s="3347"/>
      <c r="K91" s="3347"/>
      <c r="L91" s="3347"/>
      <c r="M91" s="3347"/>
      <c r="N91" s="3347"/>
    </row>
    <row r="92" spans="1:37" ht="25.2">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24">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48">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7.200000000000003">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36">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36.6"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08" t="s">
        <v>3276</v>
      </c>
      <c r="B103" s="3908"/>
      <c r="C103" s="3908"/>
      <c r="D103" s="3908"/>
      <c r="E103" s="3908"/>
      <c r="F103" s="3908"/>
      <c r="G103" s="3908"/>
      <c r="H103" s="3908"/>
      <c r="I103" s="3908"/>
      <c r="J103" s="3908"/>
      <c r="K103" s="3361"/>
      <c r="L103" s="3361"/>
      <c r="M103" s="3361"/>
      <c r="N103" s="3361"/>
    </row>
    <row r="104" spans="1:14">
      <c r="A104" s="3909" t="s">
        <v>3277</v>
      </c>
      <c r="B104" s="3909" t="s">
        <v>3278</v>
      </c>
      <c r="C104" s="3362" t="s">
        <v>3279</v>
      </c>
      <c r="D104" s="3363"/>
      <c r="E104" s="3363"/>
      <c r="F104" s="3363"/>
      <c r="G104" s="3363"/>
      <c r="H104" s="3363"/>
      <c r="I104" s="3363"/>
      <c r="J104" s="3364"/>
      <c r="K104" s="3365"/>
      <c r="L104" s="3365"/>
      <c r="M104" s="3365"/>
      <c r="N104" s="3365"/>
    </row>
    <row r="105" spans="1:14">
      <c r="A105" s="3909"/>
      <c r="B105" s="3909"/>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895"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896"/>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896"/>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896"/>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896"/>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896"/>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97"/>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98" t="s">
        <v>3293</v>
      </c>
      <c r="B113" s="3898"/>
      <c r="C113" s="3898"/>
      <c r="D113" s="3898"/>
      <c r="E113" s="3898"/>
      <c r="F113" s="3898"/>
      <c r="G113" s="3898"/>
      <c r="H113" s="3898"/>
      <c r="I113" s="3898"/>
      <c r="J113" s="3898"/>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8" thickBot="1">
      <c r="A115" s="3369"/>
      <c r="B115" s="3369"/>
      <c r="C115" s="3369"/>
      <c r="D115" s="3369"/>
      <c r="E115" s="3369"/>
      <c r="F115" s="3369"/>
      <c r="G115" s="3369"/>
      <c r="H115" s="3369"/>
      <c r="I115" s="3369"/>
      <c r="J115" s="3369"/>
      <c r="K115" s="3328"/>
      <c r="L115" s="3369"/>
      <c r="M115" s="3369"/>
      <c r="N115" s="3369"/>
    </row>
    <row r="116" spans="1:14" ht="25.8"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8"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6">
      <c r="A2" s="201" t="s">
        <v>1918</v>
      </c>
      <c r="B2" s="204">
        <f>C30</f>
        <v>99936</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39937</v>
      </c>
      <c r="U2" s="1208">
        <f>'数据-基础表'!I13+'数据-基础表'!I19</f>
        <v>5161.3899999999994</v>
      </c>
      <c r="V2" s="3332">
        <f>ROUND(T2*U2/10000,0)</f>
        <v>20613</v>
      </c>
      <c r="W2" s="1211"/>
      <c r="X2" s="1211"/>
      <c r="Y2" s="1211"/>
      <c r="Z2" s="1211"/>
      <c r="AA2" s="1211"/>
      <c r="AB2" s="1211"/>
      <c r="AC2" s="1212"/>
      <c r="AD2" s="1213"/>
      <c r="AE2" s="1213"/>
      <c r="AF2" s="1213"/>
      <c r="AG2" s="1213"/>
      <c r="AH2" s="1213"/>
      <c r="AI2" s="1213"/>
      <c r="AJ2" s="1214"/>
    </row>
    <row r="3" spans="1:36" ht="15.6">
      <c r="A3" s="203" t="s">
        <v>1924</v>
      </c>
      <c r="B3" s="204">
        <f>ROUND(B2*10000/D1,0)</f>
        <v>23694</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31706</v>
      </c>
      <c r="U3" s="1208">
        <f>'数据-基础表'!I14+'数据-基础表'!I20</f>
        <v>4919.5599999999995</v>
      </c>
      <c r="V3" s="3332">
        <f t="shared" ref="V3:V16" si="1">ROUND(T3*U3/10000,0)</f>
        <v>15598</v>
      </c>
      <c r="W3" s="1211"/>
      <c r="X3" s="1211"/>
      <c r="Y3" s="1211"/>
      <c r="Z3" s="1211"/>
      <c r="AA3" s="1211"/>
      <c r="AB3" s="1211"/>
      <c r="AC3" s="1212"/>
      <c r="AD3" s="1213"/>
      <c r="AE3" s="1213"/>
      <c r="AF3" s="1213"/>
      <c r="AG3" s="1213"/>
      <c r="AH3" s="1213"/>
      <c r="AI3" s="1213"/>
      <c r="AJ3" s="1214"/>
    </row>
    <row r="4" spans="1:36" ht="15.6">
      <c r="A4" s="3902"/>
      <c r="B4" s="3903"/>
      <c r="C4" s="3903"/>
      <c r="D4" s="3904"/>
      <c r="E4" s="3904"/>
      <c r="F4" s="3904"/>
      <c r="G4" s="3904"/>
      <c r="H4" s="3904"/>
      <c r="I4" s="3904"/>
      <c r="J4" s="3905"/>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27396</v>
      </c>
      <c r="U4" s="1208">
        <f>'数据-基础表'!I15+'数据-基础表'!I21</f>
        <v>5837.57</v>
      </c>
      <c r="V4" s="3332">
        <f t="shared" si="1"/>
        <v>15993</v>
      </c>
      <c r="W4" s="1211"/>
      <c r="X4" s="1211"/>
      <c r="Y4" s="1211"/>
      <c r="Z4" s="1211"/>
      <c r="AA4" s="1211"/>
      <c r="AB4" s="1211"/>
      <c r="AC4" s="1212"/>
      <c r="AD4" s="1213"/>
      <c r="AE4" s="1213"/>
      <c r="AF4" s="1213"/>
      <c r="AG4" s="1213"/>
      <c r="AH4" s="1213"/>
      <c r="AI4" s="1213"/>
      <c r="AJ4" s="1214"/>
    </row>
    <row r="5" spans="1:36" s="2009" customFormat="1" ht="15.6"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24791</v>
      </c>
      <c r="U5" s="1208">
        <f>'数据-基础表'!I16+'数据-基础表'!I22</f>
        <v>5837.57</v>
      </c>
      <c r="V5" s="3332">
        <f t="shared" si="1"/>
        <v>14472</v>
      </c>
      <c r="W5" s="1211"/>
      <c r="X5" s="1211"/>
      <c r="Y5" s="1211"/>
      <c r="Z5" s="1211"/>
      <c r="AA5" s="1211"/>
      <c r="AB5" s="1211"/>
      <c r="AC5" s="2006"/>
      <c r="AD5" s="2007"/>
      <c r="AE5" s="2007"/>
      <c r="AF5" s="2007"/>
      <c r="AG5" s="2007"/>
      <c r="AH5" s="2007"/>
      <c r="AI5" s="2007"/>
      <c r="AJ5" s="2008"/>
    </row>
    <row r="6" spans="1:36" ht="15.6"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23627</v>
      </c>
      <c r="U6" s="1208">
        <f>'数据-基础表'!I17+'数据-基础表'!I23</f>
        <v>5837.57</v>
      </c>
      <c r="V6" s="3332">
        <f t="shared" si="1"/>
        <v>13792</v>
      </c>
      <c r="W6" s="1211"/>
      <c r="X6" s="1211"/>
      <c r="Y6" s="1211"/>
      <c r="Z6" s="1211"/>
      <c r="AA6" s="1211"/>
      <c r="AB6" s="1211"/>
      <c r="AC6" s="2006"/>
      <c r="AD6" s="2007"/>
      <c r="AE6" s="2007"/>
      <c r="AF6" s="2007"/>
      <c r="AG6" s="2007"/>
      <c r="AH6" s="2007"/>
      <c r="AI6" s="2007"/>
      <c r="AJ6" s="2008"/>
    </row>
    <row r="7" spans="1:36" ht="24.6"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22023</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6.4">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22023</v>
      </c>
      <c r="U8" s="1208"/>
      <c r="V8" s="3332">
        <f t="shared" si="1"/>
        <v>0</v>
      </c>
      <c r="W8" s="3899" t="s">
        <v>1944</v>
      </c>
      <c r="X8" s="3900"/>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22023</v>
      </c>
      <c r="U9" s="1208">
        <f>SUM('数据-基础表'!I31:I48)</f>
        <v>0</v>
      </c>
      <c r="V9" s="3332">
        <f t="shared" si="1"/>
        <v>0</v>
      </c>
      <c r="W9" s="3901"/>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22023</v>
      </c>
      <c r="U10" s="1208">
        <f>SUM('数据-基础表'!I49:I68)</f>
        <v>0</v>
      </c>
      <c r="V10" s="3332">
        <f t="shared" si="1"/>
        <v>0</v>
      </c>
      <c r="W10" s="390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6"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8"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24.6"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24">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6"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ht="24">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4.4"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3.8">
      <c r="A20" s="3906" t="s">
        <v>3236</v>
      </c>
      <c r="B20" s="167" t="s">
        <v>1978</v>
      </c>
      <c r="C20" s="3296">
        <f>ROUND(IF(F21="与级别开发程度一致",0,(G21-E21)/C21),0)</f>
        <v>0</v>
      </c>
      <c r="D20" s="3312" t="s">
        <v>1982</v>
      </c>
      <c r="E20" s="3313"/>
      <c r="F20" s="3912" t="s">
        <v>1979</v>
      </c>
      <c r="G20" s="3913"/>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7" thickBot="1">
      <c r="A21" s="3907"/>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7"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1990</v>
      </c>
      <c r="C24" s="760">
        <f>ROUND(POWER(1+G24,J24-I24)*(POWER(1+G24,I24)-1)/(POWER(1+G24,J24)-1),4)</f>
        <v>0.86560000000000004</v>
      </c>
      <c r="D24" s="2055" t="s">
        <v>1991</v>
      </c>
      <c r="E24" s="1330">
        <f>存贷款利率!E24/100</f>
        <v>4.3499999999999997E-2</v>
      </c>
      <c r="F24" s="2055" t="s">
        <v>1983</v>
      </c>
      <c r="G24" s="764">
        <f>SUMIF(M30:Q30,E2,M33:Q33)</f>
        <v>5.5E-2</v>
      </c>
      <c r="H24" s="2055" t="s">
        <v>1992</v>
      </c>
      <c r="I24" s="765">
        <f>SUMIF('数据-取费表'!C6:C15,E2,'数据-取费表'!F6:F15)/COUNTIF('数据-取费表'!C6:C15,E2)</f>
        <v>30.64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4.4">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2008</v>
      </c>
      <c r="C30" s="2316">
        <f>IF(B25="容积率修正",E33+SUM(E37:E42),SUM(V2:V16)+SUM(E37:E42))</f>
        <v>99936</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2009</v>
      </c>
      <c r="C31" s="762">
        <f>E34+SUM(I37:I42)</f>
        <v>3161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2014</v>
      </c>
      <c r="C33" s="3497">
        <f>ROUND(C5*C22*C23*C24*C25*C28,0)</f>
        <v>24728</v>
      </c>
      <c r="D33" s="2093">
        <f>'数据-汇总表'!F20</f>
        <v>35300.840000000011</v>
      </c>
      <c r="E33" s="769">
        <f>ROUND(C33*D33/10000,0)</f>
        <v>87292</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2015</v>
      </c>
      <c r="C34" s="187">
        <f>ROUND(IF(E2="工业",C33*M42,IF(B25="楼层修正",SUM(V2:V16)*M41*10000/D34,C33*M41)),0)</f>
        <v>6182</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910"/>
      <c r="B37" s="2108" t="s">
        <v>2020</v>
      </c>
      <c r="C37" s="3497">
        <f>ROUND(D5*C22*C23*C24*C28*F37,0)</f>
        <v>18385</v>
      </c>
      <c r="D37" s="2093">
        <f>'数据-汇总表'!G19</f>
        <v>6877.51</v>
      </c>
      <c r="E37" s="171">
        <f>ROUND(C37*D37/10000,0)</f>
        <v>12644</v>
      </c>
      <c r="F37" s="171">
        <f>SUMIF(修正!A57:A68,G2,修正!B57:B68)</f>
        <v>0.7</v>
      </c>
      <c r="G37" s="171">
        <f>ROUND(IF(E2="工业",C37*$M$42,C37*$M$41),0)</f>
        <v>4596</v>
      </c>
      <c r="H37" s="171">
        <f>D37</f>
        <v>6877.51</v>
      </c>
      <c r="I37" s="171">
        <f>ROUND(G37*H37/10000,0)</f>
        <v>3161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11"/>
      <c r="B38" s="2036" t="s">
        <v>2021</v>
      </c>
      <c r="C38" s="3497">
        <f>ROUND(D5*C22*C23*C24*C28*F38,0)</f>
        <v>10506</v>
      </c>
      <c r="D38" s="2093"/>
      <c r="E38" s="171">
        <f t="shared" ref="E38:E42" si="4">ROUND(C38*D38/10000,0)</f>
        <v>0</v>
      </c>
      <c r="F38" s="171">
        <f>SUMIF(修正!A57:A68,G2,修正!C57:C68)</f>
        <v>0.4</v>
      </c>
      <c r="G38" s="171">
        <f>ROUND(IF(E2="工业",C38*$M$42,C38*$M$41),0)</f>
        <v>2627</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8" thickBot="1">
      <c r="A39" s="3911"/>
      <c r="B39" s="2036" t="s">
        <v>3241</v>
      </c>
      <c r="C39" s="3497">
        <f>ROUND(D5*C22*C23*C24*C28*F39,0)</f>
        <v>7879</v>
      </c>
      <c r="D39" s="2093"/>
      <c r="E39" s="171">
        <f t="shared" si="4"/>
        <v>0</v>
      </c>
      <c r="F39" s="171">
        <f>SUMIF(修正!A57:A68,G2,修正!D57:D68)</f>
        <v>0.3</v>
      </c>
      <c r="G39" s="171">
        <f>ROUND(IF(E2="工业",C39*$M$42,C39*$M$41),0)</f>
        <v>1970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7879</v>
      </c>
      <c r="D40" s="2093"/>
      <c r="E40" s="171">
        <f t="shared" si="4"/>
        <v>0</v>
      </c>
      <c r="F40" s="3497">
        <f>SUMIF(修正!A57:A68,G2,修正!E57:E68)</f>
        <v>0.3</v>
      </c>
      <c r="G40" s="171">
        <f>ROUND(IF(E2="工业",C40*$M$42,C40*$M$41),0)</f>
        <v>1970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7879</v>
      </c>
      <c r="D41" s="2093"/>
      <c r="E41" s="171">
        <f t="shared" si="4"/>
        <v>0</v>
      </c>
      <c r="F41" s="3497">
        <f>SUMIF(修正!A57:A68,G2,修正!F57:F68)</f>
        <v>0.3</v>
      </c>
      <c r="G41" s="171">
        <f>ROUND(IF(E2="工业",C41*$M$42,C41*$M$41),0)</f>
        <v>1970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8" thickBot="1">
      <c r="A42" s="2096"/>
      <c r="B42" s="2114" t="s">
        <v>2025</v>
      </c>
      <c r="C42" s="187">
        <f>ROUND(D5*C22*C23*C44*C28*F42,0)</f>
        <v>5253</v>
      </c>
      <c r="D42" s="2098">
        <f>'数据-汇总表'!G20</f>
        <v>0</v>
      </c>
      <c r="E42" s="187">
        <f t="shared" si="4"/>
        <v>0</v>
      </c>
      <c r="F42" s="763">
        <f>SUMIF(修正!A57:A68,G2,修正!G57:G68)</f>
        <v>0.2</v>
      </c>
      <c r="G42" s="187">
        <f>ROUND(IF(E2="工业",C42*$M$42,C42*$M$41),0)</f>
        <v>1313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4.4">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5.2">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5.2">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24">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48">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7.200000000000003">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36">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36.6"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4.4">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24">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36.6"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24">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36">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36.6"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4.4">
      <c r="A81" s="2121" t="s">
        <v>2053</v>
      </c>
      <c r="B81" s="2122">
        <f>1+E83</f>
        <v>1</v>
      </c>
      <c r="C81" s="737"/>
      <c r="D81" s="737"/>
      <c r="E81" s="738"/>
      <c r="F81" s="2124"/>
      <c r="G81" s="3"/>
      <c r="H81" s="3"/>
      <c r="I81" s="3"/>
      <c r="J81" s="4"/>
      <c r="K81" s="4"/>
      <c r="L81" s="4"/>
      <c r="M81" s="4"/>
      <c r="N81" s="4"/>
      <c r="Z81" s="1993"/>
      <c r="AA81" s="2048"/>
      <c r="AG81" s="1117"/>
      <c r="AK81" s="2048"/>
    </row>
    <row r="82" spans="1:37" ht="25.2">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9.6">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48">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3.8">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6.4">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6.4">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36">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40.200000000000003"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3.8">
      <c r="A91" s="3348" t="s">
        <v>2594</v>
      </c>
      <c r="B91" s="3349">
        <f>1+E93</f>
        <v>1</v>
      </c>
      <c r="C91" s="3342"/>
      <c r="D91" s="3343"/>
      <c r="E91" s="1809"/>
      <c r="F91" s="1809"/>
      <c r="G91" s="3344"/>
      <c r="H91" s="3345"/>
      <c r="I91" s="3346"/>
      <c r="J91" s="3347"/>
      <c r="K91" s="3347"/>
      <c r="L91" s="3347"/>
      <c r="M91" s="3347"/>
      <c r="N91" s="3347"/>
    </row>
    <row r="92" spans="1:37" ht="25.2">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24">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48">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7.200000000000003">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36">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36.6"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08" t="s">
        <v>3276</v>
      </c>
      <c r="B103" s="3908"/>
      <c r="C103" s="3908"/>
      <c r="D103" s="3908"/>
      <c r="E103" s="3908"/>
      <c r="F103" s="3908"/>
      <c r="G103" s="3908"/>
      <c r="H103" s="3908"/>
      <c r="I103" s="3908"/>
      <c r="J103" s="3908"/>
      <c r="K103" s="3512"/>
      <c r="L103" s="3512"/>
      <c r="M103" s="3512"/>
      <c r="N103" s="3512"/>
    </row>
    <row r="104" spans="1:14">
      <c r="A104" s="3909" t="s">
        <v>3277</v>
      </c>
      <c r="B104" s="3909" t="s">
        <v>3278</v>
      </c>
      <c r="C104" s="3362" t="s">
        <v>3279</v>
      </c>
      <c r="D104" s="3363"/>
      <c r="E104" s="3363"/>
      <c r="F104" s="3363"/>
      <c r="G104" s="3363"/>
      <c r="H104" s="3363"/>
      <c r="I104" s="3363"/>
      <c r="J104" s="3364"/>
      <c r="K104" s="3365"/>
      <c r="L104" s="3365"/>
      <c r="M104" s="3365"/>
      <c r="N104" s="3365"/>
    </row>
    <row r="105" spans="1:14">
      <c r="A105" s="3909"/>
      <c r="B105" s="3909"/>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895"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896"/>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896"/>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896"/>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896"/>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896"/>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97"/>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98" t="s">
        <v>3293</v>
      </c>
      <c r="B113" s="3898"/>
      <c r="C113" s="3898"/>
      <c r="D113" s="3898"/>
      <c r="E113" s="3898"/>
      <c r="F113" s="3898"/>
      <c r="G113" s="3898"/>
      <c r="H113" s="3898"/>
      <c r="I113" s="3898"/>
      <c r="J113" s="3898"/>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8" thickBot="1">
      <c r="A115" s="3369"/>
      <c r="B115" s="3369"/>
      <c r="C115" s="3369"/>
      <c r="D115" s="3369"/>
      <c r="E115" s="3369"/>
      <c r="F115" s="3369"/>
      <c r="G115" s="3369"/>
      <c r="H115" s="3369"/>
      <c r="I115" s="3369"/>
      <c r="J115" s="3369"/>
      <c r="K115" s="3328"/>
      <c r="L115" s="3369"/>
      <c r="M115" s="3369"/>
      <c r="N115" s="3369"/>
    </row>
    <row r="116" spans="1:14" ht="25.8"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8"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3.8"/>
  <cols>
    <col min="1" max="1" width="23.33203125" style="1472" customWidth="1"/>
    <col min="2" max="2" width="12.44140625" style="1472" customWidth="1"/>
    <col min="3" max="3" width="12.109375" style="1472" customWidth="1"/>
    <col min="4" max="4" width="14.109375" style="1472" customWidth="1"/>
    <col min="5" max="5" width="12.44140625" style="1472" customWidth="1"/>
    <col min="6" max="16384" width="9" style="1472"/>
  </cols>
  <sheetData>
    <row r="1" spans="1:16" ht="21.6">
      <c r="A1" s="1862" t="s">
        <v>2065</v>
      </c>
      <c r="B1" s="2142"/>
      <c r="C1" s="2142"/>
      <c r="D1" s="2142"/>
      <c r="E1" s="2142"/>
      <c r="F1" s="2764"/>
      <c r="G1" s="2764"/>
      <c r="H1" s="2764"/>
      <c r="I1" s="2764"/>
      <c r="J1" s="2764"/>
      <c r="K1" s="2764"/>
      <c r="L1" s="2764"/>
      <c r="M1" s="2764"/>
      <c r="N1" s="2764"/>
      <c r="O1" s="2764"/>
      <c r="P1" s="2764"/>
    </row>
    <row r="2" spans="1:16" ht="15.6">
      <c r="A2" s="2140" t="s">
        <v>2057</v>
      </c>
      <c r="B2" s="2574">
        <f ca="1">SUMIF(B6:B13,"&lt;&gt;#ref!",B6:B13)</f>
        <v>190040</v>
      </c>
      <c r="C2" s="2140" t="s">
        <v>2058</v>
      </c>
      <c r="D2" s="2140" t="s">
        <v>2059</v>
      </c>
      <c r="E2" s="2584">
        <f ca="1">SUMIF(E6:E13,"&lt;&gt;#ref!",E6:E13)</f>
        <v>49055.860000000015</v>
      </c>
      <c r="F2" s="2764"/>
      <c r="G2" s="2764"/>
      <c r="H2" s="2764"/>
      <c r="I2" s="2764"/>
      <c r="J2" s="2764"/>
      <c r="K2" s="2764"/>
      <c r="L2" s="2764"/>
      <c r="M2" s="2764"/>
      <c r="N2" s="2764"/>
      <c r="O2" s="2764"/>
      <c r="P2" s="2764"/>
    </row>
    <row r="3" spans="1:16" ht="15.6">
      <c r="A3" s="2140" t="s">
        <v>2060</v>
      </c>
      <c r="B3" s="2574">
        <f ca="1">ROUND(B2*10000/E2,0)</f>
        <v>38740</v>
      </c>
      <c r="C3" s="2140" t="s">
        <v>2066</v>
      </c>
      <c r="D3" s="2764"/>
      <c r="E3" s="2764"/>
      <c r="F3" s="2764"/>
      <c r="G3" s="2764"/>
      <c r="H3" s="2764"/>
      <c r="I3" s="2764"/>
      <c r="J3" s="2764"/>
      <c r="K3" s="2764"/>
      <c r="L3" s="2764"/>
      <c r="M3" s="2764"/>
      <c r="N3" s="2764"/>
      <c r="O3" s="2764"/>
      <c r="P3" s="2764"/>
    </row>
    <row r="4" spans="1:16" ht="15.6">
      <c r="A4" s="2765"/>
      <c r="B4" s="2764"/>
      <c r="C4" s="2764"/>
      <c r="D4" s="2764"/>
      <c r="E4" s="2764"/>
      <c r="F4" s="2764"/>
      <c r="G4" s="2764"/>
      <c r="H4" s="2764"/>
      <c r="I4" s="2764"/>
      <c r="J4" s="2764"/>
      <c r="K4" s="2764"/>
      <c r="L4" s="2764"/>
      <c r="M4" s="2764"/>
      <c r="N4" s="2764"/>
      <c r="O4" s="2764"/>
      <c r="P4" s="2764"/>
    </row>
    <row r="5" spans="1:16" ht="31.2">
      <c r="A5" s="2580" t="s">
        <v>2061</v>
      </c>
      <c r="B5" s="2582" t="s">
        <v>2062</v>
      </c>
      <c r="C5" s="2141"/>
      <c r="D5" s="2764"/>
      <c r="E5" s="2583" t="s">
        <v>2063</v>
      </c>
      <c r="F5" s="2764"/>
      <c r="G5" s="2764"/>
      <c r="H5" s="2764"/>
      <c r="I5" s="2764"/>
      <c r="J5" s="2764"/>
      <c r="K5" s="2764"/>
      <c r="L5" s="2764"/>
      <c r="M5" s="2764"/>
      <c r="N5" s="2764"/>
      <c r="O5" s="2764"/>
      <c r="P5" s="2764"/>
    </row>
    <row r="6" spans="1:16" ht="15.6">
      <c r="A6" s="2581" t="s">
        <v>2064</v>
      </c>
      <c r="B6" s="2574">
        <f ca="1">SUMIF(INDIRECT("'"&amp;A6&amp;"'"&amp;"!A:A"),"总价",INDIRECT("'"&amp;A6&amp;"'"&amp;"!B:B"))</f>
        <v>90104</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6">
      <c r="A7" s="2581" t="s">
        <v>4302</v>
      </c>
      <c r="B7" s="2574">
        <f ca="1">SUMIF(INDIRECT("'"&amp;A7&amp;"'"&amp;"!A:A"),"总价",INDIRECT("'"&amp;A7&amp;"'"&amp;"!B:B"))</f>
        <v>99936</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6">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6">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6">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6">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6">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6">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10" s="200" customFormat="1" ht="21">
      <c r="A1" s="196" t="s">
        <v>1445</v>
      </c>
      <c r="B1" s="1465"/>
      <c r="C1" s="198"/>
      <c r="D1" s="198"/>
      <c r="E1" s="198"/>
      <c r="F1" s="198"/>
      <c r="G1" s="1122">
        <f>MATCH(B1,'数据-取费表'!A6:A16,0)+5</f>
        <v>9</v>
      </c>
    </row>
    <row r="2" spans="1:10" s="200" customFormat="1" ht="18" customHeight="1">
      <c r="A2" s="201" t="s">
        <v>1446</v>
      </c>
      <c r="B2" s="202">
        <f ca="1">IF(D2="——",C52,C52-E2)</f>
        <v>328154</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38893</v>
      </c>
      <c r="C3" s="199" t="s">
        <v>1449</v>
      </c>
      <c r="D3" s="199"/>
      <c r="E3" s="199"/>
      <c r="F3" s="199"/>
      <c r="G3" s="199"/>
    </row>
    <row r="4" spans="1:10" s="208" customFormat="1" ht="16.2">
      <c r="A4" s="205" t="s">
        <v>1450</v>
      </c>
      <c r="B4" s="206"/>
      <c r="C4" s="206"/>
      <c r="D4" s="206"/>
      <c r="E4" s="206"/>
      <c r="F4" s="206"/>
      <c r="G4" s="207"/>
    </row>
    <row r="5" spans="1:10" s="214" customFormat="1" ht="13.5" customHeight="1">
      <c r="A5" s="255" t="s">
        <v>1451</v>
      </c>
      <c r="B5" s="210" t="s">
        <v>1452</v>
      </c>
      <c r="C5" s="211">
        <f ca="1">C6+C7+C8</f>
        <v>197523</v>
      </c>
      <c r="D5" s="211" t="s">
        <v>1453</v>
      </c>
      <c r="E5" s="212" t="s">
        <v>1454</v>
      </c>
      <c r="F5" s="212" t="s">
        <v>1455</v>
      </c>
      <c r="G5" s="213"/>
      <c r="J5" s="3459" t="s">
        <v>3442</v>
      </c>
    </row>
    <row r="6" spans="1:10" s="214" customFormat="1" ht="13.5" customHeight="1">
      <c r="A6" s="774" t="s">
        <v>1456</v>
      </c>
      <c r="B6" s="215" t="s">
        <v>1457</v>
      </c>
      <c r="C6" s="216">
        <f ca="1">'基准地价（汇总）'!B2</f>
        <v>190040</v>
      </c>
      <c r="D6" s="217"/>
      <c r="E6" s="218"/>
      <c r="F6" s="218"/>
      <c r="G6" s="219"/>
      <c r="J6" s="214">
        <f>基准地价修正!B2</f>
        <v>90104</v>
      </c>
    </row>
    <row r="7" spans="1:10" s="214" customFormat="1" ht="13.5" customHeight="1">
      <c r="A7" s="774" t="s">
        <v>1458</v>
      </c>
      <c r="B7" s="215" t="s">
        <v>1459</v>
      </c>
      <c r="C7" s="220">
        <f ca="1">ROUND(C6*F7,0)</f>
        <v>5796</v>
      </c>
      <c r="D7" s="220"/>
      <c r="E7" s="218"/>
      <c r="F7" s="221">
        <f>IF(项目基本情况!B8="出让",0,'数据-取费表'!B48+'数据-取费表'!B49)</f>
        <v>3.0499999999999999E-2</v>
      </c>
      <c r="G7" s="219"/>
      <c r="J7" s="214">
        <f ca="1">J6*10000/D10</f>
        <v>10679.233073100309</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2963</v>
      </c>
      <c r="D20" s="232"/>
      <c r="E20" s="232"/>
      <c r="F20" s="233">
        <f>'数据-取费表'!B37</f>
        <v>1.4999999999999999E-2</v>
      </c>
      <c r="G20" s="234" t="s">
        <v>1479</v>
      </c>
    </row>
    <row r="21" spans="1:7" s="214" customFormat="1" ht="13.5" customHeight="1">
      <c r="A21" s="255" t="s">
        <v>1480</v>
      </c>
      <c r="B21" s="210" t="s">
        <v>1481</v>
      </c>
      <c r="C21" s="235">
        <f>F21</f>
        <v>1.4999999999999999E-2</v>
      </c>
      <c r="D21" s="236" t="s">
        <v>1482</v>
      </c>
      <c r="E21" s="232"/>
      <c r="F21" s="233">
        <f>'数据-取费表'!B38</f>
        <v>1.4999999999999999E-2</v>
      </c>
      <c r="G21" s="234" t="s">
        <v>1483</v>
      </c>
    </row>
    <row r="22" spans="1:7" s="214" customFormat="1" ht="13.5" customHeight="1">
      <c r="A22" s="255" t="s">
        <v>1484</v>
      </c>
      <c r="B22" s="210" t="s">
        <v>1485</v>
      </c>
      <c r="C22" s="1100">
        <f ca="1">ROUND(SUM(C23:C25),0)</f>
        <v>13966</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13864</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102</v>
      </c>
      <c r="D25" s="238"/>
      <c r="E25" s="241"/>
      <c r="F25" s="239"/>
      <c r="G25" s="242" t="s">
        <v>1494</v>
      </c>
    </row>
    <row r="26" spans="1:7" s="214" customFormat="1">
      <c r="A26" s="776" t="s">
        <v>350</v>
      </c>
      <c r="B26" s="215" t="s">
        <v>1495</v>
      </c>
      <c r="C26" s="238">
        <f ca="1">ROUND(IF('数据-取费表'!B22&lt;=1,F21*F22*'数据-取费表'!B23/2,F21*(POWER((1+F22),'数据-取费表'!B23/2)-1)),4)</f>
        <v>5.0000000000000001E-4</v>
      </c>
      <c r="D26" s="238"/>
      <c r="E26" s="241"/>
      <c r="F26" s="239"/>
      <c r="G26" s="243"/>
    </row>
    <row r="27" spans="1:7" s="214" customFormat="1" ht="26.4">
      <c r="A27" s="255" t="s">
        <v>1496</v>
      </c>
      <c r="B27" s="244" t="s">
        <v>1497</v>
      </c>
      <c r="C27" s="245">
        <f ca="1">C28</f>
        <v>26063</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26063</v>
      </c>
      <c r="D28" s="235"/>
      <c r="E28" s="236"/>
      <c r="F28" s="246"/>
      <c r="G28" s="247"/>
    </row>
    <row r="29" spans="1:7" s="214" customFormat="1" ht="13.5" customHeight="1">
      <c r="A29" s="776"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258841</v>
      </c>
      <c r="D31" s="230"/>
      <c r="E31" s="211"/>
      <c r="F31" s="250"/>
      <c r="G31" s="234" t="s">
        <v>1506</v>
      </c>
    </row>
    <row r="32" spans="1:7" s="208" customFormat="1" ht="16.2">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834</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57" t="s">
        <v>1528</v>
      </c>
    </row>
    <row r="43" spans="1:7" ht="13.5" customHeight="1">
      <c r="A43" s="776" t="s">
        <v>347</v>
      </c>
      <c r="B43" s="215" t="s">
        <v>1529</v>
      </c>
      <c r="C43" s="238">
        <f ca="1">ROUND(IF('数据-取费表'!B22&lt;=1,C39*F22*'数据-取费表'!B21/2,C39*(POWER((1+F22),'数据-取费表'!B21/2)-1)),0)</f>
        <v>29</v>
      </c>
      <c r="D43" s="238"/>
      <c r="E43" s="238"/>
      <c r="F43" s="239"/>
      <c r="G43" s="3758"/>
    </row>
    <row r="44" spans="1:7" ht="13.5" customHeight="1">
      <c r="A44" s="776" t="s">
        <v>348</v>
      </c>
      <c r="B44" s="215" t="s">
        <v>1530</v>
      </c>
      <c r="C44" s="238">
        <f ca="1">ROUND(IF('数据-取费表'!B22&lt;=1,C40*F22*'数据-取费表'!B21/2,C40*(POWER((1+F22),'数据-取费表'!B21/2)-1)),4)</f>
        <v>5.0000000000000001E-4</v>
      </c>
      <c r="D44" s="238"/>
      <c r="E44" s="238"/>
      <c r="F44" s="239"/>
      <c r="G44" s="3759"/>
    </row>
    <row r="45" spans="1:7" s="214" customFormat="1" ht="13.5" customHeight="1">
      <c r="A45" s="255" t="s">
        <v>1531</v>
      </c>
      <c r="B45" s="244" t="s">
        <v>1497</v>
      </c>
      <c r="C45" s="245">
        <f ca="1">C46</f>
        <v>7337</v>
      </c>
      <c r="D45" s="235">
        <f ca="1">C47</f>
        <v>2E-3</v>
      </c>
      <c r="E45" s="236" t="s">
        <v>1523</v>
      </c>
      <c r="F45" s="246">
        <f ca="1">F27</f>
        <v>0.13</v>
      </c>
      <c r="G45" s="247" t="s">
        <v>1532</v>
      </c>
    </row>
    <row r="46" spans="1:7" s="214" customFormat="1" ht="13.5" customHeight="1">
      <c r="A46" s="776" t="s">
        <v>346</v>
      </c>
      <c r="B46" s="248" t="s">
        <v>1533</v>
      </c>
      <c r="C46" s="249">
        <f ca="1">ROUND((C33+C39)*F27,0)</f>
        <v>7337</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70728</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69313</v>
      </c>
      <c r="D51" s="232"/>
      <c r="E51" s="232"/>
      <c r="F51" s="264"/>
      <c r="G51" s="234" t="s">
        <v>1544</v>
      </c>
    </row>
    <row r="52" spans="1:7" s="208" customFormat="1" ht="16.8" thickBot="1">
      <c r="A52" s="265" t="s">
        <v>1545</v>
      </c>
      <c r="B52" s="266"/>
      <c r="C52" s="267">
        <f ca="1">C31+C51</f>
        <v>328154</v>
      </c>
      <c r="D52" s="266"/>
      <c r="E52" s="266"/>
      <c r="F52" s="266"/>
      <c r="G52" s="268"/>
    </row>
    <row r="55" spans="1:7" ht="15">
      <c r="B55" s="270" t="s">
        <v>1546</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2" customWidth="1"/>
    <col min="2" max="3" width="22.33203125" style="1472" customWidth="1"/>
    <col min="4" max="4" width="23" style="1472" customWidth="1"/>
    <col min="5" max="16384" width="9" style="1472"/>
  </cols>
  <sheetData>
    <row r="1" spans="1:4" ht="17.399999999999999">
      <c r="A1" s="3596" t="s">
        <v>949</v>
      </c>
      <c r="B1" s="3596"/>
      <c r="C1" s="3596"/>
      <c r="D1" s="3596"/>
    </row>
    <row r="2" spans="1:4" ht="17.399999999999999">
      <c r="A2" s="3597" t="s">
        <v>933</v>
      </c>
      <c r="B2" s="3597"/>
      <c r="C2" s="3597"/>
      <c r="D2" s="3597"/>
    </row>
    <row r="3" spans="1:4" ht="17.399999999999999">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7.399999999999999">
      <c r="A6" s="3597" t="s">
        <v>939</v>
      </c>
      <c r="B6" s="3597"/>
      <c r="C6" s="3597"/>
      <c r="D6" s="3597"/>
    </row>
    <row r="7" spans="1:4" ht="17.399999999999999">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7.399999999999999">
      <c r="A10" s="1511" t="s">
        <v>941</v>
      </c>
      <c r="B10" s="674"/>
      <c r="C10" s="674"/>
      <c r="D10" s="674"/>
    </row>
    <row r="11" spans="1:4" ht="30" customHeight="1">
      <c r="A11" s="3598" t="s">
        <v>942</v>
      </c>
      <c r="B11" s="3590"/>
      <c r="C11" s="3590"/>
      <c r="D11" s="3590"/>
    </row>
    <row r="12" spans="1:4" ht="15.6">
      <c r="A12" s="3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5"/>
      <c r="C12" s="3595"/>
      <c r="D12" s="3595"/>
    </row>
    <row r="13" spans="1:4" ht="30" customHeight="1">
      <c r="A13" s="35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5"/>
      <c r="C13" s="3595"/>
      <c r="D13" s="3595"/>
    </row>
    <row r="14" spans="1:4" ht="15.75" customHeight="1">
      <c r="A14" s="3590" t="str">
        <f>IF(项目基本情况!B8="抵押","4.本次评估估价师所知悉的法定优先受偿款情况说明如下：","——")</f>
        <v>4.本次评估估价师所知悉的法定优先受偿款情况说明如下：</v>
      </c>
      <c r="B14" s="3595"/>
      <c r="C14" s="3595"/>
      <c r="D14" s="3595"/>
    </row>
    <row r="15" spans="1:4" ht="42" customHeight="1">
      <c r="A15" s="35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0"/>
      <c r="C15" s="3590"/>
      <c r="D15" s="3590"/>
    </row>
    <row r="16" spans="1:4" ht="30" customHeight="1">
      <c r="A16" s="3592" t="s">
        <v>943</v>
      </c>
      <c r="B16" s="3592"/>
      <c r="C16" s="3592"/>
      <c r="D16" s="3592"/>
    </row>
    <row r="17" spans="1:4" ht="144" customHeight="1">
      <c r="A17" s="3592" t="s">
        <v>944</v>
      </c>
      <c r="B17" s="3592"/>
      <c r="C17" s="3592"/>
      <c r="D17" s="3592"/>
    </row>
    <row r="18" spans="1:4" ht="15.75" customHeight="1">
      <c r="A18" s="3590" t="str">
        <f>IF(项目基本情况!B8="抵押",结果表!K120,"——")</f>
        <v>故，本次评估不存在</v>
      </c>
      <c r="B18" s="3590"/>
      <c r="C18" s="3590"/>
      <c r="D18" s="3590"/>
    </row>
    <row r="19" spans="1:4" ht="46.5" customHeight="1">
      <c r="A19" s="3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0"/>
      <c r="C19" s="3590"/>
      <c r="D19" s="3590"/>
    </row>
    <row r="20" spans="1:4" ht="57.75" customHeight="1">
      <c r="A20" s="3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0"/>
      <c r="C20" s="3590"/>
      <c r="D20" s="3590"/>
    </row>
    <row r="21" spans="1:4" ht="57.75" customHeight="1">
      <c r="A21" s="3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3"/>
      <c r="C21" s="3593"/>
      <c r="D21" s="3593"/>
    </row>
    <row r="22" spans="1:4" ht="18.75" customHeight="1">
      <c r="A22" s="3594" t="s">
        <v>945</v>
      </c>
      <c r="B22" s="3594"/>
      <c r="C22" s="3594"/>
      <c r="D22" s="3594"/>
    </row>
    <row r="23" spans="1:4">
      <c r="A23" s="1512"/>
      <c r="B23" s="1484"/>
      <c r="C23" s="1484"/>
      <c r="D23" s="1484"/>
    </row>
    <row r="24" spans="1:4">
      <c r="A24" s="1512"/>
      <c r="B24" s="1484"/>
      <c r="C24" s="1484"/>
      <c r="D24" s="1484"/>
    </row>
    <row r="25" spans="1:4" ht="17.399999999999999">
      <c r="A25" s="1513" t="s">
        <v>946</v>
      </c>
    </row>
    <row r="26" spans="1:4" ht="17.399999999999999">
      <c r="A26" s="1482"/>
    </row>
    <row r="27" spans="1:4" ht="17.399999999999999">
      <c r="A27" s="1482" t="s">
        <v>947</v>
      </c>
    </row>
    <row r="30" spans="1:4" ht="17.399999999999999">
      <c r="D30" s="1513" t="s">
        <v>948</v>
      </c>
    </row>
    <row r="31" spans="1:4" ht="13.5" customHeight="1">
      <c r="C31" s="3591">
        <v>42551</v>
      </c>
      <c r="D31" s="35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0" customWidth="1"/>
    <col min="3" max="10" width="12.44140625" style="1470" customWidth="1"/>
    <col min="11" max="16384" width="9" style="1470"/>
  </cols>
  <sheetData>
    <row r="1" spans="1:10" ht="17.399999999999999">
      <c r="A1" s="1503" t="s">
        <v>391</v>
      </c>
      <c r="B1" s="1514"/>
      <c r="C1" s="1514"/>
      <c r="D1" s="1514"/>
      <c r="E1" s="1514"/>
      <c r="F1" s="1514"/>
      <c r="G1" s="1514"/>
      <c r="H1" s="1514"/>
      <c r="I1" s="1514"/>
      <c r="J1" s="1514"/>
    </row>
    <row r="2" spans="1:10" ht="17.399999999999999">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0" customWidth="1"/>
    <col min="2" max="16384" width="14.44140625" style="1502"/>
  </cols>
  <sheetData>
    <row r="1" spans="1:7" s="1517" customFormat="1" ht="17.399999999999999">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4.4">
      <c r="A15" s="3604" t="s">
        <v>956</v>
      </c>
      <c r="B15" s="3599" t="s">
        <v>109</v>
      </c>
      <c r="C15" s="3600"/>
    </row>
    <row r="16" spans="1:7" ht="14.4">
      <c r="A16" s="3605"/>
      <c r="B16" s="3599" t="s">
        <v>42</v>
      </c>
      <c r="C16" s="3600"/>
    </row>
    <row r="17" spans="1:3" ht="14.4">
      <c r="A17" s="3605"/>
      <c r="B17" s="3602" t="s">
        <v>957</v>
      </c>
      <c r="C17" s="1527" t="s">
        <v>956</v>
      </c>
    </row>
    <row r="18" spans="1:3" ht="14.4">
      <c r="A18" s="3605"/>
      <c r="B18" s="3602"/>
      <c r="C18" s="1527" t="s">
        <v>958</v>
      </c>
    </row>
    <row r="19" spans="1:3" ht="14.4">
      <c r="A19" s="3605"/>
      <c r="B19" s="3602"/>
      <c r="C19" s="1527" t="s">
        <v>959</v>
      </c>
    </row>
    <row r="20" spans="1:3" ht="14.4">
      <c r="A20" s="3606"/>
      <c r="B20" s="3601" t="s">
        <v>960</v>
      </c>
      <c r="C20" s="3600"/>
    </row>
    <row r="21" spans="1:3" ht="14.4">
      <c r="A21" s="1528" t="s">
        <v>961</v>
      </c>
      <c r="B21" s="1529"/>
      <c r="C21" s="1530"/>
    </row>
    <row r="22" spans="1:3" ht="14.4">
      <c r="A22" s="3603" t="s">
        <v>962</v>
      </c>
      <c r="B22" s="3601" t="s">
        <v>963</v>
      </c>
      <c r="C22" s="3600"/>
    </row>
    <row r="23" spans="1:3" ht="14.4">
      <c r="A23" s="3603"/>
      <c r="B23" s="3601" t="s">
        <v>964</v>
      </c>
      <c r="C23" s="3600"/>
    </row>
    <row r="24" spans="1:3" ht="14.4">
      <c r="A24" s="3603"/>
      <c r="B24" s="3601" t="s">
        <v>965</v>
      </c>
      <c r="C24" s="3600"/>
    </row>
    <row r="25" spans="1:3" ht="14.4">
      <c r="A25" s="3603"/>
      <c r="B25" s="3602" t="s">
        <v>966</v>
      </c>
      <c r="C25" s="1527" t="s">
        <v>967</v>
      </c>
    </row>
    <row r="26" spans="1:3" ht="14.4">
      <c r="A26" s="3603"/>
      <c r="B26" s="3602"/>
      <c r="C26" s="1527" t="s">
        <v>968</v>
      </c>
    </row>
    <row r="27" spans="1:3" ht="14.4">
      <c r="A27" s="3603"/>
      <c r="B27" s="3602"/>
      <c r="C27" s="1527" t="s">
        <v>969</v>
      </c>
    </row>
    <row r="28" spans="1:3" ht="14.4">
      <c r="A28" s="3603"/>
      <c r="B28" s="3602"/>
      <c r="C28" s="1527" t="s">
        <v>970</v>
      </c>
    </row>
    <row r="29" spans="1:3" ht="14.4">
      <c r="A29" s="3603"/>
      <c r="B29" s="3602"/>
      <c r="C29" s="1527" t="s">
        <v>971</v>
      </c>
    </row>
    <row r="30" spans="1:3" ht="14.4">
      <c r="A30" s="3603"/>
      <c r="B30" s="3602"/>
      <c r="C30" s="1527" t="s">
        <v>972</v>
      </c>
    </row>
    <row r="31" spans="1:3" ht="14.4">
      <c r="A31" s="3603"/>
      <c r="B31" s="3602"/>
      <c r="C31" s="1527" t="s">
        <v>973</v>
      </c>
    </row>
    <row r="32" spans="1:3" ht="14.4">
      <c r="A32" s="3603"/>
      <c r="B32" s="3602"/>
      <c r="C32" s="1527" t="s">
        <v>974</v>
      </c>
    </row>
    <row r="33" spans="1:3" ht="14.4">
      <c r="A33" s="3603"/>
      <c r="B33" s="3602"/>
      <c r="C33" s="1527" t="s">
        <v>975</v>
      </c>
    </row>
    <row r="34" spans="1:3">
      <c r="A34" s="1531" t="s">
        <v>49</v>
      </c>
    </row>
    <row r="37" spans="1:3">
      <c r="A37" s="1531" t="s">
        <v>976</v>
      </c>
    </row>
    <row r="38" spans="1:3" ht="14.4">
      <c r="A38" s="1532" t="s">
        <v>50</v>
      </c>
    </row>
    <row r="39" spans="1:3" ht="14.4">
      <c r="A39" s="1532" t="s">
        <v>51</v>
      </c>
    </row>
    <row r="40" spans="1:3" ht="14.4">
      <c r="A40" s="1532" t="s">
        <v>52</v>
      </c>
    </row>
    <row r="41" spans="1:3" ht="14.4">
      <c r="A41" s="1533" t="s">
        <v>53</v>
      </c>
    </row>
    <row r="42" spans="1:3" ht="14.4">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2121</v>
      </c>
      <c r="B2" s="2334">
        <f ca="1">TODAY()</f>
        <v>45329</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07" t="s">
        <v>2142</v>
      </c>
      <c r="B17" s="3607"/>
      <c r="C17" s="3607"/>
      <c r="D17" s="3607"/>
      <c r="E17" s="3607"/>
      <c r="F17" s="3607"/>
      <c r="G17" s="3607"/>
      <c r="H17" s="3607"/>
    </row>
    <row r="18" spans="1:8" ht="24" customHeight="1">
      <c r="A18" s="3608" t="s">
        <v>2143</v>
      </c>
      <c r="B18" s="3608"/>
      <c r="C18" s="3608"/>
      <c r="D18" s="2338"/>
      <c r="E18" s="3609" t="s">
        <v>2144</v>
      </c>
      <c r="F18" s="3608"/>
      <c r="G18" s="3608"/>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面积表</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2024-02-07T06:05:40Z</dcterms:modified>
</cp:coreProperties>
</file>