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3"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收益法办公!$A$1:$F$43,收益法办公!$H$3:$M$29,收益法办公!$A$46:$F$71,收益法办公!$I$46:$N$65</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88" i="9"/>
  <c r="M87" i="9"/>
  <c r="L87" i="9"/>
  <c r="K87" i="9"/>
  <c r="J87" i="9"/>
  <c r="L86" i="9"/>
  <c r="K86" i="9"/>
  <c r="J86" i="9"/>
  <c r="L85" i="9"/>
  <c r="K85" i="9"/>
  <c r="J85" i="9"/>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U6" i="1"/>
  <c r="V22" i="1"/>
  <c r="U22" i="1"/>
  <c r="U21" i="1"/>
  <c r="U20" i="1"/>
  <c r="U19" i="1"/>
  <c r="U18" i="1"/>
  <c r="C76" i="83"/>
  <c r="Q71" i="83" l="1"/>
  <c r="D24" i="83"/>
  <c r="P61" i="83"/>
  <c r="D22" i="83"/>
  <c r="AM7" i="1"/>
  <c r="AL7" i="1"/>
  <c r="AK7" i="1"/>
  <c r="Y7" i="1"/>
  <c r="N7" i="1"/>
  <c r="L7" i="1"/>
  <c r="G20" i="6"/>
  <c r="G19" i="6"/>
  <c r="D42" i="43"/>
  <c r="D40" i="43"/>
  <c r="F13" i="4"/>
  <c r="M13" i="3"/>
  <c r="K13" i="3"/>
  <c r="I13" i="3"/>
  <c r="I10" i="82"/>
  <c r="I9" i="82"/>
  <c r="I8" i="82"/>
  <c r="I7" i="82"/>
  <c r="E91" i="81"/>
  <c r="D90" i="81"/>
  <c r="D84" i="81"/>
  <c r="E30" i="81"/>
  <c r="E50" i="81"/>
  <c r="E84" i="81"/>
  <c r="C91" i="81"/>
  <c r="C92" i="81" s="1"/>
  <c r="G90" i="81"/>
  <c r="G89" i="81"/>
  <c r="G88" i="81"/>
  <c r="G87" i="81"/>
  <c r="G86" i="81"/>
  <c r="G85" i="81"/>
  <c r="C84" i="81"/>
  <c r="G83" i="81"/>
  <c r="G82" i="81"/>
  <c r="G81" i="81"/>
  <c r="G80" i="81"/>
  <c r="G79" i="81"/>
  <c r="G78" i="81"/>
  <c r="E77" i="81"/>
  <c r="G77" i="81" s="1"/>
  <c r="G75" i="81"/>
  <c r="G74" i="81"/>
  <c r="G73" i="81"/>
  <c r="G72" i="81"/>
  <c r="G71" i="81"/>
  <c r="G70" i="81"/>
  <c r="G69" i="81"/>
  <c r="G68" i="81"/>
  <c r="G67" i="81"/>
  <c r="G66" i="81"/>
  <c r="G65" i="81"/>
  <c r="G64" i="81"/>
  <c r="G61" i="81"/>
  <c r="G60" i="81"/>
  <c r="G59" i="81"/>
  <c r="G58" i="81"/>
  <c r="G57" i="81"/>
  <c r="G56" i="81"/>
  <c r="G55" i="81"/>
  <c r="G53" i="81"/>
  <c r="G52" i="81"/>
  <c r="G51" i="81"/>
  <c r="G50" i="81"/>
  <c r="G49" i="81"/>
  <c r="G48" i="81"/>
  <c r="G47" i="81"/>
  <c r="G46" i="81"/>
  <c r="G45" i="81"/>
  <c r="G44" i="81"/>
  <c r="G43" i="81"/>
  <c r="G42" i="81"/>
  <c r="G41" i="81"/>
  <c r="G40" i="81"/>
  <c r="G39" i="81"/>
  <c r="G38" i="81"/>
  <c r="G37" i="81"/>
  <c r="G36" i="81"/>
  <c r="G35" i="81"/>
  <c r="G34" i="81"/>
  <c r="G33" i="81"/>
  <c r="G29" i="81"/>
  <c r="G27" i="81"/>
  <c r="G26" i="81"/>
  <c r="G25" i="81"/>
  <c r="G24" i="81"/>
  <c r="G23" i="81"/>
  <c r="G22" i="81"/>
  <c r="G21" i="81"/>
  <c r="G20" i="81"/>
  <c r="G19" i="81"/>
  <c r="G18" i="81"/>
  <c r="G17" i="81"/>
  <c r="G15" i="81"/>
  <c r="G13" i="81"/>
  <c r="G12" i="81"/>
  <c r="G11" i="81"/>
  <c r="G10" i="81"/>
  <c r="G9" i="81"/>
  <c r="G7" i="81"/>
  <c r="G6" i="81"/>
  <c r="G5" i="81"/>
  <c r="G4" i="81"/>
  <c r="G3" i="81"/>
  <c r="D164" i="82"/>
  <c r="F16" i="83"/>
  <c r="F43" i="83"/>
  <c r="F7" i="83"/>
  <c r="M28" i="83"/>
  <c r="M23" i="83"/>
  <c r="F37" i="83"/>
  <c r="M6" i="83"/>
  <c r="F36" i="83"/>
  <c r="L47" i="83"/>
  <c r="F9" i="83"/>
  <c r="F26" i="83"/>
  <c r="F42" i="83"/>
  <c r="M24" i="83"/>
  <c r="M8" i="83"/>
  <c r="M26" i="83"/>
  <c r="F38" i="83"/>
  <c r="L48" i="83"/>
  <c r="J15" i="83"/>
  <c r="M22" i="83"/>
  <c r="C14" i="83"/>
  <c r="F6" i="83"/>
  <c r="M27" i="83"/>
  <c r="F8" i="83"/>
  <c r="F13" i="83"/>
  <c r="M29" i="83"/>
  <c r="F40" i="83"/>
  <c r="M9" i="83"/>
  <c r="F68" i="83" l="1"/>
  <c r="F51" i="83"/>
  <c r="C6" i="83"/>
  <c r="C18" i="83"/>
  <c r="C15" i="83"/>
  <c r="L57" i="83"/>
  <c r="L56" i="83"/>
  <c r="L60" i="83"/>
  <c r="J53" i="83"/>
  <c r="J57" i="83"/>
  <c r="J55" i="83" s="1"/>
  <c r="J58" i="83" s="1"/>
  <c r="Q50" i="83" s="1"/>
  <c r="I54" i="83"/>
  <c r="F66" i="83"/>
  <c r="C27" i="83"/>
  <c r="N59" i="83"/>
  <c r="L58" i="83"/>
  <c r="M59" i="83"/>
  <c r="L59" i="83"/>
  <c r="F64" i="83"/>
  <c r="F65" i="83"/>
  <c r="F50" i="83"/>
  <c r="M7" i="83"/>
  <c r="J6" i="83" s="1"/>
  <c r="F71" i="83"/>
  <c r="N18" i="1"/>
  <c r="C16" i="83"/>
  <c r="C17" i="83"/>
  <c r="C19" i="83" l="1"/>
  <c r="Q73" i="83"/>
  <c r="Q60" i="83"/>
  <c r="F1" i="83"/>
  <c r="Q52" i="83"/>
  <c r="C33" i="83"/>
  <c r="C32" i="83"/>
  <c r="Q66" i="83"/>
  <c r="Q57" i="83"/>
  <c r="C49" i="83"/>
  <c r="J19" i="83"/>
  <c r="J18" i="83"/>
  <c r="Q61" i="83"/>
  <c r="Q74" i="83"/>
  <c r="J49" i="15"/>
  <c r="N6" i="1"/>
  <c r="C61" i="83" l="1"/>
  <c r="C20" i="83"/>
  <c r="N20" i="1"/>
  <c r="C26" i="83" l="1"/>
  <c r="D3" i="4"/>
  <c r="O7" i="79" l="1"/>
  <c r="V7" i="79" s="1"/>
  <c r="N7" i="79"/>
  <c r="U7" i="79" s="1"/>
  <c r="M7" i="79"/>
  <c r="P7" i="79" s="1"/>
  <c r="L7" i="79"/>
  <c r="S7" i="79" s="1"/>
  <c r="K7" i="79"/>
  <c r="R7" i="79" s="1"/>
  <c r="I7" i="79"/>
  <c r="U29" i="79"/>
  <c r="N29" i="79"/>
  <c r="M29" i="79"/>
  <c r="P29" i="79" s="1"/>
  <c r="L29" i="79"/>
  <c r="S29" i="79" s="1"/>
  <c r="I29" i="79"/>
  <c r="T7" i="79" l="1"/>
  <c r="W7" i="79" s="1"/>
  <c r="T29" i="79"/>
  <c r="W29" i="79" s="1"/>
  <c r="O8" i="68" l="1"/>
  <c r="Y6" i="1" l="1"/>
  <c r="I28" i="79" l="1"/>
  <c r="N28" i="79"/>
  <c r="M28" i="79"/>
  <c r="P28" i="79" s="1"/>
  <c r="L28" i="79"/>
  <c r="P6" i="79"/>
  <c r="O6" i="79"/>
  <c r="N6" i="79"/>
  <c r="M6" i="79"/>
  <c r="L6" i="79"/>
  <c r="K6"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15"/>
  <c r="B9" i="76"/>
  <c r="F3" i="73"/>
  <c r="F7" i="73"/>
  <c r="B8" i="76"/>
  <c r="AO13" i="1"/>
  <c r="F4" i="73"/>
  <c r="F9" i="15"/>
  <c r="B7" i="76"/>
  <c r="E11" i="76"/>
  <c r="M8" i="15"/>
  <c r="M23" i="15"/>
  <c r="M6" i="67"/>
  <c r="F6" i="73"/>
  <c r="F6" i="67"/>
  <c r="C76" i="67"/>
  <c r="M23" i="67"/>
  <c r="E2" i="68"/>
  <c r="F9" i="67"/>
  <c r="M22" i="67"/>
  <c r="B11" i="76"/>
  <c r="E13" i="76"/>
  <c r="F38" i="67"/>
  <c r="E7" i="76"/>
  <c r="M22" i="15"/>
  <c r="B13" i="76"/>
  <c r="F36" i="67"/>
  <c r="F43" i="15"/>
  <c r="F16" i="15"/>
  <c r="J15" i="67"/>
  <c r="E2" i="69"/>
  <c r="F43" i="67"/>
  <c r="M26" i="15"/>
  <c r="F8" i="15"/>
  <c r="F37" i="15"/>
  <c r="M29" i="67"/>
  <c r="F38" i="15"/>
  <c r="F7" i="15"/>
  <c r="F13" i="15"/>
  <c r="F8" i="67"/>
  <c r="M26" i="67"/>
  <c r="M9" i="67"/>
  <c r="F6" i="15"/>
  <c r="F7" i="67"/>
  <c r="B10" i="76"/>
  <c r="E8" i="76"/>
  <c r="E9" i="76"/>
  <c r="F42" i="67"/>
  <c r="J15" i="15"/>
  <c r="E10" i="76"/>
  <c r="F42" i="15"/>
  <c r="F40" i="67"/>
  <c r="F16" i="67"/>
  <c r="F13" i="67"/>
  <c r="F37" i="67"/>
  <c r="F5" i="73"/>
  <c r="L47" i="15"/>
  <c r="M24" i="67"/>
  <c r="M6" i="15"/>
  <c r="E12" i="76"/>
  <c r="C76" i="15"/>
  <c r="F26" i="67"/>
  <c r="M28" i="67"/>
  <c r="M24" i="15"/>
  <c r="M8" i="67"/>
  <c r="F36" i="15"/>
  <c r="M9" i="15"/>
  <c r="M28" i="15"/>
  <c r="B12" i="76"/>
  <c r="L47" i="67"/>
  <c r="F20" i="31"/>
  <c r="M29" i="15"/>
  <c r="F40" i="15"/>
  <c r="BB5" i="3" l="1"/>
  <c r="E14" i="6" s="1"/>
  <c r="C18" i="9"/>
  <c r="D18" i="9" s="1"/>
  <c r="J1" i="73"/>
  <c r="F6" i="1"/>
  <c r="I24" i="43" s="1"/>
  <c r="BL5" i="3"/>
  <c r="AZ14" i="3"/>
  <c r="BA5" i="3"/>
  <c r="H69" i="43"/>
  <c r="H67" i="43"/>
  <c r="H50" i="43"/>
  <c r="G22" i="11"/>
  <c r="E1" i="73"/>
  <c r="G26" i="12"/>
  <c r="G22" i="68"/>
  <c r="G5" i="3"/>
  <c r="B3" i="3" s="1"/>
  <c r="E259" i="3" s="1"/>
  <c r="G6" i="1"/>
  <c r="G16" i="1" s="1"/>
  <c r="F10" i="39"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K26" i="1" s="1"/>
  <c r="M26" i="1"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4" i="73"/>
  <c r="L48" i="15"/>
  <c r="D6" i="73"/>
  <c r="L48" i="67"/>
  <c r="D3" i="73"/>
  <c r="D7" i="73"/>
  <c r="D5" i="73"/>
  <c r="G1" i="73" s="1"/>
  <c r="F11" i="83" l="1"/>
  <c r="M11" i="83"/>
  <c r="J10" i="83" s="1"/>
  <c r="J5" i="83" s="1"/>
  <c r="C24" i="43"/>
  <c r="G44" i="43"/>
  <c r="C44" i="43"/>
  <c r="E63" i="39"/>
  <c r="E59" i="40"/>
  <c r="E26" i="43"/>
  <c r="E15" i="6"/>
  <c r="E64" i="39" s="1"/>
  <c r="H26" i="43"/>
  <c r="K16" i="1"/>
  <c r="E246" i="3"/>
  <c r="E382" i="3"/>
  <c r="E535" i="3"/>
  <c r="E335" i="3"/>
  <c r="AA6" i="3"/>
  <c r="E61" i="3"/>
  <c r="E358" i="3"/>
  <c r="E353" i="3"/>
  <c r="E130" i="3"/>
  <c r="AN6" i="3"/>
  <c r="E565" i="3"/>
  <c r="E509" i="3"/>
  <c r="E336" i="3"/>
  <c r="E402" i="3"/>
  <c r="E221" i="3"/>
  <c r="E278" i="3"/>
  <c r="E506" i="3"/>
  <c r="E553" i="3"/>
  <c r="E245" i="3"/>
  <c r="E260" i="3"/>
  <c r="E298" i="3"/>
  <c r="E247" i="3"/>
  <c r="E583" i="3"/>
  <c r="E280" i="3"/>
  <c r="E518" i="3"/>
  <c r="E423" i="3"/>
  <c r="E159" i="3"/>
  <c r="E161" i="3"/>
  <c r="E213" i="3"/>
  <c r="E114" i="3"/>
  <c r="E215" i="3"/>
  <c r="E551" i="3"/>
  <c r="E359" i="3"/>
  <c r="E530" i="3"/>
  <c r="X6" i="3"/>
  <c r="E293" i="3"/>
  <c r="AI6" i="3"/>
  <c r="E263" i="3"/>
  <c r="E254" i="3"/>
  <c r="E550" i="3"/>
  <c r="E563" i="3"/>
  <c r="E169" i="3"/>
  <c r="E338" i="3"/>
  <c r="E311" i="3"/>
  <c r="AJ6" i="3"/>
  <c r="E135" i="3"/>
  <c r="E117" i="3"/>
  <c r="E17" i="3"/>
  <c r="E172" i="3"/>
  <c r="E415" i="3"/>
  <c r="E237" i="3"/>
  <c r="E189" i="3"/>
  <c r="E294" i="3"/>
  <c r="E407" i="3"/>
  <c r="E570" i="3"/>
  <c r="E97" i="3"/>
  <c r="E569" i="3"/>
  <c r="N6" i="3"/>
  <c r="E125"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Q60" i="67" s="1"/>
  <c r="J53" i="67"/>
  <c r="F1" i="67" s="1"/>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8" i="1"/>
  <c r="AE12" i="1"/>
  <c r="AE10" i="1"/>
  <c r="AE7" i="1"/>
  <c r="Q73" i="67" l="1"/>
  <c r="J26" i="83"/>
  <c r="J24" i="83"/>
  <c r="L36" i="43"/>
  <c r="P36" i="43" s="1"/>
  <c r="F24" i="83"/>
  <c r="C53" i="83"/>
  <c r="C48" i="83" s="1"/>
  <c r="C10" i="83"/>
  <c r="C5" i="83" s="1"/>
  <c r="Q52" i="67"/>
  <c r="Q52" i="15"/>
  <c r="H6" i="3"/>
  <c r="AC6" i="3"/>
  <c r="F1" i="15"/>
  <c r="F40" i="6"/>
  <c r="K25" i="1"/>
  <c r="Q60" i="15"/>
  <c r="W7" i="37"/>
  <c r="D33" i="43"/>
  <c r="D1" i="43"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F41" i="83" s="1"/>
  <c r="F41" i="15"/>
  <c r="M27" i="67"/>
  <c r="M27" i="15"/>
  <c r="F41" i="67"/>
  <c r="Q36" i="43" l="1"/>
  <c r="L37" i="43"/>
  <c r="O36" i="43"/>
  <c r="F69" i="83"/>
  <c r="C38" i="83"/>
  <c r="N36" i="43"/>
  <c r="C66" i="83"/>
  <c r="C60" i="83"/>
  <c r="M36" i="43"/>
  <c r="C24" i="83"/>
  <c r="C23" i="83"/>
  <c r="J29" i="83"/>
  <c r="E6" i="3"/>
  <c r="M25" i="1"/>
  <c r="M24" i="1" s="1"/>
  <c r="K24" i="1"/>
  <c r="C6" i="69"/>
  <c r="C7" i="69" s="1"/>
  <c r="C89" i="9"/>
  <c r="C87" i="9" s="1"/>
  <c r="F69" i="67"/>
  <c r="G54" i="34"/>
  <c r="H54" i="34" s="1"/>
  <c r="D116" i="43"/>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D10" i="68"/>
  <c r="P8" i="68" s="1"/>
  <c r="C17" i="15"/>
  <c r="C17" i="67"/>
  <c r="C29" i="83" l="1"/>
  <c r="C36" i="83" s="1"/>
  <c r="D30" i="6"/>
  <c r="H25" i="6"/>
  <c r="C25" i="11"/>
  <c r="C22" i="11" s="1"/>
  <c r="C31" i="11" s="1"/>
  <c r="L24" i="1"/>
  <c r="K28" i="1"/>
  <c r="M28" i="1" s="1"/>
  <c r="K29" i="1"/>
  <c r="K27" i="1"/>
  <c r="M27" i="1" s="1"/>
  <c r="C7" i="68"/>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3" i="83" l="1"/>
  <c r="C57" i="83"/>
  <c r="C64" i="83" s="1"/>
  <c r="J59" i="83"/>
  <c r="J60" i="83" s="1"/>
  <c r="Q48" i="83" s="1"/>
  <c r="J14" i="83"/>
  <c r="J22" i="83" s="1"/>
  <c r="Q49" i="83"/>
  <c r="C56" i="83"/>
  <c r="C65" i="83" s="1"/>
  <c r="C75" i="83"/>
  <c r="Q70" i="83"/>
  <c r="C37" i="83"/>
  <c r="M29" i="1"/>
  <c r="L29" i="1" s="1"/>
  <c r="L6" i="1" s="1"/>
  <c r="M6" i="1"/>
  <c r="C34" i="69"/>
  <c r="C18" i="12"/>
  <c r="D8" i="71"/>
  <c r="C7" i="7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6" i="67"/>
  <c r="C14" i="67"/>
  <c r="C14" i="15"/>
  <c r="C16" i="15"/>
  <c r="J13" i="83" l="1"/>
  <c r="J23" i="83" s="1"/>
  <c r="L46" i="83"/>
  <c r="C18" i="67"/>
  <c r="C15" i="67"/>
  <c r="C18" i="15"/>
  <c r="C15" i="15"/>
  <c r="C35" i="69"/>
  <c r="C38" i="69"/>
  <c r="O6" i="1"/>
  <c r="O16" i="1" s="1"/>
  <c r="M16" i="1"/>
  <c r="N16" i="1" s="1"/>
  <c r="C21" i="12"/>
  <c r="C22" i="12" s="1"/>
  <c r="F7" i="21"/>
  <c r="S7" i="21" s="1"/>
  <c r="J7" i="21"/>
  <c r="AC7" i="21" s="1"/>
  <c r="V48" i="21" s="1"/>
  <c r="I48" i="21" s="1"/>
  <c r="D7" i="71"/>
  <c r="C6" i="7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19" i="67" l="1"/>
  <c r="C20" i="67"/>
  <c r="C26" i="67" s="1"/>
  <c r="C23" i="67"/>
  <c r="C29" i="67" s="1"/>
  <c r="J59" i="67" s="1"/>
  <c r="J60" i="67" s="1"/>
  <c r="Q48" i="67" s="1"/>
  <c r="C19" i="15"/>
  <c r="C20" i="15" s="1"/>
  <c r="C26" i="15" s="1"/>
  <c r="C30" i="12"/>
  <c r="C28" i="12" s="1"/>
  <c r="C33" i="69"/>
  <c r="C42" i="69" s="1"/>
  <c r="C27" i="12"/>
  <c r="C25" i="12" s="1"/>
  <c r="C39" i="69"/>
  <c r="C43" i="69" s="1"/>
  <c r="F50" i="69"/>
  <c r="F50" i="11"/>
  <c r="F50" i="68"/>
  <c r="L16" i="1"/>
  <c r="C34" i="68"/>
  <c r="C34" i="11"/>
  <c r="W7" i="21"/>
  <c r="AA7" i="21"/>
  <c r="R48" i="21" s="1"/>
  <c r="J7" i="35"/>
  <c r="W7" i="35" s="1"/>
  <c r="D6" i="71"/>
  <c r="C5" i="71"/>
  <c r="C61" i="67"/>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83"/>
  <c r="M21" i="83"/>
  <c r="F35" i="67"/>
  <c r="M21" i="15"/>
  <c r="M21" i="67"/>
  <c r="F35" i="15"/>
  <c r="J20" i="83" l="1"/>
  <c r="J17" i="83" s="1"/>
  <c r="J16" i="83" s="1"/>
  <c r="J25" i="83" s="1"/>
  <c r="F63" i="83"/>
  <c r="C62" i="83" s="1"/>
  <c r="C59" i="83" s="1"/>
  <c r="C58" i="83" s="1"/>
  <c r="C67" i="83" s="1"/>
  <c r="C68" i="83" s="1"/>
  <c r="C34" i="83"/>
  <c r="C31" i="83" s="1"/>
  <c r="C30" i="83" s="1"/>
  <c r="C39" i="83" s="1"/>
  <c r="Q49" i="67"/>
  <c r="C23" i="15"/>
  <c r="C29" i="15" s="1"/>
  <c r="C57" i="15" s="1"/>
  <c r="J14" i="67"/>
  <c r="J13" i="67" s="1"/>
  <c r="J23" i="67" s="1"/>
  <c r="C13" i="67"/>
  <c r="Q70" i="67" s="1"/>
  <c r="C32" i="12"/>
  <c r="B2" i="12" s="1"/>
  <c r="B3" i="12" s="1"/>
  <c r="C57" i="67"/>
  <c r="C64" i="67" s="1"/>
  <c r="C36" i="67"/>
  <c r="C46" i="69"/>
  <c r="C45" i="69" s="1"/>
  <c r="C41" i="69"/>
  <c r="C38" i="11"/>
  <c r="C35" i="11"/>
  <c r="C35" i="68"/>
  <c r="C38" i="68"/>
  <c r="AC7" i="35"/>
  <c r="V38" i="35" s="1"/>
  <c r="I38" i="35" s="1"/>
  <c r="D5" i="71"/>
  <c r="M24" i="43" s="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56" i="67" l="1"/>
  <c r="C65" i="67" s="1"/>
  <c r="C40" i="83"/>
  <c r="C46" i="83" s="1"/>
  <c r="I38" i="83"/>
  <c r="Q69" i="83"/>
  <c r="Q68" i="83" s="1"/>
  <c r="C80" i="83"/>
  <c r="C79" i="83" s="1"/>
  <c r="C71" i="83"/>
  <c r="J22" i="67"/>
  <c r="J16" i="67" s="1"/>
  <c r="J25" i="67" s="1"/>
  <c r="J26" i="67" s="1"/>
  <c r="J29" i="67" s="1"/>
  <c r="C49" i="69"/>
  <c r="C51" i="69" s="1"/>
  <c r="C52" i="69" s="1"/>
  <c r="B2" i="69" s="1"/>
  <c r="B3" i="69" s="1"/>
  <c r="C33" i="11"/>
  <c r="C37" i="67"/>
  <c r="C30" i="67" s="1"/>
  <c r="C39" i="67" s="1"/>
  <c r="Q69" i="67" s="1"/>
  <c r="Q68" i="67" s="1"/>
  <c r="C75" i="67"/>
  <c r="Q49" i="15"/>
  <c r="J59" i="15"/>
  <c r="J60" i="15" s="1"/>
  <c r="Q48" i="15" s="1"/>
  <c r="C13" i="15"/>
  <c r="Q70" i="15" s="1"/>
  <c r="J14" i="15"/>
  <c r="J13" i="15" s="1"/>
  <c r="J23" i="15" s="1"/>
  <c r="C36" i="15"/>
  <c r="C33" i="68"/>
  <c r="C42" i="68" s="1"/>
  <c r="C39" i="11"/>
  <c r="C43" i="11" s="1"/>
  <c r="C42" i="11"/>
  <c r="C58" i="67"/>
  <c r="C67" i="67" s="1"/>
  <c r="C68" i="67" s="1"/>
  <c r="C71" i="67" s="1"/>
  <c r="C61" i="15"/>
  <c r="C59" i="15" s="1"/>
  <c r="C64" i="15"/>
  <c r="J17" i="15"/>
  <c r="C31" i="15"/>
  <c r="M69" i="39"/>
  <c r="N67" i="39"/>
  <c r="R39" i="35"/>
  <c r="E38" i="35"/>
  <c r="M63" i="40"/>
  <c r="L65" i="40"/>
  <c r="L51" i="83"/>
  <c r="D2" i="21"/>
  <c r="C57" i="69" l="1"/>
  <c r="C56" i="69" s="1"/>
  <c r="Q67" i="83"/>
  <c r="C43" i="83"/>
  <c r="Q47" i="83"/>
  <c r="Q53" i="83" s="1"/>
  <c r="Q65" i="83"/>
  <c r="Q75" i="83" s="1"/>
  <c r="B2" i="83"/>
  <c r="B3" i="83" s="1"/>
  <c r="Q56" i="83"/>
  <c r="Q62" i="83" s="1"/>
  <c r="C83" i="83"/>
  <c r="C82" i="83" s="1"/>
  <c r="J22" i="15"/>
  <c r="J16" i="15" s="1"/>
  <c r="J25" i="15" s="1"/>
  <c r="J26" i="15" s="1"/>
  <c r="J29" i="15" s="1"/>
  <c r="C75" i="15"/>
  <c r="C56" i="15"/>
  <c r="C65" i="15" s="1"/>
  <c r="C58" i="15" s="1"/>
  <c r="C67" i="15" s="1"/>
  <c r="C68" i="15" s="1"/>
  <c r="C71" i="15" s="1"/>
  <c r="C37" i="15"/>
  <c r="C30" i="15" s="1"/>
  <c r="C39" i="15" s="1"/>
  <c r="C91" i="9"/>
  <c r="C92" i="9" s="1"/>
  <c r="C39" i="68"/>
  <c r="C43" i="68" s="1"/>
  <c r="C41" i="68" s="1"/>
  <c r="C41" i="11"/>
  <c r="C46" i="68"/>
  <c r="C45" i="68" s="1"/>
  <c r="C46" i="11"/>
  <c r="C45" i="11" s="1"/>
  <c r="C80" i="67"/>
  <c r="C79" i="67" s="1"/>
  <c r="C40" i="67"/>
  <c r="C45" i="67" s="1"/>
  <c r="B2" i="21"/>
  <c r="B3" i="21" s="1"/>
  <c r="O67" i="39"/>
  <c r="O69" i="39" s="1"/>
  <c r="N69" i="39"/>
  <c r="F7" i="39"/>
  <c r="C39" i="35"/>
  <c r="C38" i="35"/>
  <c r="N63" i="40"/>
  <c r="M65" i="40"/>
  <c r="E43" i="35"/>
  <c r="F43" i="35" s="1"/>
  <c r="E42" i="35"/>
  <c r="F42" i="35" s="1"/>
  <c r="I43" i="35"/>
  <c r="J43" i="35" s="1"/>
  <c r="L51" i="67"/>
  <c r="D2" i="33"/>
  <c r="C49" i="11" l="1"/>
  <c r="C51" i="11" s="1"/>
  <c r="C94" i="9"/>
  <c r="C49" i="68"/>
  <c r="C51" i="68" s="1"/>
  <c r="C52" i="68" s="1"/>
  <c r="B2" i="68" s="1"/>
  <c r="C52" i="11"/>
  <c r="B2" i="11" s="1"/>
  <c r="B3" i="11" s="1"/>
  <c r="Q69" i="15"/>
  <c r="Q68" i="15" s="1"/>
  <c r="I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C19" i="9"/>
  <c r="C56" i="11" l="1"/>
  <c r="C57" i="11" s="1"/>
  <c r="C57" i="68"/>
  <c r="C56" i="68" s="1"/>
  <c r="C21" i="9"/>
  <c r="C102" i="9"/>
  <c r="B3"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2" i="1"/>
  <c r="AO9" i="1"/>
  <c r="AO10" i="1"/>
  <c r="AO11" i="1"/>
  <c r="AO7"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c r="D34" i="9"/>
  <c r="B6" i="70" l="1"/>
  <c r="B3" i="15"/>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I20" i="9" s="1"/>
  <c r="D22" i="9"/>
  <c r="D21" i="9"/>
  <c r="B3" i="70"/>
  <c r="C42" i="40"/>
  <c r="C43" i="40"/>
  <c r="E47" i="40"/>
  <c r="F47" i="40" s="1"/>
  <c r="E46" i="40"/>
  <c r="F46" i="40" s="1"/>
  <c r="I47" i="40"/>
  <c r="J47" i="40" s="1"/>
  <c r="D20" i="9"/>
  <c r="C32" i="9" l="1"/>
  <c r="C35" i="9" s="1"/>
  <c r="C34" i="9"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F14" i="74"/>
  <c r="B5" i="74"/>
  <c r="D5" i="74" s="1"/>
  <c r="D122" i="9"/>
  <c r="M49" i="9"/>
  <c r="D13" i="53"/>
  <c r="D14" i="53" s="1"/>
  <c r="B32" i="72" s="1"/>
  <c r="D5" i="53"/>
  <c r="D6" i="53" s="1"/>
  <c r="B22" i="72" s="1"/>
  <c r="D45" i="9"/>
  <c r="D55" i="9" s="1"/>
  <c r="M53" i="9" s="1"/>
  <c r="M48" i="9"/>
  <c r="C105" i="9"/>
  <c r="E118" i="9"/>
  <c r="E4" i="52" s="1"/>
  <c r="B48" i="72" s="1"/>
  <c r="I4" i="52"/>
  <c r="H102" i="9"/>
  <c r="D123" i="9" l="1"/>
  <c r="D9" i="52" s="1"/>
  <c r="G14" i="74"/>
  <c r="B6" i="74" s="1"/>
  <c r="D6" i="74" s="1"/>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C79" i="9" l="1"/>
  <c r="C80" i="9" s="1"/>
  <c r="E80" i="9" s="1"/>
  <c r="E81" i="9" s="1"/>
  <c r="M69" i="9"/>
  <c r="N69" i="9" s="1"/>
  <c r="D59" i="9"/>
  <c r="M55" i="9" s="1"/>
  <c r="C95" i="9"/>
  <c r="C96" i="9" s="1"/>
  <c r="E96" i="9" s="1"/>
  <c r="E97" i="9" s="1"/>
  <c r="C81" i="9"/>
  <c r="D15" i="53"/>
  <c r="B31" i="72" s="1"/>
  <c r="C6" i="74"/>
  <c r="C97" i="9" l="1"/>
  <c r="D58" i="9" s="1"/>
  <c r="D56" i="9" s="1"/>
  <c r="M54" i="9" s="1"/>
  <c r="N57" i="9" s="1"/>
  <c r="P57" i="9" l="1"/>
  <c r="N58" i="9"/>
  <c r="N59" i="9"/>
  <c r="H111" i="9" s="1"/>
  <c r="D126" i="9" l="1"/>
  <c r="I14" i="74" s="1"/>
  <c r="B8" i="74" s="1"/>
  <c r="D8" i="74" s="1"/>
  <c r="D19" i="53"/>
  <c r="N61" i="9"/>
  <c r="H112" i="9" s="1"/>
  <c r="N60" i="9"/>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马斯媛</author>
    <author>高雅丽</author>
  </authors>
  <commentList>
    <comment ref="B7" authorId="0">
      <text>
        <r>
          <rPr>
            <b/>
            <sz val="9"/>
            <rFont val="宋体"/>
            <family val="3"/>
            <charset val="134"/>
          </rPr>
          <t>签约一份合同，价格不同，故分开登记。</t>
        </r>
      </text>
    </comment>
    <comment ref="B9" authorId="0">
      <text>
        <r>
          <rPr>
            <b/>
            <sz val="9"/>
            <rFont val="宋体"/>
            <family val="3"/>
            <charset val="134"/>
          </rPr>
          <t>签约一份合同，价格不同，故分开登记。</t>
        </r>
      </text>
    </comment>
    <comment ref="D13" authorId="0">
      <text>
        <r>
          <rPr>
            <b/>
            <sz val="9"/>
            <rFont val="宋体"/>
            <family val="3"/>
            <charset val="134"/>
          </rPr>
          <t xml:space="preserve">
2023.05.15-2025.4.14递增，单价7.35，月租金87296.69元。</t>
        </r>
      </text>
    </comment>
    <comment ref="E19" authorId="1">
      <text>
        <r>
          <rPr>
            <sz val="9"/>
            <rFont val="宋体"/>
            <family val="3"/>
            <charset val="134"/>
          </rPr>
          <t>2023.03.01起租金递增至5.92元/平米/天，无需补押金，首期费用已交</t>
        </r>
      </text>
    </comment>
    <comment ref="E20" authorId="1">
      <text>
        <r>
          <rPr>
            <sz val="9"/>
            <rFont val="宋体"/>
            <family val="3"/>
            <charset val="134"/>
          </rPr>
          <t xml:space="preserve">2023.03.01起租金递增至5.92元/平米/天，无需补押金，首期费用已交
</t>
        </r>
      </text>
    </comment>
    <comment ref="E21" authorId="1">
      <text>
        <r>
          <rPr>
            <sz val="9"/>
            <rFont val="宋体"/>
            <family val="3"/>
            <charset val="134"/>
          </rPr>
          <t xml:space="preserve">2023.03.01起租金递增至5.92元/平米/天，无需补押金，首期费用已交
</t>
        </r>
      </text>
    </comment>
    <comment ref="E22" authorId="1">
      <text>
        <r>
          <rPr>
            <sz val="9"/>
            <rFont val="宋体"/>
            <family val="3"/>
            <charset val="134"/>
          </rPr>
          <t xml:space="preserve">2023.03.01起租金递增至5.92元/平米/天，无需补押金，首期费用已交
</t>
        </r>
      </text>
    </comment>
    <comment ref="E23" authorId="1">
      <text>
        <r>
          <rPr>
            <sz val="9"/>
            <rFont val="宋体"/>
            <family val="3"/>
            <charset val="134"/>
          </rPr>
          <t xml:space="preserve">2023.03.01起租金递增至5.92元/平米/天，无需补押金，首期费用已交
</t>
        </r>
      </text>
    </comment>
    <comment ref="E24" authorId="1">
      <text>
        <r>
          <rPr>
            <sz val="9"/>
            <rFont val="宋体"/>
            <family val="3"/>
            <charset val="134"/>
          </rPr>
          <t xml:space="preserve">2023.03.01起租金递增至5.92元/平米/天，无需补押金，首期费用已交
</t>
        </r>
      </text>
    </comment>
    <comment ref="E25" authorId="1">
      <text>
        <r>
          <rPr>
            <sz val="9"/>
            <rFont val="宋体"/>
            <family val="3"/>
            <charset val="134"/>
          </rPr>
          <t xml:space="preserve">2023.03.01起租金递增至5.10元/平米/天
</t>
        </r>
      </text>
    </comment>
    <comment ref="E26" authorId="1">
      <text>
        <r>
          <rPr>
            <sz val="9"/>
            <rFont val="宋体"/>
            <family val="3"/>
            <charset val="134"/>
          </rPr>
          <t xml:space="preserve">2023.03.01起租金递增至5.10元/平米/天，无需补押金，首期费用已交
</t>
        </r>
      </text>
    </comment>
    <comment ref="E27" authorId="1">
      <text>
        <r>
          <rPr>
            <sz val="9"/>
            <rFont val="宋体"/>
            <family val="3"/>
            <charset val="134"/>
          </rPr>
          <t>2023.5.7起递增至5.712元/平米/天</t>
        </r>
      </text>
    </comment>
    <comment ref="D72" authorId="1">
      <text>
        <r>
          <rPr>
            <sz val="9"/>
            <rFont val="宋体"/>
            <family val="3"/>
            <charset val="134"/>
          </rPr>
          <t>2023.04.19起递增3%，6.74元/平/天，月租金108140.34元</t>
        </r>
      </text>
    </comment>
    <comment ref="D73" authorId="1">
      <text>
        <r>
          <rPr>
            <sz val="9"/>
            <rFont val="宋体"/>
            <family val="3"/>
            <charset val="134"/>
          </rPr>
          <t xml:space="preserve">2023.04.19起递增3%，6.43元/平/天，月租金51557.63元
</t>
        </r>
      </text>
    </comment>
    <comment ref="D76" authorId="1">
      <text>
        <r>
          <rPr>
            <sz val="9"/>
            <rFont val="宋体"/>
            <family val="3"/>
            <charset val="134"/>
          </rPr>
          <t xml:space="preserve">2023.06.01起递增3%，6.43元/平/天，月租金44298.94元
</t>
        </r>
      </text>
    </comment>
    <comment ref="D85" authorId="1">
      <text>
        <r>
          <rPr>
            <b/>
            <sz val="9"/>
            <rFont val="宋体"/>
            <family val="3"/>
            <charset val="134"/>
          </rPr>
          <t xml:space="preserve">
2023.06.16-2025.06.15租金递增5%，单价18.1965元/平/天，月租金303082.97元</t>
        </r>
      </text>
    </comment>
    <comment ref="E86" authorId="1">
      <text>
        <r>
          <rPr>
            <b/>
            <sz val="9"/>
            <rFont val="宋体"/>
            <family val="3"/>
            <charset val="134"/>
          </rPr>
          <t>高雅丽:</t>
        </r>
        <r>
          <rPr>
            <sz val="9"/>
            <rFont val="宋体"/>
            <family val="3"/>
            <charset val="134"/>
          </rPr>
          <t xml:space="preserve">
2022.07.15-2025.06.14
递增2%，租金单价19.992
月租金162043.82元
</t>
        </r>
      </text>
    </comment>
    <comment ref="E87" authorId="1">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88" authorId="1">
      <text>
        <r>
          <rPr>
            <b/>
            <sz val="9"/>
            <rFont val="宋体"/>
            <family val="3"/>
            <charset val="134"/>
          </rPr>
          <t>首层03单元719.95平方米，二层面积3396.55平方米，共计4116.50平方米
均为建筑面积</t>
        </r>
        <r>
          <rPr>
            <sz val="9"/>
            <rFont val="宋体"/>
            <family val="3"/>
            <charset val="134"/>
          </rPr>
          <t xml:space="preserve">
</t>
        </r>
      </text>
    </comment>
    <comment ref="D88" authorId="1">
      <text>
        <r>
          <rPr>
            <b/>
            <sz val="9"/>
            <rFont val="宋体"/>
            <family val="3"/>
            <charset val="134"/>
          </rPr>
          <t>2023.06.01-2025.05.31递增，约7.2930元/平/天</t>
        </r>
        <r>
          <rPr>
            <sz val="9"/>
            <rFont val="宋体"/>
            <family val="3"/>
            <charset val="134"/>
          </rPr>
          <t xml:space="preserve">
</t>
        </r>
      </text>
    </comment>
    <comment ref="E90" author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<sst xmlns="http://schemas.openxmlformats.org/spreadsheetml/2006/main" count="8987" uniqueCount="3727">
  <si>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</si>
  <si>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</si>
  <si>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</si>
  <si>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</si>
  <si>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</si>
  <si>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</si>
  <si>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</si>
  <si>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</si>
  <si>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</si>
  <si>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</si>
  <si>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</si>
  <si>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</si>
  <si>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</si>
  <si>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</si>
  <si>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</si>
  <si>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</si>
  <si>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</si>
  <si>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</si>
  <si>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</si>
  <si>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</si>
  <si>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</si>
  <si>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</si>
  <si>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</si>
  <si>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</si>
  <si>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</si>
  <si>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</si>
  <si>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</si>
  <si>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</si>
  <si>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</si>
  <si>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</si>
  <si>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</si>
  <si>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</si>
  <si>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</si>
  <si>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</si>
  <si>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</si>
  <si>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</si>
  <si>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</si>
  <si>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</si>
  <si>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</si>
  <si>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</si>
  <si>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</si>
  <si>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</si>
  <si>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</si>
  <si>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</si>
  <si>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</si>
  <si>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</si>
  <si>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</si>
  <si>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</si>
  <si>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</si>
  <si>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</si>
  <si>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</si>
  <si>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</si>
  <si>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</si>
  <si>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</si>
  <si>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</si>
  <si>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</si>
  <si>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</si>
  <si>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</si>
  <si>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</si>
  <si>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</si>
  <si>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</si>
  <si>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</si>
  <si>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</si>
  <si>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</si>
  <si>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</si>
  <si>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</si>
  <si>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</si>
  <si>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</si>
  <si>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</si>
  <si>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</si>
  <si>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</si>
  <si>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</si>
  <si>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</si>
  <si>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</si>
  <si>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</si>
  <si>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</si>
  <si>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</si>
  <si>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</si>
  <si>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</si>
  <si>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</si>
  <si>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</si>
  <si>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</si>
  <si>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</si>
  <si>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</si>
  <si>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</si>
  <si>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</si>
  <si>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</si>
  <si>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</si>
  <si>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</si>
  <si>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</si>
  <si>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</si>
  <si>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</si>
  <si>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</si>
  <si>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</si>
  <si>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</si>
  <si>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</si>
  <si>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</si>
  <si>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</si>
  <si>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</si>
  <si>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</si>
  <si>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</si>
  <si>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</si>
  <si>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</si>
  <si>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</si>
  <si>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</si>
  <si>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</si>
  <si>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</si>
  <si>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</si>
  <si>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</si>
  <si>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</si>
  <si>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</si>
  <si>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</si>
  <si>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</si>
  <si>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</si>
  <si>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</si>
  <si>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</si>
  <si>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</si>
  <si>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</si>
  <si>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</si>
  <si>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</si>
  <si>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</si>
  <si>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</si>
  <si>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</si>
  <si>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</si>
  <si>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</si>
  <si>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</si>
  <si>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</si>
  <si>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</si>
  <si>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</si>
  <si>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</si>
  <si>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</si>
  <si>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</si>
  <si>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</si>
  <si>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</si>
  <si>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</si>
  <si>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</si>
  <si>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</si>
  <si>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</si>
  <si>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</si>
  <si>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</si>
  <si>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</si>
  <si>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</si>
  <si>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</si>
  <si>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</si>
  <si>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</si>
  <si>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</si>
  <si>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</si>
  <si>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</si>
  <si>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</si>
  <si>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</si>
  <si>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</si>
  <si>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</si>
  <si>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</si>
  <si>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</si>
  <si>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</si>
  <si>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</si>
  <si>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</si>
  <si>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</si>
  <si>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</si>
  <si>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</si>
  <si>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</si>
  <si>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</si>
  <si>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</si>
  <si>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</si>
  <si>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</si>
  <si>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</si>
  <si>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</si>
  <si>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</si>
  <si>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</si>
  <si>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</si>
  <si>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</si>
  <si>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</si>
  <si>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</si>
  <si>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</si>
  <si>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</si>
  <si>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</si>
  <si>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</si>
  <si>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</si>
  <si>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</si>
  <si>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</si>
  <si>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</si>
  <si>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</si>
  <si>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</si>
  <si>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</si>
  <si>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</si>
  <si>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</si>
  <si>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</si>
  <si>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</si>
  <si>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</si>
  <si>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</si>
  <si>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</si>
  <si>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</si>
  <si>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</si>
  <si>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</si>
  <si>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</si>
  <si>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</si>
  <si>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</si>
  <si>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</si>
  <si>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</si>
  <si>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</si>
  <si>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</si>
  <si>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</si>
  <si>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</si>
  <si>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</si>
  <si>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</si>
  <si>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</si>
  <si>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</si>
  <si>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</si>
  <si>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</si>
  <si>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</si>
  <si>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</si>
  <si>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</si>
  <si>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</si>
  <si>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</si>
  <si>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</si>
  <si>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</si>
  <si>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</si>
  <si>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</si>
  <si>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</si>
  <si>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</si>
  <si>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</si>
  <si>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</si>
  <si>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</si>
  <si>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</si>
  <si>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</si>
  <si>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</si>
  <si>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</si>
  <si>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</si>
  <si>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</si>
  <si>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</si>
  <si>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</si>
  <si>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</si>
  <si>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</si>
  <si>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</si>
  <si>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</si>
  <si>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</si>
  <si>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</si>
  <si>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</si>
  <si>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</si>
  <si>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</si>
  <si>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</si>
  <si>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</si>
  <si>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</si>
  <si>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</si>
  <si>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</si>
  <si>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</si>
  <si>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</si>
  <si>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</si>
  <si>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</si>
  <si>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</si>
  <si>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</si>
  <si>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</si>
  <si>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</si>
  <si>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</si>
  <si>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</si>
  <si>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</si>
  <si>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</si>
  <si>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</si>
  <si>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</si>
  <si>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</si>
  <si>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</si>
  <si>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</si>
  <si>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</si>
  <si>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</si>
  <si>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</si>
  <si>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</si>
  <si>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</si>
  <si>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</si>
  <si>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</si>
  <si>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</si>
  <si>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</si>
  <si>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</si>
  <si>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</si>
  <si>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</si>
  <si>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</si>
  <si>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</si>
  <si>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</si>
  <si>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</si>
  <si>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</si>
  <si>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</si>
  <si>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</si>
  <si>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</si>
  <si>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</si>
  <si>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</si>
  <si>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</si>
  <si>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</si>
  <si>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</si>
  <si>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</si>
  <si>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</si>
  <si>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</si>
  <si>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</si>
  <si>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</si>
  <si>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</si>
  <si>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</si>
  <si>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</si>
  <si>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</si>
  <si>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</si>
  <si>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</si>
  <si>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</si>
  <si>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</si>
  <si>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</si>
  <si>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</si>
  <si>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</si>
  <si>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</si>
  <si>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</si>
  <si>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</si>
  <si>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</si>
  <si>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</si>
  <si>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</si>
  <si>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</si>
  <si>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</si>
  <si>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</si>
  <si>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</si>
  <si>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</si>
  <si>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</si>
  <si>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</si>
  <si>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</si>
  <si>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</si>
  <si>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</si>
  <si>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</si>
  <si>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</si>
  <si>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</si>
  <si>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</si>
  <si>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</si>
  <si>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</si>
  <si>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</si>
  <si>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</si>
  <si>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</si>
  <si>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</si>
  <si>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</si>
  <si>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</si>
  <si>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</si>
  <si>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</si>
  <si>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</si>
  <si>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</si>
  <si>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</si>
  <si>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</si>
  <si>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</si>
  <si>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</si>
  <si>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</si>
  <si>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</si>
  <si>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</si>
  <si>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</si>
  <si>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</si>
  <si>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</si>
  <si>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</si>
  <si>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</si>
  <si>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</si>
  <si>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</si>
  <si>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</si>
  <si>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</si>
  <si>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</si>
  <si>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</si>
  <si>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</si>
  <si>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</si>
  <si>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</si>
  <si>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</si>
  <si>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</si>
  <si>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</si>
  <si>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</si>
  <si>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</si>
  <si>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</si>
  <si>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</si>
  <si>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</si>
  <si>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</si>
  <si>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</si>
  <si>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</si>
  <si>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</si>
  <si>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</si>
  <si>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</si>
  <si>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</si>
  <si>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</si>
  <si>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</si>
  <si>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</si>
  <si>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</si>
  <si>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</si>
  <si>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</si>
  <si>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</si>
  <si>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</si>
  <si>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</si>
  <si>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</si>
  <si>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</si>
  <si>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</si>
  <si>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</si>
  <si>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</si>
  <si>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</si>
  <si>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</si>
  <si>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</si>
  <si>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</si>
  <si>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</si>
  <si>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</si>
  <si>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</si>
  <si>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</si>
  <si>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</si>
  <si>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</si>
  <si>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</si>
  <si>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</si>
  <si>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</si>
  <si>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</si>
  <si>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</si>
  <si>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</si>
  <si>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</si>
  <si>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</si>
  <si>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</si>
  <si>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</si>
  <si>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</si>
  <si>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</si>
  <si>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</si>
  <si>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</si>
  <si>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</si>
  <si>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</si>
  <si>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</si>
  <si>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</si>
  <si>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</si>
  <si>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</si>
  <si>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</si>
  <si>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</si>
  <si>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</si>
  <si>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</si>
  <si>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</si>
  <si>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</si>
  <si>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</si>
  <si>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</si>
  <si>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</si>
  <si>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</si>
  <si>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</si>
  <si>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</si>
  <si>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</si>
  <si>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</si>
  <si>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</si>
  <si>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</si>
  <si>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</si>
  <si>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</si>
  <si>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</si>
  <si>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</si>
  <si>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</si>
  <si>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</si>
  <si>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</si>
  <si>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</si>
  <si>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</si>
  <si>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</si>
  <si>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</si>
  <si>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</si>
  <si>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</si>
  <si>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</si>
  <si>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</si>
  <si>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</si>
  <si>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</si>
  <si>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</si>
  <si>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</si>
  <si>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</si>
  <si>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</si>
  <si>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</si>
  <si>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</si>
  <si>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</si>
  <si>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</si>
  <si>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</si>
  <si>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</si>
  <si>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</si>
  <si>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</si>
  <si>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</si>
  <si>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</si>
  <si>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</si>
  <si>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</si>
  <si>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</si>
  <si>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</si>
  <si>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</si>
  <si>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</si>
  <si>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</si>
  <si>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</si>
  <si>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</si>
  <si>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</si>
  <si>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</si>
  <si>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</si>
  <si>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</si>
  <si>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</si>
  <si>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</si>
  <si>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</si>
  <si>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</si>
  <si>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</si>
  <si>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</si>
  <si>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</si>
  <si>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</si>
  <si>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</si>
  <si>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</si>
  <si>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</si>
  <si>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</si>
  <si>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</si>
  <si>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</si>
  <si>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</si>
  <si>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</si>
  <si>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</si>
  <si>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</si>
  <si>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</si>
  <si>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</si>
  <si>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</si>
  <si>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</si>
  <si>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</si>
  <si>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</si>
  <si>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</si>
  <si>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</si>
  <si>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</si>
  <si>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</si>
  <si>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</si>
  <si>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</si>
  <si>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</si>
  <si>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</si>
  <si>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</si>
  <si>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</si>
  <si>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</si>
  <si>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</si>
  <si>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</si>
  <si>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</si>
  <si>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</si>
  <si>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</si>
  <si>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</si>
  <si>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</si>
  <si>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</si>
  <si>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</si>
  <si>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</si>
  <si>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</si>
  <si>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</si>
  <si>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</si>
  <si>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</si>
  <si>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</si>
  <si>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</si>
  <si>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</si>
  <si>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</si>
  <si>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</si>
  <si>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</si>
  <si>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</si>
  <si>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</si>
  <si>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</si>
  <si>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</si>
  <si>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</si>
  <si>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</si>
  <si>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</si>
  <si>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</si>
  <si>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</si>
  <si>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</si>
  <si>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</si>
  <si>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</si>
  <si>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</si>
  <si>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</si>
  <si>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</si>
  <si>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</si>
  <si>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</si>
  <si>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</si>
  <si>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</si>
  <si>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</si>
  <si>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</si>
  <si>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</si>
  <si>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</si>
  <si>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</si>
  <si>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</si>
  <si>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</si>
  <si>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</si>
  <si>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</si>
  <si>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</si>
  <si>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</si>
  <si>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</si>
  <si>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</si>
  <si>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</si>
  <si>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</si>
  <si>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</si>
  <si>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</si>
  <si>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</si>
  <si>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</si>
  <si>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</si>
  <si>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</si>
  <si>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</si>
  <si>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</si>
  <si>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</si>
  <si>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</si>
  <si>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</si>
  <si>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</si>
  <si>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</si>
  <si>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</si>
  <si>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</si>
  <si>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</si>
  <si>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</si>
  <si>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</si>
  <si>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</si>
  <si>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</si>
  <si>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</si>
  <si>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</si>
  <si>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</si>
  <si>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</si>
  <si>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</si>
  <si>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</si>
  <si>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</si>
  <si>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</si>
  <si>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</si>
  <si>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</si>
  <si>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</si>
  <si>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</si>
  <si>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</si>
  <si>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</si>
  <si>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</si>
  <si>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</si>
  <si>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</si>
  <si>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</si>
  <si>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</si>
  <si>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</si>
  <si>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</si>
  <si>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</si>
  <si>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</si>
  <si>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</si>
  <si>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</si>
  <si>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</si>
  <si>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</si>
  <si>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</si>
  <si>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</si>
  <si>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</si>
  <si>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</si>
  <si>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</si>
  <si>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</si>
  <si>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</si>
  <si>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</si>
  <si>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</si>
  <si>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</si>
  <si>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</si>
  <si>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</si>
  <si>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</si>
  <si>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</si>
  <si>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</si>
  <si>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</si>
  <si>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</si>
  <si>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</si>
  <si>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</si>
  <si>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</si>
  <si>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</si>
  <si>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</si>
  <si>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</si>
  <si>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</si>
  <si>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</si>
  <si>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</si>
  <si>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</si>
  <si>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</si>
  <si>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</si>
  <si>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</si>
  <si>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</si>
  <si>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</si>
  <si>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</si>
  <si>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</si>
  <si>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</si>
  <si>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</si>
  <si>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</si>
  <si>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</si>
  <si>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</si>
  <si>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</si>
  <si>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</si>
  <si>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</si>
  <si>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</si>
  <si>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</si>
  <si>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</si>
  <si>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</si>
  <si>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</si>
  <si>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</si>
  <si>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</si>
  <si>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</si>
  <si>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</si>
  <si>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</si>
  <si>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</si>
  <si>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</si>
  <si>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</si>
  <si>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</si>
  <si>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</si>
  <si>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</si>
  <si>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</si>
  <si>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</si>
  <si>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</si>
  <si>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</si>
  <si>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</si>
  <si>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</si>
  <si>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</si>
  <si>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</si>
  <si>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</si>
  <si>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</si>
  <si>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</si>
  <si>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</si>
  <si>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</si>
  <si>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</si>
  <si>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</si>
  <si>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</si>
  <si>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</si>
  <si>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</si>
  <si>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</si>
  <si>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</si>
  <si>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</si>
  <si>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</si>
  <si>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</si>
  <si>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</si>
  <si>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</si>
  <si>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</si>
  <si>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</si>
  <si>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</si>
  <si>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</si>
  <si>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</si>
  <si>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</si>
  <si>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</si>
  <si>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</si>
  <si>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</si>
  <si>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</si>
  <si>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</si>
  <si>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</si>
  <si>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</si>
  <si>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</si>
  <si>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</si>
  <si>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</si>
  <si>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</si>
  <si>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</si>
  <si>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</si>
  <si>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</si>
  <si>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</si>
  <si>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</si>
  <si>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</si>
  <si>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</si>
  <si>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</si>
  <si>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</si>
  <si>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</si>
  <si>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</si>
  <si>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</si>
  <si>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</si>
  <si>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</si>
  <si>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</si>
  <si>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</si>
  <si>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</si>
  <si>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</si>
  <si>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</si>
  <si>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</si>
  <si>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</si>
  <si>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</si>
  <si>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</si>
  <si>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</si>
  <si>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</si>
  <si>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</si>
  <si>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</si>
  <si>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</si>
  <si>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</si>
  <si>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</si>
  <si>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</si>
  <si>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</si>
  <si>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</si>
  <si>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</si>
  <si>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</si>
  <si>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</si>
  <si>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</si>
  <si>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</si>
  <si>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</si>
  <si>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</si>
  <si>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</si>
  <si>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</si>
  <si>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</si>
  <si>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</si>
  <si>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</si>
  <si>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</si>
  <si>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</si>
  <si>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</si>
  <si>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</si>
  <si>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</si>
  <si>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</si>
  <si>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</si>
  <si>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</si>
  <si>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</si>
  <si>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</si>
  <si>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</si>
  <si>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</si>
  <si>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</si>
  <si>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</si>
  <si>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</si>
  <si>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</si>
  <si>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</si>
  <si>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</si>
  <si>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</si>
  <si>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</si>
  <si>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</si>
  <si>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</si>
  <si>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</si>
  <si>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</si>
  <si>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</si>
  <si>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</si>
  <si>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</si>
  <si>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</si>
  <si>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</si>
  <si>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</si>
  <si>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</si>
  <si>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</si>
  <si>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</si>
  <si>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</si>
  <si>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</si>
  <si>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</si>
  <si>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</si>
  <si>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</si>
  <si>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</si>
  <si>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</si>
  <si>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</si>
  <si>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</si>
  <si>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</si>
  <si>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</si>
  <si>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</si>
  <si>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</si>
  <si>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</si>
  <si>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</si>
  <si>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</si>
  <si>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</si>
  <si>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</si>
  <si>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</si>
  <si>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</si>
  <si>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</si>
  <si>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</si>
  <si>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</si>
  <si>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</si>
  <si>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</si>
  <si>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</si>
  <si>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</si>
  <si>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</si>
  <si>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</si>
  <si>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</si>
  <si>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</si>
  <si>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</si>
  <si>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</si>
  <si>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</si>
  <si>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</si>
  <si>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</si>
  <si>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</si>
  <si>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</si>
  <si>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</si>
  <si>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</si>
  <si>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</si>
  <si>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</si>
  <si>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</si>
  <si>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</si>
  <si>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</si>
  <si>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</si>
  <si>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</si>
  <si>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</si>
  <si>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</si>
  <si>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</si>
  <si>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</si>
  <si>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</si>
  <si>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</si>
  <si>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</si>
  <si>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</si>
  <si>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</si>
  <si>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</si>
  <si>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</si>
  <si>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</si>
  <si>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</si>
  <si>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</si>
  <si>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</si>
  <si>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</si>
  <si>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</si>
  <si>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</si>
  <si>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</si>
  <si>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</si>
  <si>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</si>
  <si>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</si>
  <si>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</si>
  <si>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</si>
  <si>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</si>
  <si>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</si>
  <si>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</si>
  <si>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</si>
  <si>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</si>
  <si>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</si>
  <si>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</si>
  <si>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</si>
  <si>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</si>
  <si>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</si>
  <si>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</si>
  <si>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</si>
  <si>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</si>
  <si>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</si>
  <si>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</si>
  <si>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</si>
  <si>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</si>
  <si>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</si>
  <si>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</si>
  <si>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</si>
  <si>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</si>
  <si>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</si>
  <si>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</si>
  <si>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</si>
  <si>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</si>
  <si>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</si>
  <si>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</si>
  <si>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</si>
  <si>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</si>
  <si>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</si>
  <si>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</si>
  <si>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</si>
  <si>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</si>
  <si>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</si>
  <si>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</si>
  <si>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</si>
  <si>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</si>
  <si>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</si>
  <si>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</si>
  <si>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</si>
  <si>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</si>
  <si>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</si>
  <si>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</si>
  <si>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</si>
  <si>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</si>
  <si>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</si>
  <si>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</si>
  <si>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</si>
  <si>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</si>
  <si>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</si>
  <si>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</si>
  <si>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</si>
  <si>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</si>
  <si>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</si>
  <si>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</si>
  <si>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</si>
  <si>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</si>
  <si>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</si>
  <si>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</si>
  <si>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</si>
  <si>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</si>
  <si>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</si>
  <si>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</si>
  <si>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</si>
  <si>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</si>
  <si>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</si>
  <si>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</si>
  <si>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</si>
  <si>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</si>
  <si>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</si>
  <si>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</si>
  <si>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</si>
  <si>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</si>
  <si>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</si>
  <si>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</si>
  <si>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</si>
  <si>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</si>
  <si>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</si>
  <si>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</si>
  <si>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</si>
  <si>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</si>
  <si>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</si>
  <si>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</si>
  <si>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</si>
  <si>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</si>
  <si>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</si>
  <si>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</si>
  <si>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</si>
  <si>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</si>
  <si>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</si>
  <si>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</si>
  <si>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</si>
  <si>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</si>
  <si>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</si>
  <si>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</si>
  <si>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</si>
  <si>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</si>
  <si>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</si>
  <si>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</si>
  <si>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</si>
  <si>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</si>
  <si>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</si>
  <si>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</si>
  <si>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</si>
  <si>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</si>
  <si>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</si>
  <si>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</si>
  <si>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</si>
  <si>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</si>
  <si>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</si>
  <si>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</si>
  <si>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</si>
  <si>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</si>
  <si>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</si>
  <si>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</si>
  <si>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</si>
  <si>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</si>
  <si>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</si>
  <si>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</si>
  <si>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</si>
  <si>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</si>
  <si>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</si>
  <si>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</si>
  <si>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</si>
  <si>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</si>
  <si>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</si>
  <si>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</si>
  <si>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</si>
  <si>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</si>
  <si>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</si>
  <si>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</si>
  <si>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</si>
  <si>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</si>
  <si>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</si>
  <si>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</si>
  <si>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</si>
  <si>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</si>
  <si>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</si>
  <si>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</si>
  <si>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</si>
  <si>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</si>
  <si>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</si>
  <si>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</si>
  <si>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</si>
  <si>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</si>
  <si>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</si>
  <si>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</si>
  <si>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</si>
  <si>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</si>
  <si>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</si>
  <si>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</si>
  <si>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</si>
  <si>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</si>
  <si>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</si>
  <si>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</si>
  <si>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</si>
  <si>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</si>
  <si>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</si>
  <si>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</si>
  <si>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</si>
  <si>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</si>
  <si>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</si>
  <si>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</si>
  <si>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</si>
  <si>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</si>
  <si>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</si>
  <si>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</si>
  <si>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</si>
  <si>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</si>
  <si>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</si>
  <si>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</si>
  <si>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</si>
  <si>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</si>
  <si>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</si>
  <si>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</si>
  <si>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</si>
  <si>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</si>
  <si>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</si>
  <si>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</si>
  <si>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</si>
  <si>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</si>
  <si>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</si>
  <si>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</si>
  <si>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</si>
  <si>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</si>
  <si>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</si>
  <si>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</si>
  <si>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</si>
  <si>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</si>
  <si>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</si>
  <si>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</si>
  <si>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</si>
  <si>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</si>
  <si>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</si>
  <si>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</si>
  <si>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</si>
  <si>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</si>
  <si>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</si>
  <si>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</si>
  <si>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</si>
  <si>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</si>
  <si>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</si>
  <si>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</si>
  <si>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</si>
  <si>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</si>
  <si>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</si>
  <si>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</si>
  <si>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</si>
  <si>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</si>
  <si>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</si>
  <si>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</si>
  <si>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</si>
  <si>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</si>
  <si>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</si>
  <si>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</si>
  <si>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</si>
  <si>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</si>
  <si>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</si>
  <si>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</si>
  <si>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</si>
  <si>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</si>
  <si>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</si>
  <si>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</si>
  <si>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</si>
  <si>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</si>
  <si>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</si>
  <si>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</si>
  <si>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</si>
  <si>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</si>
  <si>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</si>
  <si>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</si>
  <si>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</si>
  <si>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</si>
  <si>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</si>
  <si>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</si>
  <si>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</si>
  <si>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</si>
  <si>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</si>
  <si>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</si>
  <si>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</si>
  <si>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</si>
  <si>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</si>
  <si>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</si>
  <si>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</si>
  <si>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</si>
  <si>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</si>
  <si>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</si>
  <si>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</si>
  <si>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</si>
  <si>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</si>
  <si>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</si>
  <si>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</si>
  <si>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</si>
  <si>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</si>
  <si>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</si>
  <si>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</si>
  <si>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</si>
  <si>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</si>
  <si>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</si>
  <si>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</si>
  <si>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</si>
  <si>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</si>
  <si>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</si>
  <si>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</si>
  <si>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</si>
  <si>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</si>
  <si>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</si>
  <si>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</si>
  <si>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</si>
  <si>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</si>
  <si>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</si>
  <si>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</si>
  <si>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</si>
  <si>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</si>
  <si>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</si>
  <si>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</si>
  <si>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</si>
  <si>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</si>
  <si>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</si>
  <si>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</si>
  <si>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</si>
  <si>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</si>
  <si>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</si>
  <si>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</si>
  <si>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</si>
  <si>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</si>
  <si>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</si>
  <si>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</si>
  <si>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</si>
  <si>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</si>
  <si>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</si>
  <si>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</si>
  <si>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</si>
  <si>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</si>
  <si>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</si>
  <si>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</si>
  <si>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</si>
  <si>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</si>
  <si>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</si>
  <si>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</si>
  <si>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</si>
  <si>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</si>
  <si>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</si>
  <si>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</si>
  <si>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</si>
  <si>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</si>
  <si>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</si>
  <si>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</si>
  <si>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</si>
  <si>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</si>
  <si>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</si>
  <si>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</si>
  <si>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</si>
  <si>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</si>
  <si>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</si>
  <si>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</si>
  <si>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</si>
  <si>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</si>
  <si>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</si>
  <si>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</si>
  <si>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</si>
  <si>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</si>
  <si>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</si>
  <si>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</si>
  <si>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</si>
  <si>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</si>
  <si>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</si>
  <si>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</si>
  <si>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</si>
  <si>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</si>
  <si>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</si>
  <si>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</si>
  <si>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</si>
  <si>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</si>
  <si>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</si>
  <si>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</si>
  <si>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</si>
  <si>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</si>
  <si>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</si>
  <si>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</si>
  <si>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</si>
  <si>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</si>
  <si>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</si>
  <si>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</si>
  <si>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</si>
  <si>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</si>
  <si>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</si>
  <si>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</si>
  <si>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</si>
  <si>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</si>
  <si>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</si>
  <si>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</si>
  <si>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</si>
  <si>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</si>
  <si>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</si>
  <si>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</si>
  <si>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</si>
  <si>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</si>
  <si>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</si>
  <si>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</si>
  <si>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</si>
  <si>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</si>
  <si>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</si>
  <si>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</si>
  <si>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</si>
  <si>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</si>
  <si>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</si>
  <si>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</si>
  <si>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</si>
  <si>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</si>
  <si>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</si>
  <si>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</si>
  <si>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</si>
  <si>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</si>
  <si>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</si>
  <si>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</si>
  <si>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</si>
  <si>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</si>
  <si>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</si>
  <si>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</si>
  <si>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</si>
  <si>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</si>
  <si>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</si>
  <si>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</si>
  <si>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</si>
  <si>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</si>
  <si>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</si>
  <si>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</si>
  <si>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</si>
  <si>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</si>
  <si>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</si>
  <si>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</si>
  <si>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</si>
  <si>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</si>
  <si>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</si>
  <si>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</si>
  <si>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</si>
  <si>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</si>
  <si>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</si>
  <si>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</si>
  <si>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</si>
  <si>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</si>
  <si>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</si>
  <si>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</si>
  <si>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</si>
  <si>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</si>
  <si>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</si>
  <si>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</si>
  <si>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</si>
  <si>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</si>
  <si>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</si>
  <si>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</si>
  <si>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</si>
  <si>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</si>
  <si>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</si>
  <si>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</si>
  <si>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</si>
  <si>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</si>
  <si>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</si>
  <si>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</si>
  <si>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</si>
  <si>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</si>
  <si>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</si>
  <si>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</si>
  <si>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</si>
  <si>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</si>
  <si>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</si>
  <si>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</si>
  <si>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</si>
  <si>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</si>
  <si>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</si>
  <si>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</si>
  <si>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</si>
  <si>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</si>
  <si>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</si>
  <si>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</si>
  <si>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</si>
  <si>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</si>
  <si>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</si>
  <si>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</si>
  <si>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</si>
  <si>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</si>
  <si>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</si>
  <si>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</si>
  <si>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</si>
  <si>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</si>
  <si>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</si>
  <si>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</si>
  <si>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</si>
  <si>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</si>
  <si>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</si>
  <si>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</si>
  <si>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</si>
  <si>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</si>
  <si>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</si>
  <si>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</si>
  <si>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</si>
  <si>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</si>
  <si>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</si>
  <si>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</si>
  <si>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</si>
  <si>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</si>
  <si>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</si>
  <si>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</si>
  <si>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</si>
  <si>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</si>
  <si>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</si>
  <si>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</si>
  <si>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</si>
  <si>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</si>
  <si>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</si>
  <si>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</si>
  <si>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</si>
  <si>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</si>
  <si>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</si>
  <si>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</si>
  <si>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</si>
  <si>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</si>
  <si>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</si>
  <si>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</si>
  <si>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</si>
  <si>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</si>
  <si>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</si>
  <si>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</si>
  <si>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</si>
  <si>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</si>
  <si>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</si>
  <si>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</si>
  <si>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</si>
  <si>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</si>
  <si>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</si>
  <si>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</si>
  <si>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</si>
  <si>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</si>
  <si>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</si>
  <si>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</si>
  <si>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</si>
  <si>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</si>
  <si>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</si>
  <si>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</si>
  <si>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</si>
  <si>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</si>
  <si>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</si>
  <si>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</si>
  <si>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</si>
  <si>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</si>
  <si>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</si>
  <si>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</si>
  <si>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</si>
  <si>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</si>
  <si>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</si>
  <si>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</si>
  <si>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</si>
  <si>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</si>
  <si>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</si>
  <si>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</si>
  <si>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</si>
  <si>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</si>
  <si>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</si>
  <si>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</si>
  <si>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</si>
  <si>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</si>
  <si>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</si>
  <si>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</si>
  <si>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</si>
  <si>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</si>
  <si>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</si>
  <si>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</si>
  <si>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</si>
  <si>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</si>
  <si>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</si>
  <si>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</si>
  <si>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</si>
  <si>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</si>
  <si>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</si>
  <si>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</si>
  <si>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</si>
  <si>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</si>
  <si>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</si>
  <si>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</si>
  <si>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</si>
  <si>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</si>
  <si>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</si>
  <si>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</si>
  <si>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</si>
  <si>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</si>
  <si>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</si>
  <si>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</si>
  <si>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</si>
  <si>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</si>
  <si>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</si>
  <si>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</si>
  <si>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</si>
  <si>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</si>
  <si>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</si>
  <si>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</si>
  <si>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</si>
  <si>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</si>
  <si>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</si>
  <si>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</si>
  <si>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</si>
  <si>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</si>
  <si>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</si>
  <si>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</si>
  <si>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</si>
  <si>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</si>
  <si>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</si>
  <si>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</si>
  <si>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</si>
  <si>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</si>
  <si>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</si>
  <si>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</si>
  <si>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</si>
  <si>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</si>
  <si>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</si>
  <si>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</si>
  <si>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</si>
  <si>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</si>
  <si>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</si>
  <si>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</si>
  <si>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</si>
  <si>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</si>
  <si>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</si>
  <si>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</si>
  <si>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</si>
  <si>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</si>
  <si>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</si>
  <si>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</si>
  <si>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</si>
  <si>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</si>
  <si>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</si>
  <si>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</si>
  <si>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</si>
  <si>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</si>
  <si>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</si>
  <si>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</si>
  <si>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</si>
  <si>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</si>
  <si>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</si>
  <si>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</si>
  <si>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</si>
  <si>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</si>
  <si>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</si>
  <si>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</si>
  <si>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</si>
  <si>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</si>
  <si>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</si>
  <si>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</si>
  <si>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</si>
  <si>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</si>
  <si>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</si>
  <si>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</si>
  <si>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</si>
  <si>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</si>
  <si>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</si>
  <si>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</si>
  <si>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</si>
  <si>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</si>
  <si>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</si>
  <si>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</si>
  <si>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</si>
  <si>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</si>
  <si>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</si>
  <si>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</si>
  <si>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</si>
  <si>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</si>
  <si>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</si>
  <si>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</si>
  <si>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</si>
  <si>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</si>
  <si>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</si>
  <si>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</si>
  <si>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</si>
  <si>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</si>
  <si>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</si>
  <si>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</si>
  <si>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</si>
  <si>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</si>
  <si>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</si>
  <si>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</si>
  <si>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</si>
  <si>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</si>
  <si>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</si>
  <si>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</si>
  <si>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</si>
  <si>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</si>
  <si>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</si>
  <si>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</si>
  <si>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</si>
  <si>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</si>
  <si>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</si>
  <si>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</si>
  <si>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</si>
  <si>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</si>
  <si>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</si>
  <si>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</si>
  <si>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</si>
  <si>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</si>
  <si>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</si>
  <si>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</si>
  <si>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</si>
  <si>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</si>
  <si>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</si>
  <si>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</si>
  <si>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</si>
  <si>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</si>
  <si>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</si>
  <si>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</si>
  <si>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</si>
  <si>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</si>
  <si>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</si>
  <si>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</si>
  <si>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</si>
  <si>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</si>
  <si>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</si>
  <si>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</si>
  <si>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</si>
  <si>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</si>
  <si>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</si>
  <si>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</si>
  <si>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</si>
  <si>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</si>
  <si>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</si>
  <si>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</si>
  <si>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</si>
  <si>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</si>
  <si>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</si>
  <si>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</si>
  <si>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</si>
  <si>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</si>
  <si>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</si>
  <si>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</si>
  <si>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</si>
  <si>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</si>
  <si>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</si>
  <si>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</si>
  <si>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</si>
  <si>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</si>
  <si>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</si>
  <si>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</si>
  <si>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</si>
  <si>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</si>
  <si>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</si>
  <si>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</si>
  <si>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</si>
  <si>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</si>
  <si>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</si>
  <si>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</si>
  <si>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</si>
  <si>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</si>
  <si>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</si>
  <si>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</si>
  <si>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</si>
  <si>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</si>
  <si>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</si>
  <si>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</si>
  <si>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</si>
  <si>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</si>
  <si>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</si>
  <si>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</si>
  <si>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</si>
  <si>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</si>
  <si>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</si>
  <si>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</si>
  <si>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</si>
  <si>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</si>
  <si>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</si>
  <si>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</si>
  <si>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</si>
  <si>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</si>
  <si>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</si>
  <si>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</si>
  <si>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</si>
  <si>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</si>
  <si>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</si>
  <si>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</si>
  <si>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</si>
  <si>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</si>
  <si>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</si>
  <si>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</si>
  <si>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</si>
  <si>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</si>
  <si>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</si>
  <si>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</si>
  <si>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</si>
  <si>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</si>
  <si>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</si>
  <si>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</si>
  <si>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</si>
  <si>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</si>
  <si>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</si>
  <si>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</si>
  <si>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</si>
  <si>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</si>
  <si>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</si>
  <si>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</si>
  <si>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</si>
  <si>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</si>
  <si>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</si>
  <si>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</si>
  <si>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</si>
  <si>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</si>
  <si>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</si>
  <si>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</si>
  <si>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</si>
  <si>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</si>
  <si>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</si>
  <si>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</si>
  <si>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</si>
  <si>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</si>
  <si>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</si>
  <si>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</si>
  <si>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</si>
  <si>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</si>
  <si>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</si>
  <si>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</si>
  <si>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</si>
  <si>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</si>
  <si>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</si>
  <si>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</si>
  <si>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</si>
  <si>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</si>
  <si>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</si>
  <si>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</si>
  <si>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</si>
  <si>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</si>
  <si>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</si>
  <si>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</si>
  <si>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</si>
  <si>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</si>
  <si>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</si>
  <si>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</si>
  <si>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</si>
  <si>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</si>
  <si>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</si>
  <si>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</si>
  <si>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</si>
  <si>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</si>
  <si>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</si>
  <si>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</si>
  <si>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</si>
  <si>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</si>
  <si>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</si>
  <si>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</si>
  <si>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</si>
  <si>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</si>
  <si>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</si>
  <si>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</si>
  <si>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</si>
  <si>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</si>
  <si>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</si>
  <si>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</si>
  <si>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</si>
  <si>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</si>
  <si>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</si>
  <si>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</si>
  <si>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</si>
  <si>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</si>
  <si>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</si>
  <si>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</si>
  <si>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</si>
  <si>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</si>
  <si>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</si>
  <si>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</si>
  <si>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</si>
  <si>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</si>
  <si>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</si>
  <si>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</si>
  <si>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</si>
  <si>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</si>
  <si>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</si>
  <si>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</si>
  <si>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</si>
  <si>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</si>
  <si>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</si>
  <si>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</si>
  <si>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</si>
  <si>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</si>
  <si>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</si>
  <si>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</si>
  <si>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</si>
  <si>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</si>
  <si>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</si>
  <si>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</si>
  <si>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</si>
  <si>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</si>
  <si>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</si>
  <si>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</si>
  <si>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</si>
  <si>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</si>
  <si>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</si>
  <si>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</si>
  <si>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</si>
  <si>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</si>
  <si>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</si>
  <si>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</si>
  <si>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</si>
  <si>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</si>
  <si>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</si>
  <si>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</si>
  <si>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</si>
  <si>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</si>
  <si>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</si>
  <si>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</si>
  <si>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</si>
  <si>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</si>
  <si>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</si>
  <si>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</si>
  <si>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</si>
  <si>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</si>
  <si>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</si>
  <si>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</si>
  <si>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</si>
  <si>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</si>
  <si>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</si>
  <si>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</si>
  <si>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</si>
  <si>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</si>
  <si>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</si>
  <si>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</si>
  <si>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</si>
  <si>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</si>
  <si>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</si>
  <si>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</si>
  <si>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</si>
  <si>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</si>
  <si>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</si>
  <si>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</si>
  <si>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</si>
  <si>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</si>
  <si>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</si>
  <si>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</si>
  <si>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</si>
  <si>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</si>
  <si>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</si>
  <si>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</si>
  <si>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</si>
  <si>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</si>
  <si>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</si>
  <si>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</si>
  <si>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</si>
  <si>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</si>
  <si>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</si>
  <si>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</si>
  <si>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</si>
  <si>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</si>
  <si>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</si>
  <si>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</si>
  <si>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</si>
  <si>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</si>
  <si>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</si>
  <si>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</si>
  <si>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</si>
  <si>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</si>
  <si>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</si>
  <si>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</si>
  <si>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</si>
  <si>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</si>
  <si>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</si>
  <si>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</si>
  <si>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</si>
  <si>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</si>
  <si>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</si>
  <si>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</si>
  <si>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</si>
  <si>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</si>
  <si>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</si>
  <si>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</si>
  <si>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</si>
  <si>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</si>
  <si>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</si>
  <si>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</si>
  <si>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</si>
  <si>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</si>
  <si>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</si>
  <si>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</si>
  <si>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</si>
  <si>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</si>
  <si>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</si>
  <si>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</si>
  <si>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</si>
  <si>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</si>
  <si>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</si>
  <si>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</si>
  <si>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</si>
  <si>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</si>
  <si>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</si>
  <si>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</si>
  <si>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</si>
  <si>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</si>
  <si>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</si>
  <si>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</si>
  <si>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</si>
  <si>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</si>
  <si>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</si>
  <si>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</si>
  <si>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</si>
  <si>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</si>
  <si>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</si>
  <si>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</si>
  <si>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</si>
  <si>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</si>
  <si>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</si>
  <si>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</si>
  <si>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</si>
  <si>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</si>
  <si>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</si>
  <si>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</si>
  <si>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</si>
  <si>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</si>
  <si>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</si>
  <si>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</si>
  <si>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</si>
  <si>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</si>
  <si>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</si>
  <si>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</si>
  <si>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</si>
  <si>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</si>
  <si>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</si>
  <si>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</si>
  <si>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</si>
  <si>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</si>
  <si>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</si>
  <si>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</si>
  <si>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</si>
  <si>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</si>
  <si>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</si>
  <si>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</si>
  <si>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</si>
  <si>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</si>
  <si>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</si>
  <si>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</si>
  <si>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</si>
  <si>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</si>
  <si>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</si>
  <si>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</si>
  <si>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</si>
  <si>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</si>
  <si>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</si>
  <si>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</si>
  <si>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</si>
  <si>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</si>
  <si>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</si>
  <si>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</si>
  <si>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</si>
  <si>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</si>
  <si>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</si>
  <si>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</si>
  <si>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</si>
  <si>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</si>
  <si>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</si>
  <si>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</si>
  <si>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</si>
  <si>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</si>
  <si>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</si>
  <si>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</si>
  <si>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</si>
  <si>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</si>
  <si>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</si>
  <si>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</si>
  <si>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</si>
  <si>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</si>
  <si>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</si>
  <si>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</si>
  <si>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</si>
  <si>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</si>
  <si>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</si>
  <si>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</si>
  <si>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</si>
  <si>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</si>
  <si>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</si>
  <si>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</si>
  <si>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</si>
  <si>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</si>
  <si>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</si>
  <si>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</si>
  <si>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</si>
  <si>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</si>
  <si>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</si>
  <si>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</si>
  <si>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</si>
  <si>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</si>
  <si>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</si>
  <si>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</si>
  <si>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</si>
  <si>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</si>
  <si>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</si>
  <si>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</si>
  <si>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</si>
  <si>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</si>
  <si>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</si>
  <si>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</si>
  <si>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</si>
  <si>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</si>
  <si>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</si>
  <si>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</si>
  <si>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</si>
  <si>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</si>
  <si>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</si>
  <si>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</si>
  <si>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</si>
  <si>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</si>
  <si>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</si>
  <si>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</si>
  <si>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</si>
  <si>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</si>
  <si>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</si>
  <si>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</si>
  <si>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</si>
  <si>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</si>
  <si>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</si>
  <si>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</si>
  <si>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</si>
  <si>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</si>
  <si>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</si>
  <si>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</si>
  <si>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</si>
  <si>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</si>
  <si>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</si>
  <si>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</si>
  <si>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</si>
  <si>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</si>
  <si>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</si>
  <si>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</si>
  <si>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</si>
  <si>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</si>
  <si>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</si>
  <si>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</si>
  <si>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</si>
  <si>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</si>
  <si>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</si>
  <si>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</si>
  <si>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</si>
  <si>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</si>
  <si>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</si>
  <si>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</si>
  <si>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</si>
  <si>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</si>
  <si>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</si>
  <si>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</si>
  <si>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</si>
  <si>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</si>
  <si>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</si>
  <si>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</si>
  <si>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</si>
  <si>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</si>
  <si>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</si>
  <si>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</si>
  <si>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</si>
  <si>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</si>
  <si>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</si>
  <si>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</si>
  <si>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</si>
  <si>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</si>
  <si>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</si>
  <si>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</si>
  <si>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</si>
  <si>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</si>
  <si>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</si>
  <si>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</si>
  <si>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</si>
  <si>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</si>
  <si>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</si>
  <si>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</si>
  <si>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</si>
  <si>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</si>
  <si>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</si>
  <si>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</si>
  <si>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</si>
  <si>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</si>
  <si>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</si>
  <si>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</si>
  <si>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</si>
  <si>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</si>
  <si>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</si>
  <si>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</si>
  <si>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</si>
  <si>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</si>
  <si>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</si>
  <si>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</si>
  <si>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</si>
  <si>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</si>
  <si>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</si>
  <si>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</si>
  <si>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</si>
  <si>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</si>
  <si>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</si>
  <si>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</si>
  <si>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</si>
  <si>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</si>
  <si>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</si>
  <si>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</si>
  <si>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</si>
  <si>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</si>
  <si>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</si>
  <si>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</si>
  <si>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</si>
  <si>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</si>
  <si>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</si>
  <si>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</si>
  <si>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</si>
  <si>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</si>
  <si>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</si>
  <si>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</si>
  <si>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</si>
  <si>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</si>
  <si>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</si>
  <si>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</si>
  <si>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</si>
  <si>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</si>
  <si>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</si>
  <si>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</si>
  <si>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</si>
  <si>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</si>
  <si>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</si>
  <si>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</si>
  <si>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</si>
  <si>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</si>
  <si>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</si>
  <si>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</si>
  <si>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</si>
  <si>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</si>
  <si>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</si>
  <si>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</si>
  <si>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</si>
  <si>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</si>
  <si>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</si>
  <si>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</si>
  <si>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</si>
  <si>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</si>
  <si>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</si>
  <si>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</si>
  <si>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</si>
  <si>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</si>
  <si>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</si>
  <si>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</si>
  <si>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</si>
  <si>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</si>
  <si>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</si>
  <si>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</si>
  <si>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</si>
  <si>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</si>
  <si>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</si>
  <si>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</si>
  <si>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</si>
  <si>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</si>
  <si>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</si>
  <si>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</si>
  <si>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</si>
  <si>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</si>
  <si>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</si>
  <si>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</si>
  <si>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</si>
  <si>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</si>
  <si>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</si>
  <si>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</si>
  <si>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</si>
  <si>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</si>
  <si>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</si>
  <si>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</si>
  <si>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</si>
  <si>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</si>
  <si>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</si>
  <si>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</si>
  <si>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</si>
  <si>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</si>
  <si>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</si>
  <si>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</si>
  <si>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</si>
  <si>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</si>
  <si>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</si>
  <si>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</si>
  <si>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</si>
  <si>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</si>
  <si>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</si>
  <si>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</si>
  <si>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</si>
  <si>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</si>
  <si>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</si>
  <si>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</si>
  <si>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</si>
  <si>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</si>
  <si>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</si>
  <si>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</si>
  <si>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</si>
  <si>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</si>
  <si>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</si>
  <si>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</si>
  <si>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</si>
  <si>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</si>
  <si>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</si>
  <si>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</si>
  <si>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</si>
  <si>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</si>
  <si>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</si>
  <si>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</si>
  <si>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</si>
  <si>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</si>
  <si>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</si>
  <si>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</si>
  <si>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</si>
  <si>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</si>
  <si>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</si>
  <si>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</si>
  <si>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</si>
  <si>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</si>
  <si>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</si>
  <si>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</si>
  <si>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</si>
  <si>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</si>
  <si>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</si>
  <si>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</si>
  <si>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</si>
  <si>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</si>
  <si>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</si>
  <si>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</si>
  <si>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</si>
  <si>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</si>
  <si>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</si>
  <si>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</si>
  <si>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</si>
  <si>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</si>
  <si>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</si>
  <si>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</si>
  <si>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</si>
  <si>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</si>
  <si>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</si>
  <si>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</si>
  <si>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</si>
  <si>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</si>
  <si>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</si>
  <si>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</si>
  <si>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</si>
  <si>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</si>
  <si>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</si>
  <si>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</si>
  <si>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</si>
  <si>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</si>
  <si>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</si>
  <si>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</si>
  <si>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</si>
  <si>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</si>
  <si>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</si>
  <si>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</si>
  <si>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</si>
  <si>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</si>
  <si>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</si>
  <si>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</si>
  <si>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</si>
  <si>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</si>
  <si>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</si>
  <si>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</si>
  <si>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</si>
  <si>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</si>
  <si>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</si>
  <si>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</si>
  <si>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</si>
  <si>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</si>
  <si>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</si>
  <si>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</si>
  <si>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</si>
  <si>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</si>
  <si>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</si>
  <si>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</si>
  <si>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</si>
  <si>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</si>
  <si>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</si>
  <si>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</si>
  <si>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</si>
  <si>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</si>
  <si>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</si>
  <si>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</si>
  <si>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</si>
  <si>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</si>
  <si>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</si>
  <si>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</si>
  <si>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</si>
  <si>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</si>
  <si>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</si>
  <si>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</si>
  <si>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</si>
  <si>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</si>
  <si>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</si>
  <si>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</si>
  <si>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</si>
  <si>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</si>
  <si>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</si>
  <si>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</si>
  <si>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</si>
  <si>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</si>
  <si>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</si>
  <si>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</si>
  <si>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</si>
  <si>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</si>
  <si>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</si>
  <si>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</si>
  <si>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</si>
  <si>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</si>
  <si>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</si>
  <si>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</si>
  <si>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</si>
  <si>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</si>
  <si>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</si>
  <si>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</si>
  <si>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</si>
  <si>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</si>
  <si>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</si>
  <si>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</si>
  <si>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</si>
  <si>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</si>
  <si>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</si>
  <si>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</si>
  <si>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</si>
  <si>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</si>
  <si>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</si>
  <si>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</si>
  <si>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</si>
  <si>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</si>
  <si>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</si>
  <si>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</si>
  <si>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</si>
  <si>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</si>
  <si>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</si>
  <si>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</si>
  <si>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</si>
  <si>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</si>
  <si>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</si>
  <si>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</si>
  <si>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</si>
  <si>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</si>
  <si>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</si>
  <si>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</si>
  <si>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</si>
  <si>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</si>
  <si>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</si>
  <si>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</si>
  <si>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</si>
  <si>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</si>
  <si>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</si>
  <si>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</si>
  <si>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</si>
  <si>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</si>
  <si>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</si>
  <si>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</si>
  <si>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</si>
  <si>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</si>
  <si>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</si>
  <si>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</si>
  <si>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</si>
  <si>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</si>
  <si>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</si>
  <si>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</si>
  <si>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</si>
  <si>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</si>
  <si>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</si>
  <si>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</si>
  <si>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</si>
  <si>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</si>
  <si>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</si>
  <si>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</si>
  <si>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</si>
  <si>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</si>
  <si>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</si>
  <si>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</si>
  <si>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</si>
  <si>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</si>
  <si>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</si>
  <si>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</si>
  <si>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</si>
  <si>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</si>
  <si>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</si>
  <si>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</si>
  <si>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</si>
  <si>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</si>
  <si>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</si>
  <si>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</si>
  <si>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</si>
  <si>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</si>
  <si>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</si>
  <si>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</si>
  <si>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</si>
  <si>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</si>
  <si>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</si>
  <si>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</si>
  <si>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</si>
  <si>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</si>
  <si>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</si>
  <si>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</si>
  <si>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</si>
  <si>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</si>
  <si>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</si>
  <si>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</si>
  <si>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</si>
  <si>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</si>
  <si>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</si>
  <si>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</si>
  <si>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</si>
  <si>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</si>
  <si>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</si>
  <si>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</si>
  <si>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</si>
  <si>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</si>
  <si>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</si>
  <si>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</si>
  <si>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</si>
  <si>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</si>
  <si>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</si>
  <si>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</si>
  <si>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</si>
  <si>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</si>
  <si>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</si>
  <si>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</si>
  <si>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</si>
  <si>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</si>
  <si>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</si>
  <si>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</si>
  <si>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</si>
  <si>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</si>
  <si>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</si>
  <si>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</si>
  <si>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</si>
  <si>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</si>
  <si>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</si>
  <si>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</si>
  <si>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</si>
  <si>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</si>
  <si>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</si>
  <si>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</si>
  <si>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</si>
  <si>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</si>
  <si>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</si>
  <si>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</si>
  <si>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</si>
  <si>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</si>
  <si>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</si>
  <si>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</si>
  <si>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</si>
  <si>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</si>
  <si>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</si>
  <si>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</si>
  <si>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</si>
  <si>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</si>
  <si>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</si>
  <si>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</si>
  <si>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</si>
  <si>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</si>
  <si>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</si>
  <si>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</si>
  <si>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</si>
  <si>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</si>
  <si>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</si>
  <si>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</si>
  <si>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</si>
  <si>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</si>
  <si>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</si>
  <si>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</si>
  <si>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</si>
  <si>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</si>
  <si>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</si>
  <si>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</si>
  <si>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</si>
  <si>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</si>
  <si>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</si>
  <si>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</si>
  <si>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</si>
  <si>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</si>
  <si>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</si>
  <si>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</si>
  <si>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</si>
  <si>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</si>
  <si>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</si>
  <si>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</si>
  <si>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</si>
  <si>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</si>
  <si>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</si>
  <si>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</si>
  <si>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</si>
  <si>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</si>
  <si>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</si>
  <si>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</si>
  <si>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</si>
  <si>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</si>
  <si>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</si>
  <si>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</si>
  <si>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</si>
  <si>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</si>
  <si>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</si>
  <si>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</si>
  <si>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</si>
  <si>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</si>
  <si>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</si>
  <si>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</si>
  <si>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</si>
  <si>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</si>
  <si>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</si>
  <si>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</si>
  <si>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</si>
  <si>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</si>
  <si>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</si>
  <si>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</si>
  <si>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</si>
  <si>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</si>
  <si>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</si>
  <si>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</si>
  <si>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</si>
  <si>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</si>
  <si>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</si>
  <si>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</si>
  <si>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</si>
  <si>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</si>
  <si>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</si>
  <si>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</si>
  <si>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</si>
  <si>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</si>
  <si>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</si>
  <si>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</si>
  <si>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</si>
  <si>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</si>
  <si>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</si>
  <si>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</si>
  <si>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</si>
  <si>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</si>
  <si>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</si>
  <si>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</si>
  <si>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</si>
  <si>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</si>
  <si>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</si>
  <si>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</si>
  <si>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</si>
  <si>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</si>
  <si>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</si>
  <si>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</si>
  <si>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</si>
  <si>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</si>
  <si>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</si>
  <si>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</si>
  <si>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</si>
  <si>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</si>
  <si>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</si>
  <si>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</si>
  <si>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</si>
  <si>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</si>
  <si>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</si>
  <si>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</si>
  <si>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</si>
  <si>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</si>
  <si>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</si>
  <si>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</si>
  <si>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</si>
  <si>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</si>
  <si>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</si>
  <si>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</si>
  <si>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</si>
  <si>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</si>
  <si>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</si>
  <si>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</si>
  <si>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</si>
  <si>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</si>
  <si>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</si>
  <si>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</si>
  <si>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</si>
  <si>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</si>
  <si>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</si>
  <si>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</si>
  <si>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</si>
  <si>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</si>
  <si>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</si>
  <si>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</si>
  <si>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</si>
  <si>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</si>
  <si>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</si>
  <si>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</si>
  <si>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</si>
  <si>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</si>
  <si>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</si>
  <si>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</si>
  <si>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</si>
  <si>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</si>
  <si>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</si>
  <si>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</si>
  <si>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</si>
  <si>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</si>
  <si>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</si>
  <si>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</si>
  <si>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</si>
  <si>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</si>
  <si>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</si>
  <si>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</si>
  <si>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</si>
  <si>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</si>
  <si>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</si>
  <si>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</si>
  <si>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</si>
  <si>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</si>
  <si>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</si>
  <si>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</si>
  <si>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</si>
  <si>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</si>
  <si>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</si>
  <si>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</si>
  <si>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</si>
  <si>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</si>
  <si>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</si>
  <si>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</si>
  <si>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</si>
  <si>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</si>
  <si>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</si>
  <si>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</si>
  <si>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</si>
  <si>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</si>
  <si>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</si>
  <si>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</si>
  <si>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</si>
  <si>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</si>
  <si>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</si>
  <si>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</si>
  <si>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</si>
  <si>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</si>
  <si>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</si>
  <si>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</si>
  <si>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</si>
  <si>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</si>
  <si>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</si>
  <si>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</si>
  <si>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</si>
  <si>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</si>
  <si>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</si>
  <si>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</si>
  <si>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</si>
  <si>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</si>
  <si>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</si>
  <si>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</si>
  <si>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</si>
  <si>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</si>
  <si>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</si>
  <si>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</si>
  <si>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</si>
  <si>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</si>
  <si>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</si>
  <si>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</si>
  <si>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</si>
  <si>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</si>
  <si>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</si>
  <si>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</si>
  <si>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</si>
  <si>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</si>
  <si>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</si>
  <si>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</si>
  <si>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</si>
  <si>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</si>
  <si>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</si>
  <si>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</si>
  <si>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</si>
  <si>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</si>
  <si>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</si>
  <si>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</si>
  <si>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</si>
  <si>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</si>
  <si>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</si>
  <si>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</si>
  <si>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</si>
  <si>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</si>
  <si>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</si>
  <si>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</si>
  <si>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</si>
  <si>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</si>
  <si>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</si>
  <si>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</si>
  <si>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</si>
  <si>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</si>
  <si>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</si>
  <si>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</si>
  <si>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</si>
  <si>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</si>
  <si>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</si>
  <si>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</si>
  <si>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</si>
  <si>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</si>
  <si>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</si>
  <si>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</si>
  <si>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</si>
  <si>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</si>
  <si>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</si>
  <si>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</si>
  <si>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</si>
  <si>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</si>
  <si>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</si>
  <si>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</si>
  <si>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</si>
  <si>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</si>
  <si>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</si>
  <si>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</si>
  <si>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</si>
  <si>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</si>
  <si>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</si>
  <si>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</si>
  <si>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</si>
  <si>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</si>
  <si>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</si>
  <si>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</si>
  <si>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</si>
  <si>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</si>
  <si>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</si>
  <si>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</si>
  <si>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</si>
  <si>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</si>
  <si>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</si>
  <si>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</si>
  <si>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</si>
  <si>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</si>
  <si>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</si>
  <si>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</si>
  <si>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</si>
  <si>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</si>
  <si>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</si>
  <si>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</si>
  <si>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</si>
  <si>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</si>
  <si>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</si>
  <si>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</si>
  <si>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</si>
  <si>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</si>
  <si>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</si>
  <si>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</si>
  <si>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</si>
  <si>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</si>
  <si>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</si>
  <si>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</si>
  <si>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</si>
  <si>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</si>
  <si>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</si>
  <si>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</si>
  <si>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</si>
  <si>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</si>
  <si>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</si>
  <si>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</si>
  <si>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</si>
  <si>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</si>
  <si>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</si>
  <si>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</si>
  <si>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</si>
  <si>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</si>
  <si>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</si>
  <si>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</si>
  <si>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</si>
  <si>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</si>
  <si>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</si>
  <si>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</si>
  <si>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</si>
  <si>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</si>
  <si>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</si>
  <si>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</si>
  <si>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</si>
  <si>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</si>
  <si>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</si>
  <si>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</si>
  <si>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</si>
  <si>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</si>
  <si>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</si>
  <si>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</si>
  <si>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</si>
  <si>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</si>
  <si>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</si>
  <si>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</si>
  <si>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</si>
  <si>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</si>
  <si>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</si>
  <si>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</si>
  <si>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</si>
  <si>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</si>
  <si>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</si>
  <si>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</si>
  <si>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</si>
  <si>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</si>
  <si>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</si>
  <si>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</si>
  <si>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</si>
  <si>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</si>
  <si>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</si>
  <si>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</si>
  <si>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</si>
  <si>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</si>
  <si>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</si>
  <si>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</si>
  <si>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</si>
  <si>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</si>
  <si>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</si>
  <si>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</si>
  <si>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</si>
  <si>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</si>
  <si>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</si>
  <si>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</si>
  <si>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</si>
  <si>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</si>
  <si>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</si>
  <si>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</si>
  <si>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</si>
  <si>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</si>
  <si>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</si>
  <si>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</si>
  <si>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</si>
  <si>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</si>
  <si>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</si>
  <si>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</si>
  <si>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</si>
  <si>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</si>
  <si>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</si>
  <si>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</si>
  <si>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</si>
  <si>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</si>
  <si>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</si>
  <si>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</si>
  <si>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</si>
  <si>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</si>
  <si>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</si>
  <si>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</si>
  <si>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</si>
  <si>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</si>
  <si>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</si>
  <si>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</si>
  <si>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</si>
  <si>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</si>
  <si>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</si>
  <si>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</si>
  <si>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</si>
  <si>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</si>
  <si>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</si>
  <si>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</si>
  <si>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</si>
  <si>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</si>
  <si>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</si>
  <si>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</si>
  <si>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</si>
  <si>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</si>
  <si>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</si>
  <si>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</si>
  <si>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</si>
  <si>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</si>
  <si>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</si>
  <si>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</si>
  <si>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</si>
  <si>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</si>
  <si>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</si>
  <si>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</si>
  <si>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</si>
  <si>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</si>
  <si>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</si>
  <si>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</si>
  <si>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</si>
  <si>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</si>
  <si>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</si>
  <si>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</si>
  <si>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</si>
  <si>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</si>
  <si>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</si>
  <si>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</si>
  <si>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</si>
  <si>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</si>
  <si>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</si>
  <si>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</si>
  <si>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</si>
  <si>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</si>
  <si>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</si>
  <si>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</si>
  <si>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</si>
  <si>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</si>
  <si>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</si>
  <si>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</si>
  <si>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</si>
  <si>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</si>
  <si>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</si>
  <si>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</si>
  <si>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</si>
  <si>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</si>
  <si>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</si>
  <si>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</si>
  <si>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</si>
  <si>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</si>
  <si>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</si>
  <si>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</si>
  <si>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</si>
  <si>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</si>
  <si>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</si>
  <si>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</si>
  <si>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</si>
  <si>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</si>
  <si>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</si>
  <si>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</si>
  <si>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</si>
  <si>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</si>
  <si>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</si>
  <si>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</si>
  <si>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</si>
  <si>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</si>
  <si>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</si>
  <si>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</si>
  <si>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</si>
  <si>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</si>
  <si>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</si>
  <si>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</si>
  <si>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</si>
  <si>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</si>
  <si>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</si>
  <si>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</si>
  <si>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</si>
  <si>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</si>
  <si>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</si>
  <si>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</si>
  <si>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</si>
  <si>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</si>
  <si>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</si>
  <si>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</si>
  <si>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</si>
  <si>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</si>
  <si>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</si>
  <si>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</si>
  <si>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</si>
  <si>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</si>
  <si>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</si>
  <si>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</si>
  <si>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</si>
  <si>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</si>
  <si>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</si>
  <si>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</si>
  <si>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</si>
  <si>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</si>
  <si>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</si>
  <si>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</si>
  <si>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</si>
  <si>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</si>
  <si>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</si>
  <si>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</si>
  <si>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</si>
  <si>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</si>
  <si>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</si>
  <si>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</si>
  <si>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</si>
  <si>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</si>
  <si>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</si>
  <si>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</si>
  <si>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</si>
  <si>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</si>
  <si>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</si>
  <si>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</si>
  <si>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</si>
  <si>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</si>
  <si>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</si>
  <si>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</si>
  <si>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</si>
  <si>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</si>
  <si>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</si>
  <si>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</si>
  <si>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</si>
  <si>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</si>
  <si>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</si>
  <si>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</si>
  <si>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</si>
  <si>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</si>
  <si>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</si>
  <si>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</si>
  <si>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</si>
  <si>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</si>
  <si>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</si>
  <si>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</si>
  <si>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</si>
  <si>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</si>
  <si>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</si>
  <si>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</si>
  <si>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</si>
  <si>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</si>
  <si>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</si>
  <si>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</si>
  <si>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</si>
  <si>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</si>
  <si>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</si>
  <si>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</si>
  <si>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</si>
  <si>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</si>
  <si>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</si>
  <si>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</si>
  <si>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</si>
  <si>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</si>
  <si>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</si>
  <si>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</si>
  <si>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</si>
  <si>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</si>
  <si>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</si>
  <si>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</si>
  <si>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</si>
  <si>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</si>
  <si>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</si>
  <si>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</si>
  <si>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</si>
  <si>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</si>
  <si>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</si>
  <si>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</si>
  <si>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</si>
  <si>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</si>
  <si>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</si>
  <si>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</si>
  <si>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</si>
  <si>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</si>
  <si>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</si>
  <si>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</si>
  <si>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</si>
  <si>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</si>
  <si>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</si>
  <si>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</si>
  <si>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</si>
  <si>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</si>
  <si>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</si>
  <si>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</si>
  <si>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</si>
  <si>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</si>
  <si>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</si>
  <si>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</si>
  <si>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</si>
  <si>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</si>
  <si>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</si>
  <si>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</si>
  <si>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</si>
  <si>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</si>
  <si>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</si>
  <si>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</si>
  <si>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</si>
  <si>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</si>
  <si>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</si>
  <si>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</si>
  <si>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</si>
  <si>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</si>
  <si>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</si>
  <si>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</si>
  <si>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</si>
  <si>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</si>
  <si>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</si>
  <si>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</si>
  <si>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</si>
  <si>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</si>
  <si>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</si>
  <si>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</si>
  <si>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</si>
  <si>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</si>
  <si>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</si>
  <si>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</si>
  <si>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</si>
  <si>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</si>
  <si>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</si>
  <si>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</si>
  <si>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</si>
  <si>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</si>
  <si>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</si>
  <si>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</si>
  <si>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</si>
  <si>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</si>
  <si>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</si>
  <si>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</si>
  <si>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</si>
  <si>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</si>
  <si>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</si>
  <si>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</si>
  <si>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</si>
  <si>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</si>
  <si>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</si>
  <si>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</si>
  <si>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</si>
  <si>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</si>
  <si>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</si>
  <si>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</si>
  <si>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</si>
  <si>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</si>
  <si>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</si>
  <si>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</si>
  <si>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</si>
  <si>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</si>
  <si>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</si>
  <si>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</si>
  <si>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</si>
  <si>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</si>
  <si>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</si>
  <si>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</si>
  <si>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</si>
  <si>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</si>
  <si>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</si>
  <si>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</si>
  <si>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</si>
  <si>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</si>
  <si>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</si>
  <si>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</si>
  <si>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</si>
  <si>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</si>
  <si>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</si>
  <si>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</si>
  <si>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</si>
  <si>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</si>
  <si>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</si>
  <si>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</si>
  <si>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</si>
  <si>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</si>
  <si>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</si>
  <si>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</si>
  <si>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</si>
  <si>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</si>
  <si>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</si>
  <si>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</si>
  <si>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</si>
  <si>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</si>
  <si>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</si>
  <si>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</si>
  <si>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</si>
  <si>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</si>
  <si>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</si>
  <si>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</si>
  <si>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</si>
  <si>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</si>
  <si>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</si>
  <si>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</si>
  <si>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</si>
  <si>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</si>
  <si>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</si>
  <si>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</si>
  <si>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</si>
  <si>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</si>
  <si>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</si>
  <si>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</si>
  <si>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</si>
  <si>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</si>
  <si>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</si>
  <si>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</si>
  <si>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</si>
  <si>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</si>
  <si>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</si>
  <si>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</si>
  <si>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</si>
  <si>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</si>
  <si>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</si>
  <si>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</si>
  <si>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</si>
  <si>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</si>
  <si>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</si>
  <si>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</si>
  <si>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</si>
  <si>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</si>
  <si>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</si>
  <si>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</si>
  <si>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</si>
  <si>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</si>
  <si>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</si>
  <si>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</si>
  <si>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</si>
  <si>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</si>
  <si>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</si>
  <si>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</si>
  <si>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</si>
  <si>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</si>
  <si>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</si>
  <si>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</si>
  <si>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</si>
  <si>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</si>
  <si>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</si>
  <si>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</si>
  <si>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</si>
  <si>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</si>
  <si>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</si>
  <si>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</si>
  <si>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</si>
  <si>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</si>
  <si>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</si>
  <si>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</si>
  <si>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</si>
  <si>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</si>
  <si>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</si>
  <si>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</si>
  <si>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</si>
  <si>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</si>
  <si>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</si>
  <si>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</si>
  <si>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</si>
  <si>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</si>
  <si>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</si>
  <si>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</si>
  <si>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</si>
  <si>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</si>
  <si>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</si>
  <si>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</si>
  <si>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</si>
  <si>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</si>
  <si>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</si>
  <si>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</si>
  <si>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</si>
  <si>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</si>
  <si>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</si>
  <si>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</si>
  <si>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</si>
  <si>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</si>
  <si>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</si>
  <si>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</si>
  <si>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</si>
  <si>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</si>
  <si>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</si>
  <si>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</si>
  <si>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</si>
  <si>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</si>
  <si>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</si>
  <si>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</si>
  <si>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</si>
  <si>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</si>
  <si>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</si>
  <si>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</si>
  <si>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</si>
  <si>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</si>
  <si>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</si>
  <si>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</si>
  <si>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</si>
  <si>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</si>
  <si>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</si>
  <si>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</si>
  <si>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</si>
  <si>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</si>
  <si>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</si>
  <si>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</si>
  <si>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</si>
  <si>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</si>
  <si>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</si>
  <si>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</si>
  <si>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</si>
  <si>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</si>
  <si>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</si>
  <si>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</si>
  <si>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</si>
  <si>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</si>
  <si>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</si>
  <si>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</si>
  <si>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</si>
  <si>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</si>
  <si>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</si>
  <si>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</si>
  <si>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</si>
  <si>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</si>
  <si>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</si>
  <si>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</si>
  <si>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</si>
  <si>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</si>
  <si>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</si>
  <si>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</si>
  <si>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</si>
  <si>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</si>
  <si>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</si>
  <si>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</si>
  <si>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</si>
  <si>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</si>
  <si>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</si>
  <si>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</si>
  <si>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</si>
  <si>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</si>
  <si>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</si>
  <si>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</si>
  <si>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</si>
  <si>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</si>
  <si>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</si>
  <si>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</si>
  <si>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</si>
  <si>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</si>
  <si>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</si>
  <si>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</si>
  <si>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</si>
  <si>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</si>
  <si>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</si>
  <si>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</si>
  <si>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</si>
  <si>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</si>
  <si>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</si>
  <si>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</si>
  <si>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</si>
  <si>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</si>
  <si>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</si>
  <si>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</si>
  <si>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</si>
  <si>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</si>
  <si>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</si>
  <si>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</si>
  <si>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</si>
  <si>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</si>
  <si>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</si>
  <si>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</si>
  <si>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</si>
  <si>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</si>
  <si>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</si>
  <si>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</si>
  <si>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</si>
  <si>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</si>
  <si>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</si>
  <si>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</si>
  <si>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</si>
  <si>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</si>
  <si>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</si>
  <si>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</si>
  <si>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</si>
  <si>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</si>
  <si>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</si>
  <si>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</si>
  <si>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</si>
  <si>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</si>
  <si>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</si>
  <si>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</si>
  <si>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</si>
  <si>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</si>
  <si>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</si>
  <si>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</si>
  <si>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</si>
  <si>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</si>
  <si>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</si>
  <si>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</si>
  <si>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</si>
  <si>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</si>
  <si>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</si>
  <si>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</si>
  <si>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</si>
  <si>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</si>
  <si>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</si>
  <si>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</si>
  <si>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</si>
  <si>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</si>
  <si>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</si>
  <si>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</si>
  <si>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</si>
  <si>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</si>
  <si>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</si>
  <si>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</si>
  <si>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</si>
  <si>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</si>
  <si>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</si>
  <si>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</si>
  <si>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</si>
  <si>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</si>
  <si>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</si>
  <si>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</si>
  <si>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</si>
  <si>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</si>
  <si>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</si>
  <si>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</si>
  <si>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</si>
  <si>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</si>
  <si>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</si>
  <si>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</si>
  <si>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</si>
  <si>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</si>
  <si>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</si>
  <si>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</si>
  <si>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</si>
  <si>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</si>
  <si>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</si>
  <si>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</si>
  <si>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</si>
  <si>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</si>
  <si>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</si>
  <si>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</si>
  <si>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</si>
  <si>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</si>
  <si>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</si>
  <si>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</si>
  <si>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</si>
  <si>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</si>
  <si>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</si>
  <si>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</si>
  <si>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</si>
  <si>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</si>
  <si>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</si>
  <si>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</si>
  <si>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</si>
  <si>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</si>
  <si>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</si>
  <si>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</si>
  <si>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</si>
  <si>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</si>
  <si>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</si>
  <si>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</si>
  <si>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</si>
  <si>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</si>
  <si>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</si>
  <si>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</si>
  <si>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</si>
  <si>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</si>
  <si>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</si>
  <si>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</si>
  <si>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</si>
  <si>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</si>
  <si>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</si>
  <si>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</si>
  <si>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</si>
  <si>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</si>
  <si>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</si>
  <si>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</si>
  <si>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</si>
  <si>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</si>
  <si>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</si>
  <si>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</si>
  <si>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</si>
  <si>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</si>
  <si>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</si>
  <si>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</si>
  <si>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</si>
  <si>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</si>
  <si>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</si>
  <si>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</si>
  <si>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</si>
  <si>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</si>
  <si>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</si>
  <si>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</si>
  <si>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</si>
  <si>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</si>
  <si>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</si>
  <si>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</si>
  <si>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</si>
  <si>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</si>
  <si>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</si>
  <si>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</si>
  <si>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</si>
  <si>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</si>
  <si>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</si>
  <si>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</si>
  <si>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</si>
  <si>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</si>
  <si>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</si>
  <si>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</si>
  <si>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</si>
  <si>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</si>
  <si>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</si>
  <si>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</si>
  <si>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</si>
  <si>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</si>
  <si>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</si>
  <si>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</si>
  <si>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</si>
  <si>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</si>
  <si>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</si>
  <si>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</si>
  <si>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</si>
  <si>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</si>
  <si>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</si>
  <si>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</si>
  <si>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</si>
  <si>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</si>
  <si>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</si>
  <si>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</si>
  <si>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</si>
  <si>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</si>
  <si>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</si>
  <si>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</si>
  <si>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</si>
  <si>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</si>
  <si>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</si>
  <si>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</si>
  <si>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</si>
  <si>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</si>
  <si>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</si>
  <si>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</si>
  <si>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</si>
  <si>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</si>
  <si>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</si>
  <si>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</si>
  <si>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</si>
  <si>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</si>
  <si>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</si>
  <si>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</si>
  <si>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</si>
  <si>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</si>
  <si>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</si>
  <si>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</si>
  <si>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</si>
  <si>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</si>
  <si>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</si>
  <si>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</si>
  <si>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</si>
  <si>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</si>
  <si>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</si>
  <si>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</si>
  <si>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</si>
  <si>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</si>
  <si>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</si>
  <si>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</si>
  <si>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</si>
  <si>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</si>
  <si>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</si>
  <si>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</si>
  <si>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</si>
  <si>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总价</t>
  </si>
  <si>
    <t>成本比率</t>
  </si>
  <si>
    <t>建筑物价值</t>
  </si>
  <si>
    <t>中心城区</t>
  </si>
  <si>
    <t>否</t>
  </si>
  <si>
    <t>情况3</t>
  </si>
  <si>
    <t>正常</t>
  </si>
  <si>
    <t>自行开发建设</t>
  </si>
  <si>
    <t>非个人房产</t>
  </si>
  <si>
    <t>房地产抵押价值</t>
  </si>
  <si>
    <t>2023-4</t>
    <phoneticPr fontId="3" type="noConversion"/>
  </si>
  <si>
    <t>2023-4</t>
    <phoneticPr fontId="3" type="noConversion"/>
  </si>
  <si>
    <t>企业</t>
  </si>
  <si>
    <t>序号</t>
  </si>
  <si>
    <t>北京昆泰控股集团有限公司</t>
  </si>
  <si>
    <t>明亚保险经纪股份有限公司</t>
  </si>
  <si>
    <t>北京盈通祥业商业管理有限公司</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</si>
  <si>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</si>
  <si>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</si>
  <si>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</si>
  <si>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</si>
  <si>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</si>
  <si>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</si>
  <si>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</si>
  <si>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</si>
  <si>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</si>
  <si>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</si>
  <si>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</si>
  <si>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</si>
  <si>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通热</t>
  </si>
  <si>
    <t>燃气</t>
  </si>
  <si>
    <t>——</t>
    <phoneticPr fontId="134" type="noConversion"/>
  </si>
  <si>
    <r>
      <rPr>
        <sz val="10"/>
        <rFont val="华文细黑"/>
        <family val="3"/>
        <charset val="134"/>
      </rPr>
      <t>办公</t>
    </r>
  </si>
  <si>
    <r>
      <rPr>
        <sz val="10"/>
        <rFont val="宋体"/>
        <family val="3"/>
        <charset val="134"/>
      </rPr>
      <t>小计</t>
    </r>
  </si>
  <si>
    <t>部位/房号</t>
  </si>
  <si>
    <t>建筑面积(m)</t>
  </si>
  <si>
    <t>实际用途</t>
  </si>
  <si>
    <t>停车场</t>
  </si>
  <si>
    <t>餐厅</t>
  </si>
  <si>
    <t>商场、仓储</t>
  </si>
  <si>
    <t>316A</t>
  </si>
  <si>
    <t>316B</t>
  </si>
  <si>
    <t>规划用途</t>
    <phoneticPr fontId="134" type="noConversion"/>
  </si>
  <si>
    <t>车库</t>
    <phoneticPr fontId="134" type="noConversion"/>
  </si>
  <si>
    <t>办公</t>
    <phoneticPr fontId="134" type="noConversion"/>
  </si>
  <si>
    <t>所在楼层</t>
    <phoneticPr fontId="134" type="noConversion"/>
  </si>
  <si>
    <r>
      <t>401</t>
    </r>
    <r>
      <rPr>
        <sz val="10"/>
        <rFont val="宋体"/>
        <family val="3"/>
        <charset val="134"/>
      </rPr>
      <t>、</t>
    </r>
    <r>
      <rPr>
        <sz val="10"/>
        <rFont val="Arial"/>
        <family val="2"/>
      </rPr>
      <t xml:space="preserve">402         </t>
    </r>
    <phoneticPr fontId="134" type="noConversion"/>
  </si>
  <si>
    <t xml:space="preserve">403-406          </t>
    <phoneticPr fontId="134" type="noConversion"/>
  </si>
  <si>
    <t>319</t>
  </si>
  <si>
    <t>319</t>
    <phoneticPr fontId="134" type="noConversion"/>
  </si>
  <si>
    <t xml:space="preserve">320   </t>
    <phoneticPr fontId="134" type="noConversion"/>
  </si>
  <si>
    <t xml:space="preserve">321         </t>
    <phoneticPr fontId="134" type="noConversion"/>
  </si>
  <si>
    <t xml:space="preserve">407           </t>
    <phoneticPr fontId="134" type="noConversion"/>
  </si>
  <si>
    <t>418</t>
    <phoneticPr fontId="134" type="noConversion"/>
  </si>
  <si>
    <t>419</t>
    <phoneticPr fontId="134" type="noConversion"/>
  </si>
  <si>
    <t>501、502</t>
    <phoneticPr fontId="134" type="noConversion"/>
  </si>
  <si>
    <t>508、509</t>
    <phoneticPr fontId="134" type="noConversion"/>
  </si>
  <si>
    <t>603-605</t>
    <phoneticPr fontId="134" type="noConversion"/>
  </si>
  <si>
    <t>716</t>
    <phoneticPr fontId="134" type="noConversion"/>
  </si>
  <si>
    <t>办公</t>
    <phoneticPr fontId="134" type="noConversion"/>
  </si>
  <si>
    <t>907A</t>
    <phoneticPr fontId="134" type="noConversion"/>
  </si>
  <si>
    <t>1312A</t>
  </si>
  <si>
    <t>1312B</t>
  </si>
  <si>
    <t>1412A</t>
  </si>
  <si>
    <t>1412B</t>
  </si>
  <si>
    <t>2002-2006</t>
  </si>
  <si>
    <t>2007</t>
    <phoneticPr fontId="134" type="noConversion"/>
  </si>
  <si>
    <t>2008-2009</t>
    <phoneticPr fontId="134" type="noConversion"/>
  </si>
  <si>
    <t>2012-2015</t>
    <phoneticPr fontId="134" type="noConversion"/>
  </si>
  <si>
    <t>2017-2018</t>
    <phoneticPr fontId="134" type="noConversion"/>
  </si>
  <si>
    <t>2019-2020</t>
    <phoneticPr fontId="134" type="noConversion"/>
  </si>
  <si>
    <t>办公</t>
    <phoneticPr fontId="134" type="noConversion"/>
  </si>
  <si>
    <t>办公</t>
    <phoneticPr fontId="134" type="noConversion"/>
  </si>
  <si>
    <t>未包含</t>
    <phoneticPr fontId="134" type="noConversion"/>
  </si>
  <si>
    <r>
      <t>1</t>
    </r>
    <r>
      <rPr>
        <sz val="10"/>
        <color theme="1"/>
        <rFont val="宋体"/>
        <family val="3"/>
        <charset val="134"/>
      </rPr>
      <t>层自留</t>
    </r>
    <phoneticPr fontId="134" type="noConversion"/>
  </si>
  <si>
    <t>泛利大厦9月台账</t>
  </si>
  <si>
    <t>单元号</t>
  </si>
  <si>
    <t>公司名称</t>
  </si>
  <si>
    <t xml:space="preserve">租赁单价   </t>
  </si>
  <si>
    <t xml:space="preserve">月租金（元）     </t>
  </si>
  <si>
    <t>纳税地</t>
  </si>
  <si>
    <t>年租金</t>
  </si>
  <si>
    <t>租    期</t>
  </si>
  <si>
    <t>301-302</t>
  </si>
  <si>
    <t>联合惠农农资（北京）有限公司</t>
  </si>
  <si>
    <t>朝阳区</t>
  </si>
  <si>
    <t>2年（2019.08.01-2021.07.31）       2年（2021.08.01-2023.07.31）     2年（2023.08.01-2025.07.31）</t>
  </si>
  <si>
    <t>307</t>
  </si>
  <si>
    <t>高丝化妆品销售（中国）有限公司</t>
  </si>
  <si>
    <t>上海市虹口区</t>
  </si>
  <si>
    <t xml:space="preserve">3年（2017.10.01-2020.09.30）               1年（2020.10.01-2021.09.30）       1年（2021.10.01-2022.09.30）        1年（2022.10.01-2023.09.30）     1年（2023.10.01-2024.09.30） </t>
  </si>
  <si>
    <t>308A</t>
  </si>
  <si>
    <t>丘比（中国）有限公司</t>
  </si>
  <si>
    <t>2年（2019.11.11-2021.11.10）       2年（2021.11.11-2023.11.10）     2年（2023.11.11-2025.11.10）</t>
  </si>
  <si>
    <t>308B</t>
  </si>
  <si>
    <t>北京丘比食品有限公司</t>
  </si>
  <si>
    <t>怀柔区</t>
  </si>
  <si>
    <t>309-315</t>
  </si>
  <si>
    <t>2年(2023.05.01-2025.04.30)</t>
  </si>
  <si>
    <t>2个月（2023.09.01-2023.10.31)</t>
  </si>
  <si>
    <t>320-321</t>
  </si>
  <si>
    <t>316、410、412、815、816</t>
  </si>
  <si>
    <r>
      <t>2年（</t>
    </r>
    <r>
      <rPr>
        <sz val="10"/>
        <rFont val="宋体"/>
        <family val="3"/>
        <charset val="134"/>
      </rPr>
      <t>2021.03.10-2023.03.09）</t>
    </r>
  </si>
  <si>
    <t>317、418-420、720</t>
  </si>
  <si>
    <t>401-402</t>
  </si>
  <si>
    <t>上海东证期货有限公司北京朝阳门营业部</t>
  </si>
  <si>
    <t>3年（2017.10.20-2020.10.19)         2年（2020.10.20-2022.10.19）      2年（2022.10.20-2024.10.19）</t>
  </si>
  <si>
    <r>
      <t>4</t>
    </r>
    <r>
      <rPr>
        <sz val="10"/>
        <rFont val="宋体"/>
        <family val="3"/>
        <charset val="134"/>
      </rPr>
      <t>08</t>
    </r>
  </si>
  <si>
    <t>中国民生银行股份有限公司北京分行</t>
  </si>
  <si>
    <t>西城区</t>
  </si>
  <si>
    <t>2020.05.15-2025.04.14</t>
  </si>
  <si>
    <t>411B</t>
  </si>
  <si>
    <t>乐嘟嘟（北京）科技发展有限公司</t>
  </si>
  <si>
    <r>
      <rPr>
        <sz val="10"/>
        <rFont val="宋体"/>
        <family val="3"/>
        <charset val="134"/>
        <scheme val="minor"/>
      </rPr>
      <t>1年（2019.10.25-2020.10.24）</t>
    </r>
    <r>
      <rPr>
        <sz val="10"/>
        <rFont val="宋体"/>
        <family val="3"/>
        <charset val="134"/>
      </rPr>
      <t xml:space="preserve">        2年（2020.10.25-2022.10.24）</t>
    </r>
    <r>
      <rPr>
        <sz val="10"/>
        <rFont val="宋体"/>
        <family val="3"/>
        <charset val="134"/>
        <scheme val="minor"/>
      </rPr>
      <t xml:space="preserve">      1年（2022.10.25-2023.10.24）</t>
    </r>
  </si>
  <si>
    <t>415-416</t>
  </si>
  <si>
    <t>乐嘟嘟（北京）教育科技有限公司</t>
  </si>
  <si>
    <t>417</t>
  </si>
  <si>
    <t>北京嘉进科技有限公司</t>
  </si>
  <si>
    <t>2年（2022.05.18-2024.05.17）</t>
  </si>
  <si>
    <t>501-505</t>
  </si>
  <si>
    <t>3年（2018.10.08-2021.10.07）        3年（2021.10.08-2024.10.07）</t>
  </si>
  <si>
    <t>506</t>
  </si>
  <si>
    <t>上海泓樊建筑装饰工程中心</t>
  </si>
  <si>
    <t>上海</t>
  </si>
  <si>
    <t>2年（2022.11.15-2024.11.14）</t>
  </si>
  <si>
    <t>508A</t>
  </si>
  <si>
    <t>联众医学（北京）信息技术有限公司</t>
  </si>
  <si>
    <t>3年（2021.03.01-2024.02.29）</t>
  </si>
  <si>
    <t>508B</t>
  </si>
  <si>
    <t>博图泰德（北京）会展服务有限公司</t>
  </si>
  <si>
    <t>509A</t>
  </si>
  <si>
    <t>华信领航（北京）医疗科技有限公司</t>
  </si>
  <si>
    <t>509B</t>
  </si>
  <si>
    <t>天成国际会展策划（北京）有限公司</t>
  </si>
  <si>
    <t>510A</t>
  </si>
  <si>
    <t>北京顺达佳译翻译有限公司</t>
  </si>
  <si>
    <t>510B</t>
  </si>
  <si>
    <t>顺达佳译（北京）信息技术有限公司</t>
  </si>
  <si>
    <t>521A</t>
  </si>
  <si>
    <t>北京联众博达医疗技术集团有限公司</t>
  </si>
  <si>
    <t>521B</t>
  </si>
  <si>
    <t>北京联众转化医学研究院有限公司</t>
  </si>
  <si>
    <t>511</t>
  </si>
  <si>
    <t>北京亿圣物业管理有限公司</t>
  </si>
  <si>
    <t>36个月（2021.05.07-2024.05.06）</t>
  </si>
  <si>
    <t>512</t>
  </si>
  <si>
    <t>北京互联通网络科技有限公司</t>
  </si>
  <si>
    <t>24个月（2023.04.01-2025.03.31）</t>
  </si>
  <si>
    <t>516</t>
  </si>
  <si>
    <t>浙江大冢制药有限公司</t>
  </si>
  <si>
    <t>杭州市临安区</t>
  </si>
  <si>
    <r>
      <t>2年（2018.11.01-2020.10.31）</t>
    </r>
    <r>
      <rPr>
        <sz val="10"/>
        <rFont val="宋体"/>
        <family val="3"/>
        <charset val="134"/>
      </rPr>
      <t xml:space="preserve">       2年（2020.11.01-2022.10.31）</t>
    </r>
    <r>
      <rPr>
        <sz val="10"/>
        <rFont val="宋体"/>
        <family val="3"/>
        <charset val="134"/>
        <scheme val="minor"/>
      </rPr>
      <t xml:space="preserve">              2年（2022.11.01-2024.10.31）</t>
    </r>
  </si>
  <si>
    <t>517</t>
  </si>
  <si>
    <t>北京昆泰嘉恒房地产开发有限公司</t>
  </si>
  <si>
    <t>2年（2023.07.01-2025.06.30）</t>
  </si>
  <si>
    <t>518</t>
  </si>
  <si>
    <r>
      <t>5</t>
    </r>
    <r>
      <rPr>
        <sz val="10"/>
        <rFont val="宋体"/>
        <family val="3"/>
        <charset val="134"/>
      </rPr>
      <t>19</t>
    </r>
  </si>
  <si>
    <t>601</t>
  </si>
  <si>
    <t>凯恩孚科技（上海）有限公司</t>
  </si>
  <si>
    <t>上海浦东区</t>
  </si>
  <si>
    <t>3年（2018.12.01-2021.11.30）        3年（2021.12.01-2024.11.30）</t>
  </si>
  <si>
    <t>610</t>
  </si>
  <si>
    <t>上海东方报业有限公司</t>
  </si>
  <si>
    <t>上海静安区</t>
  </si>
  <si>
    <t>2年（2018.10.20-2020.10.19）         2年（2020.10.20-2022.10.19）           2年（2022.10.20-2024.10.19）</t>
  </si>
  <si>
    <t>611</t>
  </si>
  <si>
    <t>上海庄臣有限公司北京分公司</t>
  </si>
  <si>
    <t>东城区</t>
  </si>
  <si>
    <r>
      <t>1年（2019.11.05-2020.11.04）</t>
    </r>
    <r>
      <rPr>
        <sz val="10"/>
        <rFont val="宋体"/>
        <family val="3"/>
        <charset val="134"/>
      </rPr>
      <t xml:space="preserve">      1年（2020.11.05-2021.11.04）             1年（2021.11.05-2022.11.04）</t>
    </r>
    <r>
      <rPr>
        <sz val="10"/>
        <rFont val="宋体"/>
        <family val="3"/>
        <charset val="134"/>
        <scheme val="minor"/>
      </rPr>
      <t xml:space="preserve">       1年（2022.11.05-2023.11.04）</t>
    </r>
  </si>
  <si>
    <t>615</t>
  </si>
  <si>
    <t>天诺慈善基金会</t>
  </si>
  <si>
    <t>2年（2019.12.01-2021.11.30）            3年（2021.12.01-2024.11.30）</t>
  </si>
  <si>
    <t>618</t>
  </si>
  <si>
    <t>北京朗昆文化产业发展有限公司</t>
  </si>
  <si>
    <r>
      <t>1年（2019.12.01-202</t>
    </r>
    <r>
      <rPr>
        <sz val="10"/>
        <rFont val="宋体"/>
        <family val="3"/>
        <charset val="134"/>
      </rPr>
      <t>1.11.30）        1年（2021.12.01-2022.11.30）</t>
    </r>
    <r>
      <rPr>
        <sz val="10"/>
        <rFont val="宋体"/>
        <family val="3"/>
        <charset val="134"/>
        <scheme val="minor"/>
      </rPr>
      <t xml:space="preserve">        1年（2022.12.01-2023.11.30）</t>
    </r>
  </si>
  <si>
    <t>701-703、705</t>
  </si>
  <si>
    <t>中国人寿保险股份有限公司北京市分公司</t>
  </si>
  <si>
    <t>2年（2022.05.15-2024.05.14）</t>
  </si>
  <si>
    <t>706</t>
  </si>
  <si>
    <t>707</t>
  </si>
  <si>
    <t>2年（2022.04.15-2024.04.14）</t>
  </si>
  <si>
    <t>708</t>
  </si>
  <si>
    <t>1年（2022.04.15-2023.04.14）    1年零1个月                  （2023.04.15-2024.05.14）</t>
  </si>
  <si>
    <t>709-710</t>
  </si>
  <si>
    <t>1年（2022.05.15-2023.05.14）       1年（2023.05.15-2024.05.14）</t>
  </si>
  <si>
    <t>711</t>
  </si>
  <si>
    <t>715</t>
  </si>
  <si>
    <t>北京慧海明达商贸有限公司</t>
  </si>
  <si>
    <t>2年（2018.03.01-2020.02.29）       2年（2020.03.01-2022.02.28）      2年（2022.03.01-2024.02.29）</t>
  </si>
  <si>
    <t>716A</t>
  </si>
  <si>
    <t>北京海润创业科技有限责任公司</t>
  </si>
  <si>
    <t>716B</t>
  </si>
  <si>
    <t>717</t>
  </si>
  <si>
    <t>上海敬海货运有限公司</t>
  </si>
  <si>
    <t>1年（2021.07.01-2022.06.30）                 6个月（2022.07.01-2022.12.31）   6个月（2023.01.01-2023.06.30）    1年（2023.07.01-2024.06.30）</t>
  </si>
  <si>
    <t>718</t>
  </si>
  <si>
    <t>北京朝阳文化创意产业发展基金（有限合伙）</t>
  </si>
  <si>
    <r>
      <t>1年（2018.03.21-2019.03.20）</t>
    </r>
    <r>
      <rPr>
        <sz val="10"/>
        <rFont val="宋体"/>
        <family val="3"/>
        <charset val="134"/>
      </rPr>
      <t xml:space="preserve">         1年（2019.03.21-2021.09.20）        1年（2021.09.21-2022.09.20）</t>
    </r>
    <r>
      <rPr>
        <sz val="10"/>
        <rFont val="宋体"/>
        <family val="3"/>
        <charset val="134"/>
        <scheme val="minor"/>
      </rPr>
      <t xml:space="preserve">      1年（2022.09.21-2023.09.20）      1年（2023.09.21-2024.09.20） </t>
    </r>
    <r>
      <rPr>
        <sz val="10"/>
        <rFont val="宋体"/>
        <family val="3"/>
        <charset val="134"/>
      </rPr>
      <t xml:space="preserve">  </t>
    </r>
  </si>
  <si>
    <t>719</t>
  </si>
  <si>
    <t>1年（2022.04.25-2023.04.24）   2年（2023.04.25-2025.04.24）</t>
  </si>
  <si>
    <t>721</t>
  </si>
  <si>
    <t>舒勒（中国）锻压技术有限公司</t>
  </si>
  <si>
    <t>2年（2019.06.01-2021.05.31）        2年（2021.06.01-2023.05.31）      2年（2023.06.01-2025.05.31）</t>
  </si>
  <si>
    <t>801</t>
  </si>
  <si>
    <t xml:space="preserve">2年（2019.11.01-2021.10.31）        2年（2021.11.01-2023.10.31）     2年（2023.11.01-2025.10.31） </t>
  </si>
  <si>
    <t>802</t>
  </si>
  <si>
    <t>北京朗文投资管理有限公司</t>
  </si>
  <si>
    <t>901</t>
  </si>
  <si>
    <t>索湃克食品饮料咨询（北京）有限公司</t>
  </si>
  <si>
    <t>3年（2018.01.15-2021.01.14）                2年（2021.01.15-2023.01.14）      1年（2023.01.15-2024.01.14）</t>
  </si>
  <si>
    <r>
      <t>9</t>
    </r>
    <r>
      <rPr>
        <sz val="10"/>
        <rFont val="宋体"/>
        <family val="3"/>
        <charset val="134"/>
      </rPr>
      <t>02</t>
    </r>
  </si>
  <si>
    <t>北京佳合瑞仪商贸有限公司</t>
  </si>
  <si>
    <t>2年（2020.12.31-2022.12.30）       2年（2022.12.31-2024.12.30）</t>
  </si>
  <si>
    <t>919</t>
  </si>
  <si>
    <t>北京真格信远创业投资合伙企业（有限合伙）</t>
  </si>
  <si>
    <t>1年（2022.10.15-2023.10.14）    1年（2023.10.15-2024.10.14）</t>
  </si>
  <si>
    <t>1202</t>
  </si>
  <si>
    <t>北京道合顺投资咨询有限公司</t>
  </si>
  <si>
    <t>25个月零7天（2022.09.01-2024.10.07）</t>
  </si>
  <si>
    <t>1203</t>
  </si>
  <si>
    <t>北京阳光伟烨网络技术有限公司</t>
  </si>
  <si>
    <t>2年（2020.12.01-2022.11.30）         2年（2022.12.01-2024.11.30）</t>
  </si>
  <si>
    <t>1205</t>
  </si>
  <si>
    <t>2年（2021.05.20-2023.05.19）2023.5.19-2025.5.20</t>
  </si>
  <si>
    <t>1206</t>
  </si>
  <si>
    <t>2年（2022.08.01-2024.07.31）</t>
  </si>
  <si>
    <t>1218</t>
  </si>
  <si>
    <t>北京开和迪咨询有限公司</t>
  </si>
  <si>
    <t>39月零2天（2018.07.06-2021.10.07）                                3年（2021.10.08-2024.10.07）</t>
  </si>
  <si>
    <t>1219</t>
  </si>
  <si>
    <t>北京喜舍红商务服务有限公司</t>
  </si>
  <si>
    <t>39月零2天（2018.07.06-2021.10.07）                                  3年（2021.10.08-2024.10.07）</t>
  </si>
  <si>
    <t>1221A</t>
  </si>
  <si>
    <t>北京百得利商贸咨询有限公司</t>
  </si>
  <si>
    <t>2023.04.17-2025.04.16</t>
  </si>
  <si>
    <t>122AB</t>
  </si>
  <si>
    <t>海南易盛达商贸服务有限公司北京分公司</t>
  </si>
  <si>
    <t>12A01-05</t>
  </si>
  <si>
    <t>3年（2018.10.08-2021.10.07）       3年（2021.10.08-2024.10.07）</t>
  </si>
  <si>
    <t>12A06、08-10</t>
  </si>
  <si>
    <t>12A11-12、15-16</t>
  </si>
  <si>
    <t>3年（2018.10.08-2021.10.07）             3年（2021.10.08-2024.10.07）</t>
  </si>
  <si>
    <t>12A07、2012-15</t>
  </si>
  <si>
    <t>41个月零6天（2018.05.02-2021.10.07）                             3年（2021.10.08-2024.10.07）</t>
  </si>
  <si>
    <t>12A18-21</t>
  </si>
  <si>
    <t>12A17</t>
  </si>
  <si>
    <t>北京德恒天地公关策划有限公司</t>
  </si>
  <si>
    <t>3年（2018.10.08-2021.10.07）      3年（2021.10.08-2024.10.07）</t>
  </si>
  <si>
    <t>1401</t>
  </si>
  <si>
    <t>北京爱博西雅展览有限公司</t>
  </si>
  <si>
    <t>1年（2019.10.15-2020.10.14）     2年（2020.10.15-2022.10.14）       1年（2022.10.15-2023.10.14）        1年（2023.10.15-2025.10.14）</t>
  </si>
  <si>
    <r>
      <t>1</t>
    </r>
    <r>
      <rPr>
        <sz val="10"/>
        <rFont val="宋体"/>
        <family val="3"/>
        <charset val="134"/>
      </rPr>
      <t>402</t>
    </r>
  </si>
  <si>
    <r>
      <t>2年（</t>
    </r>
    <r>
      <rPr>
        <sz val="10"/>
        <rFont val="宋体"/>
        <family val="3"/>
        <charset val="134"/>
      </rPr>
      <t>2020.11.28-2022.11.27）</t>
    </r>
    <r>
      <rPr>
        <sz val="10"/>
        <rFont val="宋体"/>
        <family val="3"/>
        <charset val="134"/>
        <scheme val="minor"/>
      </rPr>
      <t xml:space="preserve">     1年（2022.11.28-2023.11.27）      2年（2023.11.28-2025.11.27）</t>
    </r>
  </si>
  <si>
    <t>1403、1405、1406</t>
  </si>
  <si>
    <t>立信会计师事务所（特殊普通合伙）</t>
  </si>
  <si>
    <t>上海黄浦区</t>
  </si>
  <si>
    <t>4年（2021.04.19-2025.04.18）</t>
  </si>
  <si>
    <t>1407</t>
  </si>
  <si>
    <t>1410</t>
  </si>
  <si>
    <t>北京华泰立信财务顾问有限公司</t>
  </si>
  <si>
    <t>2年（2020.11.20-2022.11.19）     1年（2022.11.20-2023.11.19）     2年（2023.11.20-2025.11.19）</t>
  </si>
  <si>
    <t>1411</t>
  </si>
  <si>
    <t>2年（2020.11.20-2022.11.19）       2年（2022.11.20-2024.11.19）</t>
  </si>
  <si>
    <t>1412</t>
  </si>
  <si>
    <t>4年（2021.06.01-2025.05.31）</t>
  </si>
  <si>
    <t>1415</t>
  </si>
  <si>
    <t>2年（2020.01.01-2021.12.31）       3年（2022.01.01-2024.12.31）</t>
  </si>
  <si>
    <t>1607</t>
  </si>
  <si>
    <t>大汉软件股份有限公司</t>
  </si>
  <si>
    <t>江苏省南京市</t>
  </si>
  <si>
    <t>2年（2019.04.15-2021.04.14）       2年（2021.04.15-2023.04.14）       2年（2023.04.15-2025.04.14）</t>
  </si>
  <si>
    <t>2001-06</t>
  </si>
  <si>
    <t>34个月零15天（2021.11.23-2024.10.07）</t>
  </si>
  <si>
    <t>2007-11</t>
  </si>
  <si>
    <t xml:space="preserve">3年（2019.10.08-2022.10.07）       2年（2022.10.08-2024.10.07）              </t>
  </si>
  <si>
    <t>2017</t>
  </si>
  <si>
    <t>北京博瑞道商务咨询有限公司</t>
  </si>
  <si>
    <t>2018</t>
  </si>
  <si>
    <t>2019-20</t>
  </si>
  <si>
    <t>小计</t>
  </si>
  <si>
    <r>
      <t>首层A2</t>
    </r>
    <r>
      <rPr>
        <sz val="10"/>
        <rFont val="宋体"/>
        <family val="3"/>
        <charset val="134"/>
      </rPr>
      <t>区</t>
    </r>
  </si>
  <si>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</si>
  <si>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</si>
  <si>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</si>
  <si>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</si>
  <si>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</si>
  <si>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</si>
  <si>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</si>
  <si>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</si>
  <si>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</si>
  <si>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</si>
  <si>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</si>
  <si>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</si>
  <si>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</si>
  <si>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</si>
  <si>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</si>
  <si>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</si>
  <si>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小  计</t>
  </si>
  <si>
    <t>合   计</t>
  </si>
  <si>
    <t>朝阳区朝外大街22号</t>
    <phoneticPr fontId="6" type="noConversion"/>
  </si>
  <si>
    <r>
      <t>1-21</t>
    </r>
    <r>
      <rPr>
        <sz val="10"/>
        <color rgb="FFFF0000"/>
        <rFont val="宋体"/>
        <family val="3"/>
        <charset val="134"/>
      </rPr>
      <t>层</t>
    </r>
    <phoneticPr fontId="134" type="noConversion"/>
  </si>
  <si>
    <t>地下</t>
  </si>
  <si>
    <t>地下</t>
    <phoneticPr fontId="134" type="noConversion"/>
  </si>
  <si>
    <t>地下车库</t>
    <phoneticPr fontId="134" type="noConversion"/>
  </si>
  <si>
    <t>一般</t>
  </si>
  <si>
    <t>车库</t>
    <phoneticPr fontId="7" type="noConversion"/>
  </si>
  <si>
    <t>收益法办公</t>
  </si>
  <si>
    <t>收益法办公</t>
    <phoneticPr fontId="16" type="noConversion"/>
  </si>
  <si>
    <t>收益法车库</t>
  </si>
  <si>
    <t>收益法车库</t>
    <phoneticPr fontId="16" type="noConversion"/>
  </si>
  <si>
    <r>
      <t>1</t>
    </r>
    <r>
      <rPr>
        <sz val="10"/>
        <color indexed="8"/>
        <rFont val="宋体"/>
        <family val="3"/>
        <charset val="134"/>
      </rPr>
      <t>层现状商业</t>
    </r>
    <phoneticPr fontId="3" type="noConversion"/>
  </si>
  <si>
    <r>
      <t>B1</t>
    </r>
    <r>
      <rPr>
        <sz val="10"/>
        <color indexed="8"/>
        <rFont val="宋体"/>
        <family val="3"/>
        <charset val="134"/>
      </rPr>
      <t>层现状餐厅</t>
    </r>
    <phoneticPr fontId="3" type="noConversion"/>
  </si>
  <si>
    <r>
      <t>2</t>
    </r>
    <r>
      <rPr>
        <sz val="10"/>
        <color indexed="8"/>
        <rFont val="宋体"/>
        <family val="3"/>
        <charset val="134"/>
      </rPr>
      <t>层现状商业</t>
    </r>
    <phoneticPr fontId="3" type="noConversion"/>
  </si>
  <si>
    <r>
      <t>3</t>
    </r>
    <r>
      <rPr>
        <sz val="10"/>
        <color indexed="8"/>
        <rFont val="宋体"/>
        <family val="3"/>
        <charset val="134"/>
      </rPr>
      <t>层以上办公</t>
    </r>
    <phoneticPr fontId="3" type="noConversion"/>
  </si>
  <si>
    <t>建筑面积</t>
    <phoneticPr fontId="3" type="noConversion"/>
  </si>
  <si>
    <t>租金</t>
    <phoneticPr fontId="3" type="noConversion"/>
  </si>
  <si>
    <t>自定义</t>
  </si>
  <si>
    <t>收益法（汇总）</t>
  </si>
  <si>
    <t>折地上</t>
    <phoneticPr fontId="8" type="noConversion"/>
  </si>
  <si>
    <t>世联</t>
    <phoneticPr fontId="8" type="noConversion"/>
  </si>
  <si>
    <r>
      <t>13.8</t>
    </r>
    <r>
      <rPr>
        <sz val="10"/>
        <color indexed="8"/>
        <rFont val="宋体"/>
        <family val="3"/>
        <charset val="134"/>
      </rPr>
      <t>亿</t>
    </r>
    <phoneticPr fontId="8" type="noConversion"/>
  </si>
  <si>
    <t>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</si>
</sst>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2" formatCode="#,##0.00_);[Red]\(#,##0.00\)"/>
    <numFmt numFmtId="203" formatCode="0.0"/>
    <numFmt numFmtId="204" formatCode="\¥#,##0.00_);[Red]\(\¥#,##0.00\)"/>
    <numFmt numFmtId="205" formatCode="_ * #,##0.0000_ ;_ * \-#,##0.0000_ ;_ * &quot;-&quot;??.00_ ;_ @_ "/>
    <numFmt numFmtId="206" formatCode="_ * #,##0.00_ ;_ * \-#,##0.00_ ;_ * &quot;-&quot;???_ ;_ @_ "/>
    <numFmt numFmtId="207" formatCode="#,##0.0000_);[Red]\(#,##0.0000\)"/>
    <numFmt numFmtId="208" formatCode="\¥#,##0.00;\¥\-#,##0.00"/>
    <numFmt numFmtId="209" formatCode="\¥#,##0.00_);\(\¥#,##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华文细黑"/>
      <family val="3"/>
      <charset val="134"/>
    </font>
    <font>
      <b/>
      <sz val="18"/>
      <name val="宋体"/>
      <family val="3"/>
      <charset val="134"/>
    </font>
    <font>
      <sz val="11"/>
      <name val="宋体"/>
      <family val="3"/>
      <charset val="134"/>
      <scheme val="minor"/>
    </font>
    <font>
      <b/>
      <sz val="9"/>
      <name val="宋体"/>
      <family val="3"/>
      <charset val="134"/>
    </font>
    <font>
      <sz val="10"/>
      <name val="宋体"/>
      <family val="3"/>
      <charset val="134"/>
      <scheme val="minor"/>
    </font>
    <font>
      <sz val="9"/>
      <name val="Tahoma"/>
      <family val="2"/>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 xfId="0" applyFont="1" applyFill="1" applyBorder="1" applyAlignment="1">
      <alignment horizontal="lef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0" borderId="1" xfId="0" applyFont="1" applyFill="1" applyBorder="1" applyAlignment="1">
      <alignment horizontal="left" vertical="center" wrapText="1"/>
    </xf>
    <xf numFmtId="49" fontId="113" fillId="0" borderId="1" xfId="0" applyNumberFormat="1" applyFont="1" applyFill="1" applyBorder="1" applyAlignment="1">
      <alignment horizontal="left" vertical="center" wrapText="1"/>
    </xf>
    <xf numFmtId="0" fontId="113" fillId="0" borderId="1" xfId="0" applyFont="1" applyFill="1" applyBorder="1" applyAlignment="1">
      <alignment vertical="center" wrapText="1"/>
    </xf>
    <xf numFmtId="0" fontId="122" fillId="0" borderId="0" xfId="0" applyFont="1" applyAlignment="1">
      <alignment horizontal="left" vertical="center"/>
    </xf>
    <xf numFmtId="49" fontId="270" fillId="0" borderId="60" xfId="0" applyNumberFormat="1" applyFont="1" applyFill="1" applyBorder="1" applyAlignment="1">
      <alignment horizontal="center" vertical="center"/>
    </xf>
    <xf numFmtId="0" fontId="271" fillId="0" borderId="0" xfId="0" applyFont="1" applyFill="1">
      <alignment vertical="center"/>
    </xf>
    <xf numFmtId="49" fontId="80" fillId="0" borderId="1" xfId="0" applyNumberFormat="1" applyFont="1" applyFill="1" applyBorder="1" applyAlignment="1">
      <alignment horizontal="center" vertical="center"/>
    </xf>
    <xf numFmtId="49" fontId="272" fillId="0"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wrapText="1"/>
    </xf>
    <xf numFmtId="49" fontId="80" fillId="0" borderId="1" xfId="0" applyNumberFormat="1" applyFont="1" applyFill="1" applyBorder="1" applyAlignment="1">
      <alignment horizontal="center" vertical="center" wrapText="1"/>
    </xf>
    <xf numFmtId="49" fontId="273" fillId="0" borderId="1" xfId="0" applyNumberFormat="1" applyFont="1" applyFill="1" applyBorder="1" applyAlignment="1">
      <alignment horizontal="center" vertical="center"/>
    </xf>
    <xf numFmtId="49" fontId="273" fillId="0" borderId="1" xfId="0" applyNumberFormat="1" applyFont="1" applyFill="1" applyBorder="1" applyAlignment="1">
      <alignment horizontal="center" vertical="center" wrapText="1"/>
    </xf>
    <xf numFmtId="176" fontId="273" fillId="0" borderId="1"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xf>
    <xf numFmtId="202" fontId="273" fillId="0" borderId="1" xfId="0" applyNumberFormat="1" applyFont="1" applyFill="1" applyBorder="1" applyAlignment="1">
      <alignment horizontal="center" vertical="center"/>
    </xf>
    <xf numFmtId="0" fontId="273" fillId="0" borderId="1" xfId="0" applyFont="1" applyFill="1" applyBorder="1" applyAlignment="1">
      <alignment horizontal="center" vertical="center" wrapText="1"/>
    </xf>
    <xf numFmtId="49" fontId="273" fillId="0" borderId="13" xfId="0" applyNumberFormat="1" applyFont="1" applyFill="1" applyBorder="1" applyAlignment="1">
      <alignment horizontal="center" vertical="center" wrapText="1"/>
    </xf>
    <xf numFmtId="0" fontId="273" fillId="0" borderId="13" xfId="0" applyFont="1" applyFill="1" applyBorder="1" applyAlignment="1">
      <alignment vertical="center" wrapText="1"/>
    </xf>
    <xf numFmtId="0" fontId="273" fillId="0" borderId="13" xfId="0" applyNumberFormat="1" applyFont="1" applyFill="1" applyBorder="1" applyAlignment="1">
      <alignment horizontal="center" vertical="center"/>
    </xf>
    <xf numFmtId="2" fontId="273"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203" fontId="273" fillId="0" borderId="1" xfId="0" applyNumberFormat="1" applyFont="1" applyFill="1" applyBorder="1" applyAlignment="1">
      <alignment horizontal="center" vertical="center"/>
    </xf>
    <xf numFmtId="49" fontId="273" fillId="0" borderId="13" xfId="0" applyNumberFormat="1" applyFont="1" applyFill="1" applyBorder="1" applyAlignment="1">
      <alignment horizontal="center" vertical="center" wrapText="1"/>
    </xf>
    <xf numFmtId="176" fontId="273" fillId="0" borderId="13" xfId="0" applyNumberFormat="1" applyFont="1" applyFill="1" applyBorder="1" applyAlignment="1">
      <alignment horizontal="center" vertical="center"/>
    </xf>
    <xf numFmtId="0" fontId="273" fillId="0" borderId="13" xfId="0" applyNumberFormat="1" applyFont="1" applyFill="1" applyBorder="1" applyAlignment="1">
      <alignment horizontal="center" vertical="center"/>
    </xf>
    <xf numFmtId="202" fontId="273" fillId="0" borderId="5" xfId="0" applyNumberFormat="1" applyFont="1" applyFill="1" applyBorder="1" applyAlignment="1">
      <alignment horizontal="center" vertical="center"/>
    </xf>
    <xf numFmtId="49" fontId="273" fillId="0" borderId="36" xfId="0" applyNumberFormat="1" applyFont="1" applyFill="1" applyBorder="1" applyAlignment="1">
      <alignment horizontal="center" vertical="center" wrapText="1"/>
    </xf>
    <xf numFmtId="49" fontId="273" fillId="0" borderId="15" xfId="0" applyNumberFormat="1" applyFont="1" applyFill="1" applyBorder="1" applyAlignment="1">
      <alignment horizontal="center" vertical="center" wrapText="1"/>
    </xf>
    <xf numFmtId="176" fontId="273" fillId="0" borderId="15" xfId="0" applyNumberFormat="1" applyFont="1" applyFill="1" applyBorder="1" applyAlignment="1">
      <alignment horizontal="center" vertical="center"/>
    </xf>
    <xf numFmtId="0" fontId="273" fillId="0" borderId="15" xfId="0" applyNumberFormat="1" applyFont="1" applyFill="1" applyBorder="1" applyAlignment="1">
      <alignment horizontal="center" vertical="center"/>
    </xf>
    <xf numFmtId="49" fontId="273" fillId="0" borderId="0" xfId="0" applyNumberFormat="1" applyFont="1" applyFill="1" applyAlignment="1">
      <alignment horizontal="center" vertical="center" wrapText="1"/>
    </xf>
    <xf numFmtId="49" fontId="273" fillId="0" borderId="2" xfId="0" applyNumberFormat="1" applyFont="1" applyFill="1" applyBorder="1" applyAlignment="1">
      <alignment horizontal="center" vertical="center" wrapText="1"/>
    </xf>
    <xf numFmtId="176" fontId="273" fillId="0" borderId="2" xfId="0" applyNumberFormat="1" applyFont="1" applyFill="1" applyBorder="1" applyAlignment="1">
      <alignment horizontal="center" vertical="center"/>
    </xf>
    <xf numFmtId="202" fontId="273" fillId="0" borderId="1" xfId="1" applyNumberFormat="1" applyFont="1" applyFill="1" applyBorder="1" applyAlignment="1">
      <alignment horizontal="center" vertical="center"/>
    </xf>
    <xf numFmtId="202" fontId="273" fillId="0" borderId="5" xfId="1" applyNumberFormat="1" applyFont="1" applyFill="1" applyBorder="1" applyAlignment="1">
      <alignment horizontal="center" vertical="center"/>
    </xf>
    <xf numFmtId="49" fontId="273" fillId="0" borderId="60" xfId="0" applyNumberFormat="1" applyFont="1" applyFill="1" applyBorder="1" applyAlignment="1">
      <alignment horizontal="center" vertical="center" wrapText="1"/>
    </xf>
    <xf numFmtId="179" fontId="273" fillId="0" borderId="1" xfId="0" applyNumberFormat="1" applyFont="1" applyFill="1" applyBorder="1" applyAlignment="1">
      <alignment horizontal="center" vertical="center"/>
    </xf>
    <xf numFmtId="49" fontId="273" fillId="0" borderId="4" xfId="0" applyNumberFormat="1" applyFont="1" applyFill="1" applyBorder="1" applyAlignment="1">
      <alignment horizontal="center" vertical="center" wrapText="1"/>
    </xf>
    <xf numFmtId="179" fontId="273" fillId="0" borderId="13"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wrapText="1"/>
    </xf>
    <xf numFmtId="49" fontId="273" fillId="0" borderId="1" xfId="0" applyNumberFormat="1" applyFont="1" applyFill="1" applyBorder="1" applyAlignment="1">
      <alignment vertical="center" wrapText="1"/>
    </xf>
    <xf numFmtId="0" fontId="273" fillId="0" borderId="1" xfId="0" applyFont="1" applyFill="1" applyBorder="1" applyAlignment="1">
      <alignment vertical="center" wrapText="1"/>
    </xf>
    <xf numFmtId="0" fontId="80" fillId="0" borderId="5" xfId="0" applyFont="1" applyFill="1" applyBorder="1" applyAlignment="1">
      <alignment horizontal="center" vertical="center"/>
    </xf>
    <xf numFmtId="0" fontId="80" fillId="0" borderId="3" xfId="0" applyFont="1" applyFill="1" applyBorder="1" applyAlignment="1">
      <alignment horizontal="center" vertical="center"/>
    </xf>
    <xf numFmtId="179" fontId="80" fillId="0" borderId="3" xfId="0" applyNumberFormat="1" applyFont="1" applyFill="1" applyBorder="1" applyAlignment="1">
      <alignment horizontal="center" vertical="center"/>
    </xf>
    <xf numFmtId="204" fontId="80" fillId="0" borderId="1" xfId="0" applyNumberFormat="1" applyFont="1" applyFill="1" applyBorder="1" applyAlignment="1">
      <alignment horizontal="center" vertical="center"/>
    </xf>
    <xf numFmtId="43" fontId="273" fillId="0" borderId="1" xfId="0" applyNumberFormat="1" applyFont="1" applyFill="1" applyBorder="1" applyAlignment="1">
      <alignment horizontal="right" vertical="center"/>
    </xf>
    <xf numFmtId="49" fontId="19" fillId="0" borderId="1" xfId="0" applyNumberFormat="1" applyFont="1" applyFill="1" applyBorder="1" applyAlignment="1">
      <alignment horizontal="center" vertical="center"/>
    </xf>
    <xf numFmtId="206" fontId="273" fillId="0" borderId="1" xfId="0" applyNumberFormat="1" applyFont="1" applyFill="1" applyBorder="1" applyAlignment="1">
      <alignment horizontal="right" vertical="center"/>
    </xf>
    <xf numFmtId="202" fontId="273" fillId="0" borderId="1" xfId="0" applyNumberFormat="1" applyFont="1" applyFill="1" applyBorder="1" applyAlignment="1">
      <alignment horizontal="right" vertical="center"/>
    </xf>
    <xf numFmtId="0" fontId="273" fillId="0" borderId="1" xfId="0" applyFont="1" applyFill="1" applyBorder="1" applyAlignment="1">
      <alignment horizontal="center" vertical="center"/>
    </xf>
    <xf numFmtId="49" fontId="80" fillId="0" borderId="5" xfId="0" applyNumberFormat="1" applyFont="1" applyFill="1" applyBorder="1" applyAlignment="1">
      <alignment horizontal="center" vertical="center" wrapText="1"/>
    </xf>
    <xf numFmtId="49" fontId="80" fillId="0" borderId="3" xfId="0" applyNumberFormat="1" applyFont="1" applyFill="1" applyBorder="1" applyAlignment="1">
      <alignment horizontal="center" vertical="center" wrapText="1"/>
    </xf>
    <xf numFmtId="179" fontId="80" fillId="0" borderId="3" xfId="0" applyNumberFormat="1" applyFont="1" applyFill="1" applyBorder="1" applyAlignment="1">
      <alignment horizontal="center" vertical="center" wrapText="1"/>
    </xf>
    <xf numFmtId="202" fontId="19" fillId="0" borderId="1" xfId="0" applyNumberFormat="1" applyFont="1" applyFill="1" applyBorder="1" applyAlignment="1">
      <alignment horizontal="right" vertical="center"/>
    </xf>
    <xf numFmtId="208" fontId="19" fillId="0" borderId="1" xfId="0" applyNumberFormat="1" applyFont="1" applyFill="1" applyBorder="1" applyAlignment="1">
      <alignment horizontal="center" vertical="center"/>
    </xf>
    <xf numFmtId="0" fontId="274" fillId="0" borderId="1" xfId="0" applyFont="1" applyFill="1" applyBorder="1" applyAlignment="1">
      <alignment horizontal="center" vertical="center"/>
    </xf>
    <xf numFmtId="49" fontId="80" fillId="0" borderId="5" xfId="0" applyNumberFormat="1" applyFont="1" applyFill="1" applyBorder="1" applyAlignment="1">
      <alignment horizontal="center" vertical="center"/>
    </xf>
    <xf numFmtId="49" fontId="80" fillId="0" borderId="3" xfId="0" applyNumberFormat="1" applyFont="1" applyFill="1" applyBorder="1" applyAlignment="1">
      <alignment horizontal="center" vertical="center"/>
    </xf>
    <xf numFmtId="179" fontId="19" fillId="0" borderId="1" xfId="0" applyNumberFormat="1" applyFont="1" applyFill="1" applyBorder="1" applyAlignment="1">
      <alignment horizontal="right" vertical="center"/>
    </xf>
    <xf numFmtId="209" fontId="80" fillId="0" borderId="1" xfId="0" applyNumberFormat="1" applyFont="1" applyFill="1" applyBorder="1" applyAlignment="1">
      <alignment horizontal="center" vertical="center"/>
    </xf>
    <xf numFmtId="10" fontId="80" fillId="0" borderId="1" xfId="0" applyNumberFormat="1" applyFont="1" applyFill="1" applyBorder="1" applyAlignment="1">
      <alignment horizontal="center" vertical="center" wrapText="1"/>
    </xf>
    <xf numFmtId="49" fontId="19" fillId="0" borderId="0" xfId="0" applyNumberFormat="1" applyFont="1" applyFill="1" applyAlignment="1"/>
    <xf numFmtId="49" fontId="3" fillId="0" borderId="0" xfId="0" applyNumberFormat="1" applyFont="1" applyFill="1" applyAlignment="1">
      <alignment wrapText="1"/>
    </xf>
    <xf numFmtId="43" fontId="19" fillId="0" borderId="0" xfId="0" applyNumberFormat="1" applyFont="1" applyFill="1" applyAlignment="1">
      <alignment horizontal="center"/>
    </xf>
    <xf numFmtId="0" fontId="19" fillId="0" borderId="0" xfId="0" applyFont="1" applyFill="1" applyAlignment="1">
      <alignment horizontal="center"/>
    </xf>
    <xf numFmtId="49" fontId="19" fillId="0" borderId="0"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xf>
    <xf numFmtId="0" fontId="19" fillId="0" borderId="0" xfId="0" applyNumberFormat="1" applyFont="1" applyFill="1" applyAlignment="1">
      <alignment horizontal="center"/>
    </xf>
    <xf numFmtId="0" fontId="273" fillId="0" borderId="2" xfId="0" applyNumberFormat="1" applyFont="1" applyFill="1" applyBorder="1" applyAlignment="1">
      <alignment horizontal="center" vertical="center"/>
    </xf>
    <xf numFmtId="43" fontId="138" fillId="0" borderId="1" xfId="0" applyNumberFormat="1" applyFont="1" applyFill="1" applyBorder="1" applyAlignment="1">
      <alignment horizontal="center" vertical="center"/>
    </xf>
    <xf numFmtId="43" fontId="275" fillId="0" borderId="1" xfId="0" applyNumberFormat="1" applyFont="1" applyFill="1" applyBorder="1" applyAlignment="1">
      <alignment horizontal="right" vertical="center"/>
    </xf>
    <xf numFmtId="205" fontId="275" fillId="0" borderId="1" xfId="0" applyNumberFormat="1" applyFont="1" applyFill="1" applyBorder="1" applyAlignment="1">
      <alignment horizontal="right" vertical="center"/>
    </xf>
    <xf numFmtId="207" fontId="275" fillId="0" borderId="1" xfId="0" applyNumberFormat="1" applyFont="1" applyFill="1" applyBorder="1" applyAlignment="1">
      <alignment horizontal="right" vertical="center"/>
    </xf>
    <xf numFmtId="0" fontId="129" fillId="0" borderId="0" xfId="0" applyFont="1" applyAlignment="1">
      <alignment horizontal="left" vertical="center"/>
    </xf>
    <xf numFmtId="0" fontId="77" fillId="6" borderId="0" xfId="0" applyFont="1" applyFill="1" applyAlignment="1" applyProtection="1">
      <alignment horizontal="left" vertical="center"/>
      <protection locked="0"/>
    </xf>
    <xf numFmtId="1" fontId="47" fillId="6" borderId="0" xfId="0" applyNumberFormat="1" applyFont="1" applyFill="1" applyAlignment="1" applyProtection="1">
      <alignment horizontal="left" vertical="center"/>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北京市朝阳区朝外大街22号房地产抵押价值预评估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受贵公司委托，我公司对北京市朝阳区朝外大街22号房地产抵押价值进行了预评估。</v>
      </c>
    </row>
    <row r="7" spans="1:2" s="1203" customFormat="1">
      <c r="A7" s="1201" t="s">
        <v>566</v>
      </c>
      <c r="B7" s="1202" t="str">
        <f>'预评函-1'!A7</f>
        <v>估价对象为北京市朝阳区朝外大街22号房地产，为所有。根据《国有土地使用证》[]，估价对象（分摊）出让国有建设用地使用权面积为0平方米，建筑面积为52566.7平方米。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估价对象为北京市朝阳区朝外大街22号房地产,属开发建设的，该项目尚在开发建设中。根据《国有土地使用证》[]，估价对象（分摊）出让国有建设用地使用权面积为0平方米，规划建筑面积为52566.7平方米。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167130</v>
      </c>
    </row>
    <row r="21" spans="1:2" s="1203" customFormat="1">
      <c r="A21" s="1201" t="s">
        <v>537</v>
      </c>
      <c r="B21" s="1202">
        <f ca="1">'预评函-2'!D7</f>
        <v>31794</v>
      </c>
    </row>
    <row r="22" spans="1:2" s="1203" customFormat="1">
      <c r="A22" s="1201" t="s">
        <v>538</v>
      </c>
      <c r="B22" s="1202" t="str">
        <f ca="1">'预评函-2'!D6</f>
        <v>壹拾陆亿柒仟壹佰叁拾万元整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167130</v>
      </c>
    </row>
    <row r="31" spans="1:2" s="1203" customFormat="1">
      <c r="A31" s="1201" t="s">
        <v>576</v>
      </c>
      <c r="B31" s="1202">
        <f ca="1">'预评函-2'!D15</f>
        <v>31794</v>
      </c>
    </row>
    <row r="32" spans="1:2" s="1203" customFormat="1">
      <c r="A32" s="1201" t="s">
        <v>543</v>
      </c>
      <c r="B32" s="1202" t="str">
        <f ca="1">'预评函-2'!D14</f>
        <v>壹拾陆亿柒仟壹佰叁拾万元整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150207</v>
      </c>
    </row>
    <row r="39" spans="1:2" s="1203" customFormat="1">
      <c r="A39" s="1201" t="s">
        <v>545</v>
      </c>
      <c r="B39" s="1202">
        <f ca="1">'预评函-2'!D21</f>
        <v>28575</v>
      </c>
    </row>
    <row r="40" spans="1:2" s="1203" customFormat="1">
      <c r="A40" s="1201" t="s">
        <v>546</v>
      </c>
      <c r="B40" s="1202" t="str">
        <f ca="1">'预评函-2'!D20</f>
        <v>壹拾伍亿零贰佰零柒万元整</v>
      </c>
    </row>
    <row r="41" spans="1:2" s="1203" customFormat="1">
      <c r="A41" s="1201" t="s">
        <v>592</v>
      </c>
      <c r="B41" s="1202" t="str">
        <f>'预评函-3'!A4</f>
        <v>北京市朝阳区朝外大街22号房地产</v>
      </c>
    </row>
    <row r="42" spans="1:2" s="1203" customFormat="1">
      <c r="A42" s="1201" t="s">
        <v>590</v>
      </c>
      <c r="B42" s="1202" t="str">
        <f>'预评函-3'!B2</f>
        <v>建筑面积</v>
      </c>
    </row>
    <row r="43" spans="1:2" s="1203" customFormat="1">
      <c r="A43" s="1201" t="s">
        <v>591</v>
      </c>
      <c r="B43" s="1202">
        <f>'预评函-3'!B4</f>
        <v>52566.7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141225</v>
      </c>
    </row>
    <row r="48" spans="1:2" s="1203" customFormat="1">
      <c r="A48" s="1201" t="s">
        <v>549</v>
      </c>
      <c r="B48" s="1202">
        <f ca="1">'预评函-3'!E4</f>
        <v>26866</v>
      </c>
    </row>
    <row r="49" spans="1:2" s="1203" customFormat="1">
      <c r="A49" s="1201" t="s">
        <v>550</v>
      </c>
      <c r="B49" s="1202" t="str">
        <f ca="1">'预评函-3'!D5</f>
        <v>壹拾肆亿壹仟贰佰贰拾伍万元整</v>
      </c>
    </row>
    <row r="50" spans="1:2" s="1203" customFormat="1">
      <c r="A50" s="1201" t="s">
        <v>574</v>
      </c>
      <c r="B50" s="1202" t="str">
        <f>'预评函-3'!F2</f>
        <v>建筑物价值</v>
      </c>
    </row>
    <row r="51" spans="1:2" s="1203" customFormat="1">
      <c r="A51" s="1201" t="s">
        <v>551</v>
      </c>
      <c r="B51" s="1202">
        <f ca="1">'预评函-3'!F4</f>
        <v>25905</v>
      </c>
    </row>
    <row r="52" spans="1:2" s="1203" customFormat="1">
      <c r="A52" s="1201" t="s">
        <v>552</v>
      </c>
      <c r="B52" s="1202">
        <f ca="1">'预评函-3'!G4</f>
        <v>4928</v>
      </c>
    </row>
    <row r="53" spans="1:2" s="1203" customFormat="1">
      <c r="A53" s="1201" t="s">
        <v>580</v>
      </c>
      <c r="B53" s="1202" t="str">
        <f ca="1">'预评函-3'!F5</f>
        <v>贰亿伍仟玖佰零伍万元整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1" sqref="I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3712</v>
      </c>
      <c r="C5" s="1547" t="s">
        <v>318</v>
      </c>
      <c r="F5" s="1548" t="s">
        <v>1015</v>
      </c>
      <c r="G5" s="1548">
        <v>70</v>
      </c>
      <c r="H5" s="1548" t="s">
        <v>1016</v>
      </c>
      <c r="I5" s="1548" t="s">
        <v>3340</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3341</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3342</v>
      </c>
    </row>
    <row r="8" spans="1:23">
      <c r="A8" s="1546" t="s">
        <v>1025</v>
      </c>
      <c r="B8" s="1546" t="s">
        <v>1026</v>
      </c>
      <c r="C8" s="1547" t="s">
        <v>319</v>
      </c>
      <c r="F8" s="1548" t="s">
        <v>1027</v>
      </c>
      <c r="H8" s="1548" t="s">
        <v>2579</v>
      </c>
      <c r="I8" s="1548" t="s">
        <v>3343</v>
      </c>
    </row>
    <row r="9" spans="1:23">
      <c r="A9" s="1546" t="s">
        <v>1028</v>
      </c>
      <c r="B9" s="1546" t="s">
        <v>1029</v>
      </c>
      <c r="C9" s="1547" t="s">
        <v>320</v>
      </c>
      <c r="F9" s="1548" t="s">
        <v>1030</v>
      </c>
      <c r="H9" s="1548"/>
      <c r="I9" s="1551" t="s">
        <v>3344</v>
      </c>
    </row>
    <row r="10" spans="1:23">
      <c r="A10" s="1546" t="s">
        <v>1031</v>
      </c>
      <c r="B10" s="1546" t="s">
        <v>1032</v>
      </c>
      <c r="C10" s="1547" t="s">
        <v>321</v>
      </c>
      <c r="F10" s="1548" t="s">
        <v>2580</v>
      </c>
      <c r="I10" s="1551" t="s">
        <v>3345</v>
      </c>
    </row>
    <row r="11" spans="1:23">
      <c r="A11" s="1546" t="s">
        <v>1033</v>
      </c>
      <c r="B11" s="1546" t="s">
        <v>1034</v>
      </c>
      <c r="C11" s="1547" t="s">
        <v>322</v>
      </c>
      <c r="F11" s="1548" t="s">
        <v>13</v>
      </c>
      <c r="I11" s="1551" t="s">
        <v>3346</v>
      </c>
    </row>
    <row r="12" spans="1:23">
      <c r="A12" s="1546" t="s">
        <v>1035</v>
      </c>
      <c r="B12" s="1546" t="s">
        <v>1036</v>
      </c>
      <c r="C12" s="1547" t="s">
        <v>323</v>
      </c>
      <c r="I12" s="1551" t="s">
        <v>3347</v>
      </c>
    </row>
    <row r="13" spans="1:23">
      <c r="A13" s="1546" t="s">
        <v>1037</v>
      </c>
      <c r="B13" s="1546" t="s">
        <v>1038</v>
      </c>
      <c r="C13" s="1547" t="s">
        <v>324</v>
      </c>
      <c r="I13" s="1551" t="s">
        <v>3348</v>
      </c>
    </row>
    <row r="14" spans="1:23">
      <c r="A14" s="1546" t="s">
        <v>1039</v>
      </c>
      <c r="B14" s="1546" t="s">
        <v>1040</v>
      </c>
      <c r="C14" s="1548" t="s">
        <v>13</v>
      </c>
      <c r="I14" s="1551" t="s">
        <v>3349</v>
      </c>
    </row>
    <row r="15" spans="1:23">
      <c r="A15" s="1546" t="s">
        <v>1041</v>
      </c>
      <c r="B15" s="1546" t="s">
        <v>1042</v>
      </c>
      <c r="C15" s="1547"/>
      <c r="I15" s="1551" t="s">
        <v>3350</v>
      </c>
    </row>
    <row r="16" spans="1:23">
      <c r="A16" s="1546" t="s">
        <v>1043</v>
      </c>
      <c r="B16" s="1546" t="s">
        <v>312</v>
      </c>
      <c r="C16" s="1547"/>
    </row>
    <row r="17" spans="1:3">
      <c r="A17" s="1546" t="s">
        <v>1044</v>
      </c>
      <c r="B17" s="1546" t="s">
        <v>2291</v>
      </c>
      <c r="C17" s="1547"/>
    </row>
    <row r="18" spans="1:3">
      <c r="A18" s="1546" t="s">
        <v>1045</v>
      </c>
      <c r="B18" s="1546" t="s">
        <v>2435</v>
      </c>
      <c r="C18" s="1547"/>
    </row>
    <row r="19" spans="1:3">
      <c r="A19" s="1546" t="s">
        <v>1046</v>
      </c>
      <c r="B19" s="1549" t="s">
        <v>3714</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4" t="s">
        <v>385</v>
      </c>
      <c r="C54" s="1551" t="s">
        <v>583</v>
      </c>
    </row>
    <row r="55" spans="1:4">
      <c r="A55" s="3529"/>
      <c r="B55" s="1554" t="s">
        <v>386</v>
      </c>
      <c r="C55" s="1551" t="s">
        <v>584</v>
      </c>
    </row>
    <row r="56" spans="1:4">
      <c r="A56" s="3529"/>
      <c r="B56" s="1554" t="s">
        <v>387</v>
      </c>
      <c r="C56" s="1551" t="s">
        <v>588</v>
      </c>
    </row>
    <row r="57" spans="1:4">
      <c r="A57" s="352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30" t="s">
        <v>2582</v>
      </c>
      <c r="J2" s="3530"/>
      <c r="K2" s="3530"/>
      <c r="L2" s="3530"/>
      <c r="M2" s="3530"/>
      <c r="N2" s="3530"/>
      <c r="O2" s="3530"/>
      <c r="P2" s="3530"/>
      <c r="Q2" s="3530"/>
      <c r="R2" s="3530"/>
    </row>
    <row r="3" spans="1:18">
      <c r="A3" s="3018" t="s">
        <v>2503</v>
      </c>
      <c r="B3" s="3019">
        <f>项目基本情况!D3</f>
        <v>45348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8" sqref="H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39" t="str">
        <f>IF(B10="北京市","北京市",C10)&amp;F10&amp;IF(结果表!G1="在建","出让国有建设用地使用权及在建建筑物",IF(结果表!G1="土地","出让国有建设用地使用权",))&amp;B9&amp;"预评估"</f>
        <v>北京市朝阳区朝外大街22号房地产抵押价值预评估</v>
      </c>
      <c r="C1" s="3540"/>
      <c r="D1" s="3540"/>
      <c r="E1" s="3540"/>
      <c r="F1" s="3540"/>
      <c r="G1" s="3540"/>
      <c r="H1" s="3540"/>
      <c r="I1" s="354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北京市朝阳区朝外大街22号房地产抵押价值</v>
      </c>
      <c r="T1" s="1745"/>
      <c r="U1" s="1745"/>
      <c r="V1" s="1745"/>
      <c r="W1" s="1745"/>
      <c r="X1" s="1745"/>
      <c r="Y1" s="1745"/>
      <c r="Z1" s="1745"/>
      <c r="AA1" s="1745"/>
      <c r="AB1" s="1745"/>
    </row>
    <row r="2" spans="1:30">
      <c r="A2" s="2366" t="s">
        <v>2167</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北京市朝阳区朝外大街22号房地产</v>
      </c>
      <c r="T2" s="1745"/>
      <c r="U2" s="1745"/>
      <c r="V2" s="1745"/>
      <c r="W2" s="1745"/>
      <c r="X2" s="1745"/>
      <c r="Y2" s="1745"/>
      <c r="Z2" s="1745"/>
      <c r="AA2" s="1745"/>
      <c r="AB2" s="1745"/>
    </row>
    <row r="3" spans="1:30">
      <c r="A3" s="302" t="s">
        <v>2168</v>
      </c>
      <c r="B3" s="2372">
        <v>45348</v>
      </c>
      <c r="C3" s="2373" t="s">
        <v>2169</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542" t="s">
        <v>2175</v>
      </c>
      <c r="E8" s="2390" t="s">
        <v>3414</v>
      </c>
      <c r="F8" s="2391"/>
      <c r="G8" s="2662"/>
      <c r="H8" s="2662"/>
      <c r="I8" s="2662"/>
      <c r="J8" s="2438"/>
      <c r="K8" s="2613"/>
      <c r="L8" s="2612"/>
      <c r="M8" s="2612"/>
      <c r="N8" s="2438"/>
      <c r="O8" s="2449"/>
      <c r="P8" s="2438"/>
      <c r="Q8" s="2438"/>
      <c r="R8" s="2438"/>
    </row>
    <row r="9" spans="1:30" ht="13.5" thickBot="1">
      <c r="A9" s="2392" t="s">
        <v>2176</v>
      </c>
      <c r="B9" s="2393" t="s">
        <v>3414</v>
      </c>
      <c r="C9" s="2394"/>
      <c r="D9" s="3543"/>
      <c r="E9" s="2393" t="s">
        <v>587</v>
      </c>
      <c r="F9" s="2395"/>
      <c r="G9" s="2664"/>
      <c r="H9" s="2664"/>
      <c r="I9" s="2664"/>
      <c r="J9" s="2438"/>
      <c r="K9" s="2615"/>
      <c r="L9" s="2612"/>
      <c r="M9" s="2612"/>
      <c r="N9" s="2438"/>
      <c r="O9" s="2449"/>
      <c r="P9" s="2438"/>
      <c r="Q9" s="2438"/>
      <c r="R9" s="2438"/>
    </row>
    <row r="10" spans="1:30" ht="13.5" thickTop="1">
      <c r="A10" s="2396" t="s">
        <v>2177</v>
      </c>
      <c r="B10" s="2397" t="s">
        <v>3379</v>
      </c>
      <c r="C10" s="2398"/>
      <c r="D10" s="2381"/>
      <c r="E10" s="2399" t="s">
        <v>2178</v>
      </c>
      <c r="F10" s="3448" t="s">
        <v>3704</v>
      </c>
      <c r="G10" s="2665"/>
      <c r="H10" s="2666"/>
      <c r="I10" s="2667"/>
      <c r="J10" s="2438"/>
      <c r="K10" s="2615"/>
      <c r="L10" s="2612"/>
      <c r="M10" s="2612"/>
      <c r="N10" s="2438"/>
      <c r="O10" s="2449"/>
      <c r="P10" s="2438"/>
      <c r="Q10" s="2438"/>
      <c r="R10" s="2438"/>
    </row>
    <row r="11" spans="1:30">
      <c r="A11" s="2400" t="s">
        <v>2179</v>
      </c>
      <c r="B11" s="2401" t="s">
        <v>3417</v>
      </c>
      <c r="C11" s="2402"/>
      <c r="D11" s="2403"/>
      <c r="E11" s="2369"/>
      <c r="F11" s="2369"/>
      <c r="G11" s="2369"/>
      <c r="H11" s="2369"/>
      <c r="I11" s="2369"/>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2578</v>
      </c>
      <c r="J12" s="3060" t="s">
        <v>3382</v>
      </c>
      <c r="K12" s="2612"/>
      <c r="L12" s="2612"/>
      <c r="M12" s="2438"/>
      <c r="N12" s="2449"/>
      <c r="O12" s="2438"/>
      <c r="P12" s="2438"/>
      <c r="Q12" s="2438"/>
      <c r="AD12" s="1745"/>
    </row>
    <row r="13" spans="1:30">
      <c r="A13" s="3421" t="s">
        <v>3333</v>
      </c>
      <c r="B13" s="2406" t="s">
        <v>2188</v>
      </c>
      <c r="C13" s="856"/>
      <c r="D13" s="856"/>
      <c r="E13" s="856">
        <v>52979</v>
      </c>
      <c r="F13" s="856">
        <f>E13</f>
        <v>52979</v>
      </c>
      <c r="G13" s="856"/>
      <c r="H13" s="856"/>
      <c r="I13" s="856"/>
      <c r="J13" s="3060"/>
      <c r="K13" s="2612"/>
      <c r="L13" s="2612"/>
      <c r="M13" s="2438"/>
      <c r="N13" s="2449"/>
      <c r="O13" s="2438"/>
      <c r="P13" s="2438"/>
      <c r="Q13" s="2438"/>
      <c r="AD13" s="1745"/>
    </row>
    <row r="14" spans="1:30">
      <c r="A14" s="1081"/>
      <c r="B14" s="2406" t="s">
        <v>2189</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20.9</v>
      </c>
      <c r="F15" s="2409">
        <f>IF(A13="出让",IF(F13="","",ROUNDDOWN(MIN((F13-$D$3)/365,F14),2)),F14)</f>
        <v>20.9</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549"/>
      <c r="C16" s="3550"/>
      <c r="D16" s="3551"/>
      <c r="E16" s="2412" t="s">
        <v>2192</v>
      </c>
      <c r="F16" s="3552"/>
      <c r="G16" s="3553"/>
      <c r="H16" s="3553"/>
      <c r="I16" s="3554"/>
      <c r="J16" s="2438"/>
      <c r="K16" s="2616"/>
      <c r="L16" s="2450"/>
      <c r="M16" s="2450"/>
      <c r="N16" s="2508"/>
      <c r="O16" s="2450"/>
      <c r="P16" s="2508"/>
      <c r="Q16" s="2438"/>
      <c r="R16" s="2438"/>
    </row>
    <row r="17" spans="1:28">
      <c r="A17" s="313" t="s">
        <v>2193</v>
      </c>
      <c r="B17" s="302" t="s">
        <v>2194</v>
      </c>
      <c r="C17" s="8">
        <f>'数据-汇总表'!E3</f>
        <v>52566.7</v>
      </c>
      <c r="D17" s="2321" t="s">
        <v>2195</v>
      </c>
      <c r="E17" s="3555" t="s">
        <v>2196</v>
      </c>
      <c r="F17" s="3556"/>
      <c r="G17" s="3556"/>
      <c r="H17" s="3556"/>
      <c r="I17" s="3557"/>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58" t="s">
        <v>2200</v>
      </c>
      <c r="F18" s="3559"/>
      <c r="G18" s="3559"/>
      <c r="H18" s="3559"/>
      <c r="I18" s="3560"/>
      <c r="J18" s="2438"/>
      <c r="K18" s="2617"/>
      <c r="L18" s="2450"/>
      <c r="M18" s="2450"/>
      <c r="N18" s="2508"/>
      <c r="O18" s="2450"/>
      <c r="P18" s="2508"/>
      <c r="Q18" s="2438"/>
      <c r="R18" s="2438"/>
      <c r="S18" s="2438"/>
      <c r="T18" s="2438"/>
      <c r="U18" s="2438"/>
      <c r="V18" s="2438"/>
    </row>
    <row r="19" spans="1:28" ht="37.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545" t="s">
        <v>2204</v>
      </c>
      <c r="C20" s="3546"/>
      <c r="D20" s="3547" t="s">
        <v>2205</v>
      </c>
      <c r="E20" s="3548"/>
      <c r="F20" s="2646" t="s">
        <v>1055</v>
      </c>
      <c r="G20" s="2663"/>
      <c r="H20" s="2663"/>
      <c r="I20" s="2663"/>
      <c r="J20" s="2438"/>
      <c r="K20" s="3544"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54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2216</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2217</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31" t="s">
        <v>2226</v>
      </c>
      <c r="T34" s="2427" t="str">
        <f>NUMBERSTRING(7-K34,1)&amp;"通"</f>
        <v>七通</v>
      </c>
      <c r="U34" s="2438"/>
      <c r="V34" s="2438"/>
    </row>
    <row r="35" spans="1:30">
      <c r="A35" s="2428"/>
      <c r="B35" s="3538" t="s">
        <v>2227</v>
      </c>
      <c r="C35" s="3538"/>
      <c r="D35" s="3538"/>
      <c r="E35" s="353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2231</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52566.7</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52566.7</v>
      </c>
      <c r="H5" s="13">
        <f t="shared" ref="H5:AT5" si="0">SUM(H13:H656)</f>
        <v>52566.7</v>
      </c>
      <c r="I5" s="13">
        <f t="shared" si="0"/>
        <v>39427.439999999995</v>
      </c>
      <c r="J5" s="13">
        <f t="shared" si="0"/>
        <v>0</v>
      </c>
      <c r="K5" s="13">
        <f t="shared" si="0"/>
        <v>3096.18</v>
      </c>
      <c r="L5" s="13">
        <f t="shared" si="0"/>
        <v>0</v>
      </c>
      <c r="M5" s="13">
        <f t="shared" si="0"/>
        <v>10043.08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52566.7</v>
      </c>
      <c r="BA5" s="15">
        <f t="shared" si="1"/>
        <v>52566.7</v>
      </c>
      <c r="BB5" s="15">
        <f t="shared" si="1"/>
        <v>39427.439999999995</v>
      </c>
      <c r="BC5" s="15">
        <f t="shared" si="1"/>
        <v>3096.18</v>
      </c>
      <c r="BD5" s="15">
        <f t="shared" si="1"/>
        <v>10043.08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t="s">
        <v>3706</v>
      </c>
      <c r="L9" s="809"/>
      <c r="M9" s="1603" t="s">
        <v>3706</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3334</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52566.7</v>
      </c>
      <c r="H13" s="17">
        <f>SUMIF(I$12:AB$12,"总值",I13:AB13)</f>
        <v>52566.7</v>
      </c>
      <c r="I13" s="1626">
        <f>抵押物清单!I7</f>
        <v>39427.439999999995</v>
      </c>
      <c r="J13" s="1626"/>
      <c r="K13" s="1626">
        <f>抵押物清单!I8</f>
        <v>3096.18</v>
      </c>
      <c r="L13" s="1626"/>
      <c r="M13" s="1626">
        <f>抵押物清单!I9</f>
        <v>10043.08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52566.7</v>
      </c>
      <c r="BA13" s="13">
        <f>SUM(BB13:BK13)</f>
        <v>52566.7</v>
      </c>
      <c r="BB13" s="13">
        <f>IF($D13="是",I13-J13,0)</f>
        <v>39427.439999999995</v>
      </c>
      <c r="BC13" s="13">
        <f>IF($D13="是",K13-L13,0)</f>
        <v>3096.18</v>
      </c>
      <c r="BD13" s="13">
        <f>IF($D13="是",M13-N13,0)</f>
        <v>10043.08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72"/>
  <sheetViews>
    <sheetView topLeftCell="A118" zoomScale="85" zoomScaleNormal="85" workbookViewId="0">
      <selection activeCell="L126" sqref="L126"/>
    </sheetView>
  </sheetViews>
  <sheetFormatPr defaultRowHeight="12.75"/>
  <cols>
    <col min="1" max="2" width="9.125" style="3480" bestFit="1" customWidth="1"/>
    <col min="3" max="3" width="9.125" style="3486" bestFit="1" customWidth="1"/>
    <col min="4" max="4" width="12" style="3480" bestFit="1" customWidth="1"/>
    <col min="5" max="16384" width="9" style="3480"/>
  </cols>
  <sheetData>
    <row r="1" spans="1:9" s="3481" customFormat="1" ht="14.25" customHeight="1">
      <c r="A1" s="3483"/>
      <c r="B1" s="3483"/>
      <c r="C1" s="3479"/>
      <c r="D1" s="3483"/>
      <c r="E1" s="3482"/>
      <c r="F1" s="3483"/>
    </row>
    <row r="2" spans="1:9" s="3481" customFormat="1" ht="14.25" customHeight="1">
      <c r="A2" s="3483" t="s">
        <v>3418</v>
      </c>
      <c r="B2" s="3479" t="s">
        <v>3450</v>
      </c>
      <c r="C2" s="3479" t="s">
        <v>3439</v>
      </c>
      <c r="D2" s="3483" t="s">
        <v>3440</v>
      </c>
      <c r="E2" s="3482" t="s">
        <v>3447</v>
      </c>
      <c r="F2" s="3483" t="s">
        <v>3441</v>
      </c>
    </row>
    <row r="3" spans="1:9" s="3481" customFormat="1" ht="14.25" customHeight="1">
      <c r="A3" s="3483">
        <v>1</v>
      </c>
      <c r="B3" s="3483">
        <v>-3</v>
      </c>
      <c r="C3" s="3479" t="s">
        <v>3442</v>
      </c>
      <c r="D3" s="3483">
        <v>4690.13</v>
      </c>
      <c r="E3" s="3482" t="s">
        <v>3448</v>
      </c>
      <c r="F3" s="3482" t="s">
        <v>3448</v>
      </c>
    </row>
    <row r="4" spans="1:9" s="3481" customFormat="1" ht="14.25" customHeight="1">
      <c r="A4" s="3483">
        <v>2</v>
      </c>
      <c r="B4" s="3483">
        <v>-2</v>
      </c>
      <c r="C4" s="3479" t="s">
        <v>3442</v>
      </c>
      <c r="D4" s="3483">
        <v>5352.95</v>
      </c>
      <c r="E4" s="3482" t="s">
        <v>3448</v>
      </c>
      <c r="F4" s="3482" t="s">
        <v>3448</v>
      </c>
    </row>
    <row r="5" spans="1:9" s="3481" customFormat="1" ht="14.25" customHeight="1">
      <c r="A5" s="3483">
        <v>3</v>
      </c>
      <c r="B5" s="3483">
        <v>-1</v>
      </c>
      <c r="C5" s="3479" t="s">
        <v>3443</v>
      </c>
      <c r="D5" s="3483">
        <v>2106.37</v>
      </c>
      <c r="E5" s="3482" t="s">
        <v>3449</v>
      </c>
      <c r="F5" s="3482" t="s">
        <v>3726</v>
      </c>
    </row>
    <row r="6" spans="1:9" s="3481" customFormat="1" ht="14.25" customHeight="1">
      <c r="A6" s="3483">
        <v>4</v>
      </c>
      <c r="B6" s="3483">
        <v>-1</v>
      </c>
      <c r="C6" s="3479" t="s">
        <v>3444</v>
      </c>
      <c r="D6" s="3483">
        <v>989.81</v>
      </c>
      <c r="E6" s="3482" t="s">
        <v>3449</v>
      </c>
      <c r="F6" s="3483" t="s">
        <v>673</v>
      </c>
    </row>
    <row r="7" spans="1:9" s="3481" customFormat="1" ht="14.25" customHeight="1">
      <c r="A7" s="3483">
        <v>5</v>
      </c>
      <c r="B7" s="3483">
        <v>1</v>
      </c>
      <c r="C7" s="3479" t="s">
        <v>3444</v>
      </c>
      <c r="D7" s="3483">
        <v>2224.02</v>
      </c>
      <c r="E7" s="3482" t="s">
        <v>3449</v>
      </c>
      <c r="F7" s="3483" t="s">
        <v>673</v>
      </c>
      <c r="H7" s="3481" t="s">
        <v>3705</v>
      </c>
      <c r="I7" s="3481">
        <f>SUM(D7:D163)</f>
        <v>39427.439999999995</v>
      </c>
    </row>
    <row r="8" spans="1:9" s="3481" customFormat="1" ht="14.25" customHeight="1">
      <c r="A8" s="3483">
        <v>6</v>
      </c>
      <c r="B8" s="3483">
        <v>2</v>
      </c>
      <c r="C8" s="3479" t="s">
        <v>3444</v>
      </c>
      <c r="D8" s="3483">
        <v>3396.55</v>
      </c>
      <c r="E8" s="3482" t="s">
        <v>3449</v>
      </c>
      <c r="F8" s="3483" t="s">
        <v>673</v>
      </c>
      <c r="H8" s="3904" t="s">
        <v>3707</v>
      </c>
      <c r="I8" s="3481">
        <f>D5+D6</f>
        <v>3096.18</v>
      </c>
    </row>
    <row r="9" spans="1:9" s="3481" customFormat="1" ht="14.25" customHeight="1">
      <c r="A9" s="3483">
        <v>7</v>
      </c>
      <c r="B9" s="3483">
        <v>3</v>
      </c>
      <c r="C9" s="3479">
        <v>301</v>
      </c>
      <c r="D9" s="3483">
        <v>280.07</v>
      </c>
      <c r="E9" s="3482" t="s">
        <v>3449</v>
      </c>
      <c r="F9" s="3483" t="s">
        <v>21</v>
      </c>
      <c r="H9" s="3904" t="s">
        <v>3708</v>
      </c>
      <c r="I9" s="3481">
        <f>D3+D4</f>
        <v>10043.08</v>
      </c>
    </row>
    <row r="10" spans="1:9" s="3481" customFormat="1" ht="14.25" customHeight="1">
      <c r="A10" s="3483">
        <v>8</v>
      </c>
      <c r="B10" s="3483">
        <v>3</v>
      </c>
      <c r="C10" s="3479">
        <v>302</v>
      </c>
      <c r="D10" s="3483">
        <v>244.71</v>
      </c>
      <c r="E10" s="3482" t="s">
        <v>3449</v>
      </c>
      <c r="F10" s="3483" t="s">
        <v>21</v>
      </c>
      <c r="H10" s="3904" t="s">
        <v>2594</v>
      </c>
      <c r="I10" s="3481">
        <f>I7+I8+I9</f>
        <v>52566.7</v>
      </c>
    </row>
    <row r="11" spans="1:9" s="3481" customFormat="1" ht="14.25" customHeight="1">
      <c r="A11" s="3483">
        <v>9</v>
      </c>
      <c r="B11" s="3483">
        <v>3</v>
      </c>
      <c r="C11" s="3479">
        <v>303</v>
      </c>
      <c r="D11" s="3483">
        <v>199.51</v>
      </c>
      <c r="E11" s="3482" t="s">
        <v>3449</v>
      </c>
      <c r="F11" s="3483" t="s">
        <v>21</v>
      </c>
    </row>
    <row r="12" spans="1:9" s="3481" customFormat="1" ht="14.25" customHeight="1">
      <c r="A12" s="3483">
        <v>10</v>
      </c>
      <c r="B12" s="3483">
        <v>3</v>
      </c>
      <c r="C12" s="3479">
        <v>305</v>
      </c>
      <c r="D12" s="3483">
        <v>206.34</v>
      </c>
      <c r="E12" s="3482" t="s">
        <v>3449</v>
      </c>
      <c r="F12" s="3483" t="s">
        <v>21</v>
      </c>
    </row>
    <row r="13" spans="1:9" s="3481" customFormat="1" ht="14.25" customHeight="1">
      <c r="A13" s="3483">
        <v>11</v>
      </c>
      <c r="B13" s="3483">
        <v>3</v>
      </c>
      <c r="C13" s="3479">
        <v>306</v>
      </c>
      <c r="D13" s="3483">
        <v>256</v>
      </c>
      <c r="E13" s="3482" t="s">
        <v>3449</v>
      </c>
      <c r="F13" s="3483" t="s">
        <v>21</v>
      </c>
    </row>
    <row r="14" spans="1:9" s="3481" customFormat="1" ht="14.25" customHeight="1">
      <c r="A14" s="3483">
        <v>12</v>
      </c>
      <c r="B14" s="3483">
        <v>3</v>
      </c>
      <c r="C14" s="3479">
        <v>307</v>
      </c>
      <c r="D14" s="3483">
        <v>385.25</v>
      </c>
      <c r="E14" s="3482" t="s">
        <v>3449</v>
      </c>
      <c r="F14" s="3483" t="s">
        <v>21</v>
      </c>
    </row>
    <row r="15" spans="1:9" s="3481" customFormat="1" ht="14.25" customHeight="1">
      <c r="A15" s="3483">
        <v>13</v>
      </c>
      <c r="B15" s="3483">
        <v>3</v>
      </c>
      <c r="C15" s="3479">
        <v>308</v>
      </c>
      <c r="D15" s="3483">
        <v>390.48</v>
      </c>
      <c r="E15" s="3482" t="s">
        <v>3449</v>
      </c>
      <c r="F15" s="3483" t="s">
        <v>21</v>
      </c>
    </row>
    <row r="16" spans="1:9" s="3481" customFormat="1" ht="14.25" customHeight="1">
      <c r="A16" s="3483">
        <v>14</v>
      </c>
      <c r="B16" s="3483">
        <v>3</v>
      </c>
      <c r="C16" s="3479">
        <v>309</v>
      </c>
      <c r="D16" s="3483">
        <v>105.99</v>
      </c>
      <c r="E16" s="3482" t="s">
        <v>3449</v>
      </c>
      <c r="F16" s="3483" t="s">
        <v>21</v>
      </c>
    </row>
    <row r="17" spans="1:6" s="3481" customFormat="1" ht="14.25" customHeight="1">
      <c r="A17" s="3483">
        <v>15</v>
      </c>
      <c r="B17" s="3483">
        <v>3</v>
      </c>
      <c r="C17" s="3479">
        <v>310</v>
      </c>
      <c r="D17" s="3483">
        <v>524.77</v>
      </c>
      <c r="E17" s="3482" t="s">
        <v>3449</v>
      </c>
      <c r="F17" s="3483" t="s">
        <v>21</v>
      </c>
    </row>
    <row r="18" spans="1:6" s="3481" customFormat="1" ht="14.25" customHeight="1">
      <c r="A18" s="3483">
        <v>16</v>
      </c>
      <c r="B18" s="3483">
        <v>3</v>
      </c>
      <c r="C18" s="3479">
        <v>311</v>
      </c>
      <c r="D18" s="3483">
        <v>402.9</v>
      </c>
      <c r="E18" s="3482" t="s">
        <v>3449</v>
      </c>
      <c r="F18" s="3483" t="s">
        <v>21</v>
      </c>
    </row>
    <row r="19" spans="1:6" s="3481" customFormat="1" ht="14.25" customHeight="1">
      <c r="A19" s="3483">
        <v>17</v>
      </c>
      <c r="B19" s="3483">
        <v>3</v>
      </c>
      <c r="C19" s="3479">
        <v>312</v>
      </c>
      <c r="D19" s="3483">
        <v>214.39</v>
      </c>
      <c r="E19" s="3482" t="s">
        <v>3449</v>
      </c>
      <c r="F19" s="3483" t="s">
        <v>21</v>
      </c>
    </row>
    <row r="20" spans="1:6" s="3481" customFormat="1" ht="14.25" customHeight="1">
      <c r="A20" s="3483">
        <v>18</v>
      </c>
      <c r="B20" s="3483">
        <v>3</v>
      </c>
      <c r="C20" s="3479">
        <v>315</v>
      </c>
      <c r="D20" s="3483">
        <v>178.69</v>
      </c>
      <c r="E20" s="3482" t="s">
        <v>3449</v>
      </c>
      <c r="F20" s="3483" t="s">
        <v>21</v>
      </c>
    </row>
    <row r="21" spans="1:6" s="3481" customFormat="1" ht="14.25" customHeight="1">
      <c r="A21" s="3483">
        <v>19</v>
      </c>
      <c r="B21" s="3483">
        <v>3</v>
      </c>
      <c r="C21" s="3479" t="s">
        <v>3445</v>
      </c>
      <c r="D21" s="3483">
        <v>158.51</v>
      </c>
      <c r="E21" s="3482" t="s">
        <v>3449</v>
      </c>
      <c r="F21" s="3483" t="s">
        <v>21</v>
      </c>
    </row>
    <row r="22" spans="1:6" s="3481" customFormat="1" ht="14.25" customHeight="1">
      <c r="A22" s="3483">
        <v>20</v>
      </c>
      <c r="B22" s="3483">
        <v>3</v>
      </c>
      <c r="C22" s="3479" t="s">
        <v>3446</v>
      </c>
      <c r="D22" s="3483">
        <v>79.38</v>
      </c>
      <c r="E22" s="3482" t="s">
        <v>3449</v>
      </c>
      <c r="F22" s="3483" t="s">
        <v>21</v>
      </c>
    </row>
    <row r="23" spans="1:6" s="3481" customFormat="1" ht="14.25" customHeight="1">
      <c r="A23" s="3483">
        <v>21</v>
      </c>
      <c r="B23" s="3483">
        <v>3</v>
      </c>
      <c r="C23" s="3479">
        <v>317</v>
      </c>
      <c r="D23" s="3483">
        <v>82.61</v>
      </c>
      <c r="E23" s="3482" t="s">
        <v>3449</v>
      </c>
      <c r="F23" s="3483" t="s">
        <v>21</v>
      </c>
    </row>
    <row r="24" spans="1:6" s="3481" customFormat="1" ht="14.25" customHeight="1">
      <c r="A24" s="3483">
        <v>22</v>
      </c>
      <c r="B24" s="3483">
        <v>3</v>
      </c>
      <c r="C24" s="3479">
        <v>318</v>
      </c>
      <c r="D24" s="3483">
        <v>81.48</v>
      </c>
      <c r="E24" s="3482" t="s">
        <v>3449</v>
      </c>
      <c r="F24" s="3483" t="s">
        <v>21</v>
      </c>
    </row>
    <row r="25" spans="1:6" s="3481" customFormat="1" ht="14.25" customHeight="1">
      <c r="A25" s="3483">
        <v>23</v>
      </c>
      <c r="B25" s="3483">
        <v>3</v>
      </c>
      <c r="C25" s="3479" t="s">
        <v>3454</v>
      </c>
      <c r="D25" s="3483">
        <v>77.56</v>
      </c>
      <c r="E25" s="3482" t="s">
        <v>3449</v>
      </c>
      <c r="F25" s="3483" t="s">
        <v>21</v>
      </c>
    </row>
    <row r="26" spans="1:6" s="3481" customFormat="1" ht="14.25" customHeight="1">
      <c r="A26" s="3483">
        <v>24</v>
      </c>
      <c r="B26" s="3483">
        <v>3</v>
      </c>
      <c r="C26" s="3479" t="s">
        <v>3455</v>
      </c>
      <c r="D26" s="3483">
        <v>72.099999999999994</v>
      </c>
      <c r="E26" s="3482" t="s">
        <v>3449</v>
      </c>
      <c r="F26" s="3483" t="s">
        <v>21</v>
      </c>
    </row>
    <row r="27" spans="1:6" s="3481" customFormat="1" ht="14.25" customHeight="1">
      <c r="A27" s="3483">
        <v>25</v>
      </c>
      <c r="B27" s="3483">
        <v>3</v>
      </c>
      <c r="C27" s="3479" t="s">
        <v>3456</v>
      </c>
      <c r="D27" s="3483">
        <v>124.7</v>
      </c>
      <c r="E27" s="3482" t="s">
        <v>3449</v>
      </c>
      <c r="F27" s="3483" t="s">
        <v>21</v>
      </c>
    </row>
    <row r="28" spans="1:6" s="3481" customFormat="1" ht="14.25" customHeight="1">
      <c r="A28" s="3483">
        <v>26</v>
      </c>
      <c r="B28" s="3483">
        <v>4</v>
      </c>
      <c r="C28" s="3479" t="s">
        <v>3451</v>
      </c>
      <c r="D28" s="3483">
        <v>533.66</v>
      </c>
      <c r="E28" s="3482" t="s">
        <v>3449</v>
      </c>
      <c r="F28" s="3483" t="s">
        <v>21</v>
      </c>
    </row>
    <row r="29" spans="1:6" s="3481" customFormat="1" ht="14.25" customHeight="1">
      <c r="A29" s="3483">
        <v>27</v>
      </c>
      <c r="B29" s="3483">
        <v>4</v>
      </c>
      <c r="C29" s="3479" t="s">
        <v>3452</v>
      </c>
      <c r="D29" s="3483">
        <v>661.84</v>
      </c>
      <c r="E29" s="3482" t="s">
        <v>3449</v>
      </c>
      <c r="F29" s="3483" t="s">
        <v>21</v>
      </c>
    </row>
    <row r="30" spans="1:6" s="3481" customFormat="1" ht="14.25" customHeight="1">
      <c r="A30" s="3483">
        <v>28</v>
      </c>
      <c r="B30" s="3483">
        <v>4</v>
      </c>
      <c r="C30" s="3479" t="s">
        <v>3457</v>
      </c>
      <c r="D30" s="3483">
        <v>385.25</v>
      </c>
      <c r="E30" s="3482" t="s">
        <v>3449</v>
      </c>
      <c r="F30" s="3483" t="s">
        <v>21</v>
      </c>
    </row>
    <row r="31" spans="1:6" s="3481" customFormat="1" ht="14.25" customHeight="1">
      <c r="A31" s="3483">
        <v>29</v>
      </c>
      <c r="B31" s="3483">
        <v>4</v>
      </c>
      <c r="C31" s="3479">
        <v>408</v>
      </c>
      <c r="D31" s="3483">
        <v>390.48</v>
      </c>
      <c r="E31" s="3482" t="s">
        <v>3449</v>
      </c>
      <c r="F31" s="3483" t="s">
        <v>21</v>
      </c>
    </row>
    <row r="32" spans="1:6" s="3481" customFormat="1" ht="14.25" customHeight="1">
      <c r="A32" s="3483">
        <v>30</v>
      </c>
      <c r="B32" s="3483">
        <v>4</v>
      </c>
      <c r="C32" s="3479">
        <v>409</v>
      </c>
      <c r="D32" s="3483">
        <v>313.10000000000002</v>
      </c>
      <c r="E32" s="3482" t="s">
        <v>3449</v>
      </c>
      <c r="F32" s="3483" t="s">
        <v>21</v>
      </c>
    </row>
    <row r="33" spans="1:6" s="3481" customFormat="1" ht="14.25" customHeight="1">
      <c r="A33" s="3483">
        <v>31</v>
      </c>
      <c r="B33" s="3483">
        <v>4</v>
      </c>
      <c r="C33" s="3479">
        <v>410</v>
      </c>
      <c r="D33" s="3483">
        <v>352.1</v>
      </c>
      <c r="E33" s="3482" t="s">
        <v>3449</v>
      </c>
      <c r="F33" s="3483" t="s">
        <v>21</v>
      </c>
    </row>
    <row r="34" spans="1:6" s="3481" customFormat="1" ht="14.25" customHeight="1">
      <c r="A34" s="3483">
        <v>32</v>
      </c>
      <c r="B34" s="3483">
        <v>4</v>
      </c>
      <c r="C34" s="3479">
        <v>411</v>
      </c>
      <c r="D34" s="3483">
        <v>402.9</v>
      </c>
      <c r="E34" s="3482" t="s">
        <v>3449</v>
      </c>
      <c r="F34" s="3483" t="s">
        <v>21</v>
      </c>
    </row>
    <row r="35" spans="1:6" s="3481" customFormat="1" ht="14.25" customHeight="1">
      <c r="A35" s="3483">
        <v>33</v>
      </c>
      <c r="B35" s="3483">
        <v>4</v>
      </c>
      <c r="C35" s="3479">
        <v>412</v>
      </c>
      <c r="D35" s="3483">
        <v>214.39</v>
      </c>
      <c r="E35" s="3482" t="s">
        <v>3449</v>
      </c>
      <c r="F35" s="3483" t="s">
        <v>21</v>
      </c>
    </row>
    <row r="36" spans="1:6" s="3481" customFormat="1" ht="14.25" customHeight="1">
      <c r="A36" s="3483">
        <v>34</v>
      </c>
      <c r="B36" s="3483">
        <v>4</v>
      </c>
      <c r="C36" s="3479">
        <v>415</v>
      </c>
      <c r="D36" s="3483">
        <v>178.69</v>
      </c>
      <c r="E36" s="3482" t="s">
        <v>3449</v>
      </c>
      <c r="F36" s="3483" t="s">
        <v>21</v>
      </c>
    </row>
    <row r="37" spans="1:6" s="3481" customFormat="1" ht="14.25" customHeight="1">
      <c r="A37" s="3483">
        <v>35</v>
      </c>
      <c r="B37" s="3483">
        <v>4</v>
      </c>
      <c r="C37" s="3479">
        <v>416</v>
      </c>
      <c r="D37" s="3483">
        <v>237.89</v>
      </c>
      <c r="E37" s="3482" t="s">
        <v>3449</v>
      </c>
      <c r="F37" s="3483" t="s">
        <v>21</v>
      </c>
    </row>
    <row r="38" spans="1:6" s="3481" customFormat="1" ht="14.25" customHeight="1">
      <c r="A38" s="3483">
        <v>36</v>
      </c>
      <c r="B38" s="3483">
        <v>4</v>
      </c>
      <c r="C38" s="3479">
        <v>417</v>
      </c>
      <c r="D38" s="3483">
        <v>82.61</v>
      </c>
      <c r="E38" s="3482" t="s">
        <v>3449</v>
      </c>
      <c r="F38" s="3483" t="s">
        <v>21</v>
      </c>
    </row>
    <row r="39" spans="1:6" s="3481" customFormat="1" ht="14.25" customHeight="1">
      <c r="A39" s="3483">
        <v>37</v>
      </c>
      <c r="B39" s="3483">
        <v>4</v>
      </c>
      <c r="C39" s="3479" t="s">
        <v>3458</v>
      </c>
      <c r="D39" s="3483">
        <v>81.48</v>
      </c>
      <c r="E39" s="3482" t="s">
        <v>3449</v>
      </c>
      <c r="F39" s="3483" t="s">
        <v>21</v>
      </c>
    </row>
    <row r="40" spans="1:6" s="3481" customFormat="1" ht="14.25" customHeight="1">
      <c r="A40" s="3478">
        <v>38</v>
      </c>
      <c r="B40" s="3478">
        <v>4</v>
      </c>
      <c r="C40" s="3479" t="s">
        <v>3459</v>
      </c>
      <c r="D40" s="3478">
        <v>77.56</v>
      </c>
      <c r="E40" s="3482" t="s">
        <v>3449</v>
      </c>
      <c r="F40" s="3483" t="s">
        <v>21</v>
      </c>
    </row>
    <row r="41" spans="1:6" s="3481" customFormat="1" ht="14.25" customHeight="1">
      <c r="A41" s="3483">
        <v>39</v>
      </c>
      <c r="B41" s="3483">
        <v>4</v>
      </c>
      <c r="C41" s="3479">
        <v>420</v>
      </c>
      <c r="D41" s="3483">
        <v>72.099999999999994</v>
      </c>
      <c r="E41" s="3482" t="s">
        <v>2814</v>
      </c>
      <c r="F41" s="3483" t="s">
        <v>21</v>
      </c>
    </row>
    <row r="42" spans="1:6" s="3481" customFormat="1" ht="14.25" customHeight="1">
      <c r="A42" s="3483">
        <v>40</v>
      </c>
      <c r="B42" s="3483">
        <v>4</v>
      </c>
      <c r="C42" s="3479">
        <v>421</v>
      </c>
      <c r="D42" s="3483">
        <v>124.7</v>
      </c>
      <c r="E42" s="3482" t="s">
        <v>2814</v>
      </c>
      <c r="F42" s="3483" t="s">
        <v>21</v>
      </c>
    </row>
    <row r="43" spans="1:6" s="3481" customFormat="1" ht="14.25" customHeight="1">
      <c r="A43" s="3483">
        <v>41</v>
      </c>
      <c r="B43" s="3483">
        <v>5</v>
      </c>
      <c r="C43" s="3479" t="s">
        <v>3460</v>
      </c>
      <c r="D43" s="3483">
        <v>533.66</v>
      </c>
      <c r="E43" s="3482" t="s">
        <v>2814</v>
      </c>
      <c r="F43" s="3483" t="s">
        <v>21</v>
      </c>
    </row>
    <row r="44" spans="1:6" s="3481" customFormat="1" ht="14.25" customHeight="1">
      <c r="A44" s="3483">
        <v>42</v>
      </c>
      <c r="B44" s="3483">
        <v>5</v>
      </c>
      <c r="C44" s="3479">
        <v>503</v>
      </c>
      <c r="D44" s="3483">
        <v>199.51</v>
      </c>
      <c r="E44" s="3482" t="s">
        <v>2814</v>
      </c>
      <c r="F44" s="3483" t="s">
        <v>21</v>
      </c>
    </row>
    <row r="45" spans="1:6" s="3481" customFormat="1" ht="14.25" customHeight="1">
      <c r="A45" s="3483">
        <v>43</v>
      </c>
      <c r="B45" s="3483">
        <v>5</v>
      </c>
      <c r="C45" s="3479">
        <v>505</v>
      </c>
      <c r="D45" s="3483">
        <v>206.34</v>
      </c>
      <c r="E45" s="3482" t="s">
        <v>2814</v>
      </c>
      <c r="F45" s="3483" t="s">
        <v>21</v>
      </c>
    </row>
    <row r="46" spans="1:6" s="3481" customFormat="1" ht="14.25" customHeight="1">
      <c r="A46" s="3483">
        <v>44</v>
      </c>
      <c r="B46" s="3483">
        <v>5</v>
      </c>
      <c r="C46" s="3479">
        <v>506</v>
      </c>
      <c r="D46" s="3483">
        <v>256</v>
      </c>
      <c r="E46" s="3482" t="s">
        <v>2814</v>
      </c>
      <c r="F46" s="3483" t="s">
        <v>21</v>
      </c>
    </row>
    <row r="47" spans="1:6" s="3481" customFormat="1" ht="14.25" customHeight="1">
      <c r="A47" s="3483">
        <v>45</v>
      </c>
      <c r="B47" s="3483">
        <v>5</v>
      </c>
      <c r="C47" s="3479">
        <v>507</v>
      </c>
      <c r="D47" s="3483">
        <v>385.25</v>
      </c>
      <c r="E47" s="3482" t="s">
        <v>2814</v>
      </c>
      <c r="F47" s="3483" t="s">
        <v>21</v>
      </c>
    </row>
    <row r="48" spans="1:6" s="3481" customFormat="1" ht="14.25" customHeight="1">
      <c r="A48" s="3483">
        <v>46</v>
      </c>
      <c r="B48" s="3483">
        <v>5</v>
      </c>
      <c r="C48" s="3479" t="s">
        <v>3461</v>
      </c>
      <c r="D48" s="3483">
        <v>718.68</v>
      </c>
      <c r="E48" s="3482" t="s">
        <v>2814</v>
      </c>
      <c r="F48" s="3483" t="s">
        <v>21</v>
      </c>
    </row>
    <row r="49" spans="1:6" s="3481" customFormat="1" ht="14.25" customHeight="1">
      <c r="A49" s="3483">
        <v>47</v>
      </c>
      <c r="B49" s="3483">
        <v>5</v>
      </c>
      <c r="C49" s="3479">
        <v>510</v>
      </c>
      <c r="D49" s="3483">
        <v>352.1</v>
      </c>
      <c r="E49" s="3482" t="s">
        <v>2814</v>
      </c>
      <c r="F49" s="3483" t="s">
        <v>21</v>
      </c>
    </row>
    <row r="50" spans="1:6" s="3481" customFormat="1" ht="14.25" customHeight="1">
      <c r="A50" s="3483">
        <v>48</v>
      </c>
      <c r="B50" s="3483">
        <v>5</v>
      </c>
      <c r="C50" s="3479">
        <v>511</v>
      </c>
      <c r="D50" s="3483">
        <v>402.9</v>
      </c>
      <c r="E50" s="3482" t="s">
        <v>2814</v>
      </c>
      <c r="F50" s="3483" t="s">
        <v>21</v>
      </c>
    </row>
    <row r="51" spans="1:6" s="3481" customFormat="1" ht="14.25" customHeight="1">
      <c r="A51" s="3483">
        <v>49</v>
      </c>
      <c r="B51" s="3483">
        <v>5</v>
      </c>
      <c r="C51" s="3479">
        <v>512</v>
      </c>
      <c r="D51" s="3483">
        <v>214.39</v>
      </c>
      <c r="E51" s="3482" t="s">
        <v>2814</v>
      </c>
      <c r="F51" s="3483" t="s">
        <v>21</v>
      </c>
    </row>
    <row r="52" spans="1:6" s="3481" customFormat="1" ht="14.25" customHeight="1">
      <c r="A52" s="3483">
        <v>50</v>
      </c>
      <c r="B52" s="3483">
        <v>5</v>
      </c>
      <c r="C52" s="3479">
        <v>515</v>
      </c>
      <c r="D52" s="3483">
        <v>178.69</v>
      </c>
      <c r="E52" s="3482" t="s">
        <v>2814</v>
      </c>
      <c r="F52" s="3483" t="s">
        <v>21</v>
      </c>
    </row>
    <row r="53" spans="1:6" s="3481" customFormat="1" ht="14.25" customHeight="1">
      <c r="A53" s="3483">
        <v>51</v>
      </c>
      <c r="B53" s="3483">
        <v>5</v>
      </c>
      <c r="C53" s="3479">
        <v>516</v>
      </c>
      <c r="D53" s="3483">
        <v>237.89</v>
      </c>
      <c r="E53" s="3482" t="s">
        <v>2814</v>
      </c>
      <c r="F53" s="3483" t="s">
        <v>21</v>
      </c>
    </row>
    <row r="54" spans="1:6" s="3481" customFormat="1" ht="14.25" customHeight="1">
      <c r="A54" s="3483">
        <v>52</v>
      </c>
      <c r="B54" s="3483">
        <v>5</v>
      </c>
      <c r="C54" s="3479">
        <v>517</v>
      </c>
      <c r="D54" s="3483">
        <v>82.61</v>
      </c>
      <c r="E54" s="3482" t="s">
        <v>2814</v>
      </c>
      <c r="F54" s="3483" t="s">
        <v>21</v>
      </c>
    </row>
    <row r="55" spans="1:6" s="3481" customFormat="1" ht="14.25" customHeight="1">
      <c r="A55" s="3483">
        <v>53</v>
      </c>
      <c r="B55" s="3483">
        <v>5</v>
      </c>
      <c r="C55" s="3479">
        <v>518</v>
      </c>
      <c r="D55" s="3483">
        <v>81.48</v>
      </c>
      <c r="E55" s="3482" t="s">
        <v>2814</v>
      </c>
      <c r="F55" s="3483" t="s">
        <v>21</v>
      </c>
    </row>
    <row r="56" spans="1:6" s="3481" customFormat="1" ht="14.25" customHeight="1">
      <c r="A56" s="3483">
        <v>54</v>
      </c>
      <c r="B56" s="3483">
        <v>5</v>
      </c>
      <c r="C56" s="3479">
        <v>519</v>
      </c>
      <c r="D56" s="3483">
        <v>77.56</v>
      </c>
      <c r="E56" s="3482" t="s">
        <v>2814</v>
      </c>
      <c r="F56" s="3483" t="s">
        <v>21</v>
      </c>
    </row>
    <row r="57" spans="1:6" s="3481" customFormat="1" ht="14.25" customHeight="1">
      <c r="A57" s="3483">
        <v>55</v>
      </c>
      <c r="B57" s="3483">
        <v>5</v>
      </c>
      <c r="C57" s="3479">
        <v>520</v>
      </c>
      <c r="D57" s="3483">
        <v>72.099999999999994</v>
      </c>
      <c r="E57" s="3482" t="s">
        <v>2814</v>
      </c>
      <c r="F57" s="3483" t="s">
        <v>21</v>
      </c>
    </row>
    <row r="58" spans="1:6" s="3481" customFormat="1" ht="14.25" customHeight="1">
      <c r="A58" s="3483">
        <v>56</v>
      </c>
      <c r="B58" s="3483">
        <v>5</v>
      </c>
      <c r="C58" s="3479">
        <v>521</v>
      </c>
      <c r="D58" s="3483">
        <v>124.7</v>
      </c>
      <c r="E58" s="3482" t="s">
        <v>2814</v>
      </c>
      <c r="F58" s="3483" t="s">
        <v>21</v>
      </c>
    </row>
    <row r="59" spans="1:6" s="3481" customFormat="1" ht="14.25" customHeight="1">
      <c r="A59" s="3483">
        <v>57</v>
      </c>
      <c r="B59" s="3483">
        <v>6</v>
      </c>
      <c r="C59" s="3479">
        <v>601</v>
      </c>
      <c r="D59" s="3483">
        <v>280.07</v>
      </c>
      <c r="E59" s="3482" t="s">
        <v>2814</v>
      </c>
      <c r="F59" s="3483" t="s">
        <v>21</v>
      </c>
    </row>
    <row r="60" spans="1:6" s="3481" customFormat="1" ht="14.25" customHeight="1">
      <c r="A60" s="3483">
        <v>58</v>
      </c>
      <c r="B60" s="3483">
        <v>6</v>
      </c>
      <c r="C60" s="3479">
        <v>602</v>
      </c>
      <c r="D60" s="3483">
        <v>244.71</v>
      </c>
      <c r="E60" s="3482" t="s">
        <v>2814</v>
      </c>
      <c r="F60" s="3483" t="s">
        <v>21</v>
      </c>
    </row>
    <row r="61" spans="1:6" s="3481" customFormat="1" ht="14.25" customHeight="1">
      <c r="A61" s="3483">
        <v>59</v>
      </c>
      <c r="B61" s="3483">
        <v>6</v>
      </c>
      <c r="C61" s="3479" t="s">
        <v>3462</v>
      </c>
      <c r="D61" s="3483">
        <v>405.84</v>
      </c>
      <c r="E61" s="3482" t="s">
        <v>2814</v>
      </c>
      <c r="F61" s="3483" t="s">
        <v>21</v>
      </c>
    </row>
    <row r="62" spans="1:6" s="3481" customFormat="1" ht="14.25" customHeight="1">
      <c r="A62" s="3483">
        <v>60</v>
      </c>
      <c r="B62" s="3483">
        <v>6</v>
      </c>
      <c r="C62" s="3479">
        <v>606</v>
      </c>
      <c r="D62" s="3483">
        <v>256</v>
      </c>
      <c r="E62" s="3482" t="s">
        <v>2814</v>
      </c>
      <c r="F62" s="3483" t="s">
        <v>21</v>
      </c>
    </row>
    <row r="63" spans="1:6" s="3481" customFormat="1" ht="14.25" customHeight="1">
      <c r="A63" s="3483">
        <v>61</v>
      </c>
      <c r="B63" s="3483">
        <v>6</v>
      </c>
      <c r="C63" s="3479">
        <v>610</v>
      </c>
      <c r="D63" s="3483">
        <v>352.1</v>
      </c>
      <c r="E63" s="3482" t="s">
        <v>2814</v>
      </c>
      <c r="F63" s="3483" t="s">
        <v>21</v>
      </c>
    </row>
    <row r="64" spans="1:6" s="3481" customFormat="1" ht="14.25" customHeight="1">
      <c r="A64" s="3483">
        <v>62</v>
      </c>
      <c r="B64" s="3483">
        <v>6</v>
      </c>
      <c r="C64" s="3479">
        <v>611</v>
      </c>
      <c r="D64" s="3483">
        <v>402.9</v>
      </c>
      <c r="E64" s="3482" t="s">
        <v>2814</v>
      </c>
      <c r="F64" s="3483" t="s">
        <v>21</v>
      </c>
    </row>
    <row r="65" spans="1:6" s="3481" customFormat="1" ht="14.25" customHeight="1">
      <c r="A65" s="3483">
        <v>63</v>
      </c>
      <c r="B65" s="3483">
        <v>6</v>
      </c>
      <c r="C65" s="3479">
        <v>615</v>
      </c>
      <c r="D65" s="3483">
        <v>178.69</v>
      </c>
      <c r="E65" s="3482" t="s">
        <v>2814</v>
      </c>
      <c r="F65" s="3483" t="s">
        <v>21</v>
      </c>
    </row>
    <row r="66" spans="1:6" s="3481" customFormat="1" ht="14.25" customHeight="1">
      <c r="A66" s="3483">
        <v>64</v>
      </c>
      <c r="B66" s="3483">
        <v>6</v>
      </c>
      <c r="C66" s="3479">
        <v>618</v>
      </c>
      <c r="D66" s="3483">
        <v>81.48</v>
      </c>
      <c r="E66" s="3482" t="s">
        <v>2814</v>
      </c>
      <c r="F66" s="3483" t="s">
        <v>21</v>
      </c>
    </row>
    <row r="67" spans="1:6" s="3481" customFormat="1" ht="14.25" customHeight="1">
      <c r="A67" s="3483">
        <v>65</v>
      </c>
      <c r="B67" s="3483">
        <v>7</v>
      </c>
      <c r="C67" s="3479">
        <v>701</v>
      </c>
      <c r="D67" s="3483">
        <v>278.58999999999997</v>
      </c>
      <c r="E67" s="3482" t="s">
        <v>2814</v>
      </c>
      <c r="F67" s="3483" t="s">
        <v>21</v>
      </c>
    </row>
    <row r="68" spans="1:6" s="3481" customFormat="1" ht="14.25" customHeight="1">
      <c r="A68" s="3483">
        <v>66</v>
      </c>
      <c r="B68" s="3483">
        <v>7</v>
      </c>
      <c r="C68" s="3479">
        <v>702</v>
      </c>
      <c r="D68" s="3483">
        <v>244.81</v>
      </c>
      <c r="E68" s="3482" t="s">
        <v>2814</v>
      </c>
      <c r="F68" s="3483" t="s">
        <v>21</v>
      </c>
    </row>
    <row r="69" spans="1:6" s="3481" customFormat="1" ht="14.25" customHeight="1">
      <c r="A69" s="3483">
        <v>67</v>
      </c>
      <c r="B69" s="3483">
        <v>7</v>
      </c>
      <c r="C69" s="3479">
        <v>703</v>
      </c>
      <c r="D69" s="3483">
        <v>200.36</v>
      </c>
      <c r="E69" s="3482" t="s">
        <v>2814</v>
      </c>
      <c r="F69" s="3483" t="s">
        <v>21</v>
      </c>
    </row>
    <row r="70" spans="1:6" s="3481" customFormat="1" ht="14.25" customHeight="1">
      <c r="A70" s="3483">
        <v>68</v>
      </c>
      <c r="B70" s="3483">
        <v>7</v>
      </c>
      <c r="C70" s="3479">
        <v>705</v>
      </c>
      <c r="D70" s="3483">
        <v>209.53</v>
      </c>
      <c r="E70" s="3482" t="s">
        <v>2814</v>
      </c>
      <c r="F70" s="3483" t="s">
        <v>21</v>
      </c>
    </row>
    <row r="71" spans="1:6" s="3481" customFormat="1" ht="14.25" customHeight="1">
      <c r="A71" s="3483">
        <v>69</v>
      </c>
      <c r="B71" s="3483">
        <v>7</v>
      </c>
      <c r="C71" s="3479">
        <v>706</v>
      </c>
      <c r="D71" s="3483">
        <v>251.14</v>
      </c>
      <c r="E71" s="3482" t="s">
        <v>2814</v>
      </c>
      <c r="F71" s="3483" t="s">
        <v>21</v>
      </c>
    </row>
    <row r="72" spans="1:6" s="3481" customFormat="1" ht="14.25" customHeight="1">
      <c r="A72" s="3483">
        <v>70</v>
      </c>
      <c r="B72" s="3483">
        <v>7</v>
      </c>
      <c r="C72" s="3479">
        <v>707</v>
      </c>
      <c r="D72" s="3483">
        <v>364.68</v>
      </c>
      <c r="E72" s="3482" t="s">
        <v>2814</v>
      </c>
      <c r="F72" s="3483" t="s">
        <v>21</v>
      </c>
    </row>
    <row r="73" spans="1:6" s="3481" customFormat="1" ht="14.25" customHeight="1">
      <c r="A73" s="3483">
        <v>71</v>
      </c>
      <c r="B73" s="3483">
        <v>7</v>
      </c>
      <c r="C73" s="3479">
        <v>708</v>
      </c>
      <c r="D73" s="3483">
        <v>415.21</v>
      </c>
      <c r="E73" s="3482" t="s">
        <v>2814</v>
      </c>
      <c r="F73" s="3483" t="s">
        <v>21</v>
      </c>
    </row>
    <row r="74" spans="1:6" s="3481" customFormat="1" ht="14.25" customHeight="1">
      <c r="A74" s="3483">
        <v>72</v>
      </c>
      <c r="B74" s="3483">
        <v>7</v>
      </c>
      <c r="C74" s="3479">
        <v>709</v>
      </c>
      <c r="D74" s="3483">
        <v>318.07</v>
      </c>
      <c r="E74" s="3482" t="s">
        <v>2814</v>
      </c>
      <c r="F74" s="3483" t="s">
        <v>21</v>
      </c>
    </row>
    <row r="75" spans="1:6" s="3481" customFormat="1" ht="14.25" customHeight="1">
      <c r="A75" s="3483">
        <v>73</v>
      </c>
      <c r="B75" s="3483">
        <v>7</v>
      </c>
      <c r="C75" s="3479">
        <v>710</v>
      </c>
      <c r="D75" s="3483">
        <v>350.42</v>
      </c>
      <c r="E75" s="3482" t="s">
        <v>2814</v>
      </c>
      <c r="F75" s="3483" t="s">
        <v>21</v>
      </c>
    </row>
    <row r="76" spans="1:6" s="3481" customFormat="1" ht="14.25" customHeight="1">
      <c r="A76" s="3483">
        <v>74</v>
      </c>
      <c r="B76" s="3483">
        <v>7</v>
      </c>
      <c r="C76" s="3479">
        <v>711</v>
      </c>
      <c r="D76" s="3483">
        <v>417.39</v>
      </c>
      <c r="E76" s="3482" t="s">
        <v>2814</v>
      </c>
      <c r="F76" s="3483" t="s">
        <v>21</v>
      </c>
    </row>
    <row r="77" spans="1:6" s="3481" customFormat="1" ht="14.25" customHeight="1">
      <c r="A77" s="3483">
        <v>75</v>
      </c>
      <c r="B77" s="3483">
        <v>7</v>
      </c>
      <c r="C77" s="3479">
        <v>712</v>
      </c>
      <c r="D77" s="3483">
        <v>226.58</v>
      </c>
      <c r="E77" s="3482" t="s">
        <v>2814</v>
      </c>
      <c r="F77" s="3483" t="s">
        <v>21</v>
      </c>
    </row>
    <row r="78" spans="1:6" s="3481" customFormat="1" ht="14.25" customHeight="1">
      <c r="A78" s="3483">
        <v>76</v>
      </c>
      <c r="B78" s="3483">
        <v>7</v>
      </c>
      <c r="C78" s="3479">
        <v>715</v>
      </c>
      <c r="D78" s="3483">
        <v>167.96</v>
      </c>
      <c r="E78" s="3482" t="s">
        <v>2814</v>
      </c>
      <c r="F78" s="3483" t="s">
        <v>21</v>
      </c>
    </row>
    <row r="79" spans="1:6" s="3481" customFormat="1" ht="14.25" customHeight="1">
      <c r="A79" s="3483">
        <v>77</v>
      </c>
      <c r="B79" s="3483">
        <v>7</v>
      </c>
      <c r="C79" s="3479" t="s">
        <v>3463</v>
      </c>
      <c r="D79" s="3483">
        <v>247.5</v>
      </c>
      <c r="E79" s="3482" t="s">
        <v>2814</v>
      </c>
      <c r="F79" s="3483" t="s">
        <v>21</v>
      </c>
    </row>
    <row r="80" spans="1:6" s="3481" customFormat="1" ht="14.25" customHeight="1">
      <c r="A80" s="3483">
        <v>78</v>
      </c>
      <c r="B80" s="3483">
        <v>7</v>
      </c>
      <c r="C80" s="3479">
        <v>717</v>
      </c>
      <c r="D80" s="3483">
        <v>81.67</v>
      </c>
      <c r="E80" s="3482" t="s">
        <v>3464</v>
      </c>
      <c r="F80" s="3483" t="s">
        <v>21</v>
      </c>
    </row>
    <row r="81" spans="1:6" s="3481" customFormat="1" ht="14.25" customHeight="1">
      <c r="A81" s="3483">
        <v>79</v>
      </c>
      <c r="B81" s="3483">
        <v>7</v>
      </c>
      <c r="C81" s="3479">
        <v>718</v>
      </c>
      <c r="D81" s="3483">
        <v>81.58</v>
      </c>
      <c r="E81" s="3482" t="s">
        <v>3464</v>
      </c>
      <c r="F81" s="3483" t="s">
        <v>21</v>
      </c>
    </row>
    <row r="82" spans="1:6" s="3481" customFormat="1" ht="14.25" customHeight="1">
      <c r="A82" s="3483">
        <v>80</v>
      </c>
      <c r="B82" s="3483">
        <v>7</v>
      </c>
      <c r="C82" s="3479">
        <v>719</v>
      </c>
      <c r="D82" s="3483">
        <v>75.7</v>
      </c>
      <c r="E82" s="3482" t="s">
        <v>3464</v>
      </c>
      <c r="F82" s="3483" t="s">
        <v>21</v>
      </c>
    </row>
    <row r="83" spans="1:6" s="3481" customFormat="1" ht="14.25" customHeight="1">
      <c r="A83" s="3483">
        <v>81</v>
      </c>
      <c r="B83" s="3483">
        <v>7</v>
      </c>
      <c r="C83" s="3479">
        <v>720</v>
      </c>
      <c r="D83" s="3483">
        <v>74.739999999999995</v>
      </c>
      <c r="E83" s="3482" t="s">
        <v>3464</v>
      </c>
      <c r="F83" s="3483" t="s">
        <v>21</v>
      </c>
    </row>
    <row r="84" spans="1:6" s="3481" customFormat="1" ht="14.25" customHeight="1">
      <c r="A84" s="3483">
        <v>82</v>
      </c>
      <c r="B84" s="3483">
        <v>7</v>
      </c>
      <c r="C84" s="3479">
        <v>721</v>
      </c>
      <c r="D84" s="3483">
        <v>118.97</v>
      </c>
      <c r="E84" s="3482" t="s">
        <v>3464</v>
      </c>
      <c r="F84" s="3483" t="s">
        <v>21</v>
      </c>
    </row>
    <row r="85" spans="1:6" s="3481" customFormat="1" ht="14.25" customHeight="1">
      <c r="A85" s="3829">
        <v>83</v>
      </c>
      <c r="B85" s="3829">
        <v>8</v>
      </c>
      <c r="C85" s="3830">
        <v>801</v>
      </c>
      <c r="D85" s="3829">
        <v>278.58999999999997</v>
      </c>
      <c r="E85" s="3831" t="s">
        <v>3476</v>
      </c>
      <c r="F85" s="3829" t="s">
        <v>21</v>
      </c>
    </row>
    <row r="86" spans="1:6" s="3481" customFormat="1" ht="14.25" customHeight="1">
      <c r="A86" s="3829">
        <v>84</v>
      </c>
      <c r="B86" s="3829">
        <v>8</v>
      </c>
      <c r="C86" s="3830">
        <v>802</v>
      </c>
      <c r="D86" s="3829">
        <v>244.81</v>
      </c>
      <c r="E86" s="3831" t="s">
        <v>3477</v>
      </c>
      <c r="F86" s="3829" t="s">
        <v>21</v>
      </c>
    </row>
    <row r="87" spans="1:6" s="3481" customFormat="1" ht="14.25" customHeight="1">
      <c r="A87" s="3829">
        <v>85</v>
      </c>
      <c r="B87" s="3829">
        <v>8</v>
      </c>
      <c r="C87" s="3830">
        <v>815</v>
      </c>
      <c r="D87" s="3829">
        <v>167.96</v>
      </c>
      <c r="E87" s="3831" t="s">
        <v>2814</v>
      </c>
      <c r="F87" s="3829" t="s">
        <v>21</v>
      </c>
    </row>
    <row r="88" spans="1:6" s="3481" customFormat="1" ht="14.25" customHeight="1">
      <c r="A88" s="3829">
        <v>86</v>
      </c>
      <c r="B88" s="3829">
        <v>8</v>
      </c>
      <c r="C88" s="3830">
        <v>816</v>
      </c>
      <c r="D88" s="3829">
        <v>247.5</v>
      </c>
      <c r="E88" s="3831" t="s">
        <v>2814</v>
      </c>
      <c r="F88" s="3829" t="s">
        <v>21</v>
      </c>
    </row>
    <row r="89" spans="1:6" s="3481" customFormat="1" ht="14.25" customHeight="1">
      <c r="A89" s="3829">
        <v>87</v>
      </c>
      <c r="B89" s="3829">
        <v>8</v>
      </c>
      <c r="C89" s="3830">
        <v>821</v>
      </c>
      <c r="D89" s="3829">
        <v>118.97</v>
      </c>
      <c r="E89" s="3831" t="s">
        <v>2814</v>
      </c>
      <c r="F89" s="3829" t="s">
        <v>21</v>
      </c>
    </row>
    <row r="90" spans="1:6" s="3481" customFormat="1" ht="14.25" customHeight="1">
      <c r="A90" s="3483">
        <v>88</v>
      </c>
      <c r="B90" s="3483">
        <v>9</v>
      </c>
      <c r="C90" s="3479">
        <v>901</v>
      </c>
      <c r="D90" s="3483">
        <v>278.58999999999997</v>
      </c>
      <c r="E90" s="3482" t="s">
        <v>3464</v>
      </c>
      <c r="F90" s="3483" t="s">
        <v>21</v>
      </c>
    </row>
    <row r="91" spans="1:6" s="3481" customFormat="1" ht="14.25" customHeight="1">
      <c r="A91" s="3483">
        <v>89</v>
      </c>
      <c r="B91" s="3483">
        <v>9</v>
      </c>
      <c r="C91" s="3479">
        <v>902</v>
      </c>
      <c r="D91" s="3483">
        <v>244.81</v>
      </c>
      <c r="E91" s="3482" t="s">
        <v>3464</v>
      </c>
      <c r="F91" s="3483" t="s">
        <v>21</v>
      </c>
    </row>
    <row r="92" spans="1:6" s="3481" customFormat="1" ht="14.25" customHeight="1">
      <c r="A92" s="3483">
        <v>90</v>
      </c>
      <c r="B92" s="3483">
        <v>9</v>
      </c>
      <c r="C92" s="3479" t="s">
        <v>3465</v>
      </c>
      <c r="D92" s="3483">
        <v>70.17</v>
      </c>
      <c r="E92" s="3482" t="s">
        <v>3464</v>
      </c>
      <c r="F92" s="3483" t="s">
        <v>21</v>
      </c>
    </row>
    <row r="93" spans="1:6" s="3481" customFormat="1" ht="14.25" customHeight="1">
      <c r="A93" s="3483">
        <v>91</v>
      </c>
      <c r="B93" s="3483">
        <v>9</v>
      </c>
      <c r="C93" s="3479">
        <v>915</v>
      </c>
      <c r="D93" s="3483">
        <v>167.96</v>
      </c>
      <c r="E93" s="3482" t="s">
        <v>3464</v>
      </c>
      <c r="F93" s="3483" t="s">
        <v>21</v>
      </c>
    </row>
    <row r="94" spans="1:6" s="3481" customFormat="1" ht="14.25" customHeight="1">
      <c r="A94" s="3483">
        <v>92</v>
      </c>
      <c r="B94" s="3483">
        <v>9</v>
      </c>
      <c r="C94" s="3479">
        <v>916</v>
      </c>
      <c r="D94" s="3483">
        <v>247.5</v>
      </c>
      <c r="E94" s="3482" t="s">
        <v>3464</v>
      </c>
      <c r="F94" s="3483" t="s">
        <v>21</v>
      </c>
    </row>
    <row r="95" spans="1:6" s="3481" customFormat="1" ht="14.25" customHeight="1">
      <c r="A95" s="3483">
        <v>93</v>
      </c>
      <c r="B95" s="3483">
        <v>9</v>
      </c>
      <c r="C95" s="3479">
        <v>919</v>
      </c>
      <c r="D95" s="3483">
        <v>75.7</v>
      </c>
      <c r="E95" s="3482" t="s">
        <v>3464</v>
      </c>
      <c r="F95" s="3483" t="s">
        <v>21</v>
      </c>
    </row>
    <row r="96" spans="1:6" s="3481" customFormat="1" ht="14.25" customHeight="1">
      <c r="A96" s="3483">
        <v>94</v>
      </c>
      <c r="B96" s="3483">
        <v>9</v>
      </c>
      <c r="C96" s="3479">
        <v>920</v>
      </c>
      <c r="D96" s="3483">
        <v>74.739999999999995</v>
      </c>
      <c r="E96" s="3482" t="s">
        <v>3464</v>
      </c>
      <c r="F96" s="3483" t="s">
        <v>21</v>
      </c>
    </row>
    <row r="97" spans="1:6" s="3481" customFormat="1" ht="14.25" customHeight="1">
      <c r="A97" s="3483">
        <v>95</v>
      </c>
      <c r="B97" s="3483">
        <v>9</v>
      </c>
      <c r="C97" s="3479">
        <v>921</v>
      </c>
      <c r="D97" s="3483">
        <v>118.97</v>
      </c>
      <c r="E97" s="3482" t="s">
        <v>3464</v>
      </c>
      <c r="F97" s="3483" t="s">
        <v>21</v>
      </c>
    </row>
    <row r="98" spans="1:6" s="3481" customFormat="1" ht="14.25" customHeight="1">
      <c r="A98" s="3483">
        <v>96</v>
      </c>
      <c r="B98" s="3483">
        <v>12</v>
      </c>
      <c r="C98" s="3479">
        <v>1201</v>
      </c>
      <c r="D98" s="3483">
        <v>273.42</v>
      </c>
      <c r="E98" s="3482" t="s">
        <v>3464</v>
      </c>
      <c r="F98" s="3483" t="s">
        <v>21</v>
      </c>
    </row>
    <row r="99" spans="1:6" s="3481" customFormat="1" ht="14.25" customHeight="1">
      <c r="A99" s="3483">
        <v>97</v>
      </c>
      <c r="B99" s="3483">
        <v>12</v>
      </c>
      <c r="C99" s="3479">
        <v>1202</v>
      </c>
      <c r="D99" s="3483">
        <v>244.81</v>
      </c>
      <c r="E99" s="3482" t="s">
        <v>3464</v>
      </c>
      <c r="F99" s="3483" t="s">
        <v>21</v>
      </c>
    </row>
    <row r="100" spans="1:6" s="3481" customFormat="1" ht="14.25" customHeight="1">
      <c r="A100" s="3483">
        <v>98</v>
      </c>
      <c r="B100" s="3483">
        <v>12</v>
      </c>
      <c r="C100" s="3479">
        <v>1203</v>
      </c>
      <c r="D100" s="3483">
        <v>200.36</v>
      </c>
      <c r="E100" s="3482" t="s">
        <v>3464</v>
      </c>
      <c r="F100" s="3483" t="s">
        <v>21</v>
      </c>
    </row>
    <row r="101" spans="1:6" s="3481" customFormat="1" ht="14.25" customHeight="1">
      <c r="A101" s="3483">
        <v>99</v>
      </c>
      <c r="B101" s="3483">
        <v>12</v>
      </c>
      <c r="C101" s="3479">
        <v>1205</v>
      </c>
      <c r="D101" s="3483">
        <v>209.45</v>
      </c>
      <c r="E101" s="3482" t="s">
        <v>3464</v>
      </c>
      <c r="F101" s="3483" t="s">
        <v>21</v>
      </c>
    </row>
    <row r="102" spans="1:6" s="3481" customFormat="1" ht="14.25" customHeight="1">
      <c r="A102" s="3483">
        <v>100</v>
      </c>
      <c r="B102" s="3483">
        <v>12</v>
      </c>
      <c r="C102" s="3479">
        <v>1206</v>
      </c>
      <c r="D102" s="3483">
        <v>186.05</v>
      </c>
      <c r="E102" s="3482" t="s">
        <v>3464</v>
      </c>
      <c r="F102" s="3483" t="s">
        <v>21</v>
      </c>
    </row>
    <row r="103" spans="1:6" s="3481" customFormat="1" ht="14.25" customHeight="1">
      <c r="A103" s="3483">
        <v>101</v>
      </c>
      <c r="B103" s="3483">
        <v>12</v>
      </c>
      <c r="C103" s="3479">
        <v>1207</v>
      </c>
      <c r="D103" s="3483">
        <v>263.73</v>
      </c>
      <c r="E103" s="3482" t="s">
        <v>3464</v>
      </c>
      <c r="F103" s="3483" t="s">
        <v>21</v>
      </c>
    </row>
    <row r="104" spans="1:6" s="3481" customFormat="1" ht="14.25" customHeight="1">
      <c r="A104" s="3483">
        <v>102</v>
      </c>
      <c r="B104" s="3483">
        <v>12</v>
      </c>
      <c r="C104" s="3479">
        <v>1208</v>
      </c>
      <c r="D104" s="3483">
        <v>122.33</v>
      </c>
      <c r="E104" s="3482" t="s">
        <v>3464</v>
      </c>
      <c r="F104" s="3483" t="s">
        <v>21</v>
      </c>
    </row>
    <row r="105" spans="1:6" s="3481" customFormat="1" ht="14.25" customHeight="1">
      <c r="A105" s="3483">
        <v>103</v>
      </c>
      <c r="B105" s="3483">
        <v>12</v>
      </c>
      <c r="C105" s="3479">
        <v>1209</v>
      </c>
      <c r="D105" s="3483">
        <v>218.78</v>
      </c>
      <c r="E105" s="3482" t="s">
        <v>3464</v>
      </c>
      <c r="F105" s="3483" t="s">
        <v>21</v>
      </c>
    </row>
    <row r="106" spans="1:6" s="3481" customFormat="1" ht="14.25" customHeight="1">
      <c r="A106" s="3483">
        <v>104</v>
      </c>
      <c r="B106" s="3483">
        <v>12</v>
      </c>
      <c r="C106" s="3479">
        <v>1210</v>
      </c>
      <c r="D106" s="3483">
        <v>228.26</v>
      </c>
      <c r="E106" s="3482" t="s">
        <v>3464</v>
      </c>
      <c r="F106" s="3483" t="s">
        <v>21</v>
      </c>
    </row>
    <row r="107" spans="1:6" s="3481" customFormat="1" ht="14.25" customHeight="1">
      <c r="A107" s="3483">
        <v>105</v>
      </c>
      <c r="B107" s="3483">
        <v>12</v>
      </c>
      <c r="C107" s="3479">
        <v>7211</v>
      </c>
      <c r="D107" s="3483">
        <v>295.23</v>
      </c>
      <c r="E107" s="3482" t="s">
        <v>3464</v>
      </c>
      <c r="F107" s="3483" t="s">
        <v>21</v>
      </c>
    </row>
    <row r="108" spans="1:6" s="3481" customFormat="1" ht="14.25" customHeight="1">
      <c r="A108" s="3483">
        <v>106</v>
      </c>
      <c r="B108" s="3483">
        <v>12</v>
      </c>
      <c r="C108" s="3479">
        <v>1212</v>
      </c>
      <c r="D108" s="3483">
        <v>226.6</v>
      </c>
      <c r="E108" s="3482" t="s">
        <v>3464</v>
      </c>
      <c r="F108" s="3483" t="s">
        <v>21</v>
      </c>
    </row>
    <row r="109" spans="1:6" s="3481" customFormat="1" ht="14.25" customHeight="1">
      <c r="A109" s="3483">
        <v>107</v>
      </c>
      <c r="B109" s="3483">
        <v>12</v>
      </c>
      <c r="C109" s="3479">
        <v>1215</v>
      </c>
      <c r="D109" s="3483">
        <v>167.96</v>
      </c>
      <c r="E109" s="3482" t="s">
        <v>3464</v>
      </c>
      <c r="F109" s="3483" t="s">
        <v>21</v>
      </c>
    </row>
    <row r="110" spans="1:6" s="3481" customFormat="1" ht="14.25" customHeight="1">
      <c r="A110" s="3483">
        <v>108</v>
      </c>
      <c r="B110" s="3483">
        <v>12</v>
      </c>
      <c r="C110" s="3479">
        <v>1216</v>
      </c>
      <c r="D110" s="3483">
        <v>247.5</v>
      </c>
      <c r="E110" s="3482" t="s">
        <v>3464</v>
      </c>
      <c r="F110" s="3483" t="s">
        <v>21</v>
      </c>
    </row>
    <row r="111" spans="1:6" s="3481" customFormat="1" ht="14.25" customHeight="1">
      <c r="A111" s="3483">
        <v>109</v>
      </c>
      <c r="B111" s="3483">
        <v>12</v>
      </c>
      <c r="C111" s="3479">
        <v>1217</v>
      </c>
      <c r="D111" s="3483">
        <v>81.67</v>
      </c>
      <c r="E111" s="3482" t="s">
        <v>3464</v>
      </c>
      <c r="F111" s="3483" t="s">
        <v>21</v>
      </c>
    </row>
    <row r="112" spans="1:6" s="3481" customFormat="1" ht="14.25" customHeight="1">
      <c r="A112" s="3483">
        <v>110</v>
      </c>
      <c r="B112" s="3483">
        <v>12</v>
      </c>
      <c r="C112" s="3479">
        <v>1218</v>
      </c>
      <c r="D112" s="3483">
        <v>81.58</v>
      </c>
      <c r="E112" s="3482" t="s">
        <v>3464</v>
      </c>
      <c r="F112" s="3483" t="s">
        <v>21</v>
      </c>
    </row>
    <row r="113" spans="1:6" s="3481" customFormat="1" ht="14.25" customHeight="1">
      <c r="A113" s="3483">
        <v>111</v>
      </c>
      <c r="B113" s="3483">
        <v>12</v>
      </c>
      <c r="C113" s="3479">
        <v>1219</v>
      </c>
      <c r="D113" s="3483">
        <v>75.7</v>
      </c>
      <c r="E113" s="3482" t="s">
        <v>3464</v>
      </c>
      <c r="F113" s="3483" t="s">
        <v>21</v>
      </c>
    </row>
    <row r="114" spans="1:6" s="3481" customFormat="1" ht="14.25" customHeight="1">
      <c r="A114" s="3483">
        <v>112</v>
      </c>
      <c r="B114" s="3483">
        <v>12</v>
      </c>
      <c r="C114" s="3479">
        <v>1220</v>
      </c>
      <c r="D114" s="3483">
        <v>74.739999999999995</v>
      </c>
      <c r="E114" s="3482" t="s">
        <v>3464</v>
      </c>
      <c r="F114" s="3483" t="s">
        <v>21</v>
      </c>
    </row>
    <row r="115" spans="1:6" s="3481" customFormat="1" ht="14.25" customHeight="1">
      <c r="A115" s="3483">
        <v>113</v>
      </c>
      <c r="B115" s="3483">
        <v>12</v>
      </c>
      <c r="C115" s="3479">
        <v>1221</v>
      </c>
      <c r="D115" s="3483">
        <v>118.97</v>
      </c>
      <c r="E115" s="3482" t="s">
        <v>3464</v>
      </c>
      <c r="F115" s="3483" t="s">
        <v>21</v>
      </c>
    </row>
    <row r="116" spans="1:6" s="3481" customFormat="1" ht="14.25" customHeight="1">
      <c r="A116" s="3483">
        <v>114</v>
      </c>
      <c r="B116" s="3483">
        <v>13</v>
      </c>
      <c r="C116" s="3479">
        <v>1301</v>
      </c>
      <c r="D116" s="3483">
        <v>273.42</v>
      </c>
      <c r="E116" s="3482" t="s">
        <v>3464</v>
      </c>
      <c r="F116" s="3483" t="s">
        <v>21</v>
      </c>
    </row>
    <row r="117" spans="1:6" s="3481" customFormat="1" ht="14.25" customHeight="1">
      <c r="A117" s="3483">
        <v>115</v>
      </c>
      <c r="B117" s="3483">
        <v>13</v>
      </c>
      <c r="C117" s="3479">
        <v>1302</v>
      </c>
      <c r="D117" s="3483">
        <v>244.81</v>
      </c>
      <c r="E117" s="3482" t="s">
        <v>3464</v>
      </c>
      <c r="F117" s="3483" t="s">
        <v>21</v>
      </c>
    </row>
    <row r="118" spans="1:6" s="3481" customFormat="1" ht="14.25" customHeight="1">
      <c r="A118" s="3483">
        <v>116</v>
      </c>
      <c r="B118" s="3483">
        <v>13</v>
      </c>
      <c r="C118" s="3479">
        <v>1303</v>
      </c>
      <c r="D118" s="3483">
        <v>203.27</v>
      </c>
      <c r="E118" s="3482" t="s">
        <v>3464</v>
      </c>
      <c r="F118" s="3483" t="s">
        <v>21</v>
      </c>
    </row>
    <row r="119" spans="1:6" s="3481" customFormat="1" ht="14.25" customHeight="1">
      <c r="A119" s="3483">
        <v>117</v>
      </c>
      <c r="B119" s="3483">
        <v>13</v>
      </c>
      <c r="C119" s="3479">
        <v>1305</v>
      </c>
      <c r="D119" s="3483">
        <v>138.47</v>
      </c>
      <c r="E119" s="3482" t="s">
        <v>2814</v>
      </c>
      <c r="F119" s="3483" t="s">
        <v>21</v>
      </c>
    </row>
    <row r="120" spans="1:6" s="3481" customFormat="1" ht="14.25" customHeight="1">
      <c r="A120" s="3483">
        <v>118</v>
      </c>
      <c r="B120" s="3483">
        <v>13</v>
      </c>
      <c r="C120" s="3479">
        <v>1306</v>
      </c>
      <c r="D120" s="3483">
        <v>186.05</v>
      </c>
      <c r="E120" s="3482" t="s">
        <v>2814</v>
      </c>
      <c r="F120" s="3483" t="s">
        <v>21</v>
      </c>
    </row>
    <row r="121" spans="1:6" s="3481" customFormat="1" ht="14.25" customHeight="1">
      <c r="A121" s="3483">
        <v>119</v>
      </c>
      <c r="B121" s="3483">
        <v>13</v>
      </c>
      <c r="C121" s="3479">
        <v>1307</v>
      </c>
      <c r="D121" s="3483">
        <v>263.73</v>
      </c>
      <c r="E121" s="3482" t="s">
        <v>2814</v>
      </c>
      <c r="F121" s="3483" t="s">
        <v>21</v>
      </c>
    </row>
    <row r="122" spans="1:6" s="3481" customFormat="1" ht="14.25" customHeight="1">
      <c r="A122" s="3483">
        <v>120</v>
      </c>
      <c r="B122" s="3483">
        <v>13</v>
      </c>
      <c r="C122" s="3479">
        <v>1308</v>
      </c>
      <c r="D122" s="3483">
        <v>122.33</v>
      </c>
      <c r="E122" s="3482" t="s">
        <v>2814</v>
      </c>
      <c r="F122" s="3483" t="s">
        <v>21</v>
      </c>
    </row>
    <row r="123" spans="1:6" s="3481" customFormat="1" ht="14.25" customHeight="1">
      <c r="A123" s="3483">
        <v>121</v>
      </c>
      <c r="B123" s="3483">
        <v>13</v>
      </c>
      <c r="C123" s="3479">
        <v>1309</v>
      </c>
      <c r="D123" s="3483">
        <v>218.78</v>
      </c>
      <c r="E123" s="3482" t="s">
        <v>2814</v>
      </c>
      <c r="F123" s="3483" t="s">
        <v>21</v>
      </c>
    </row>
    <row r="124" spans="1:6" s="3481" customFormat="1" ht="14.25" customHeight="1">
      <c r="A124" s="3483">
        <v>122</v>
      </c>
      <c r="B124" s="3483">
        <v>13</v>
      </c>
      <c r="C124" s="3479">
        <v>1310</v>
      </c>
      <c r="D124" s="3483">
        <v>228.26</v>
      </c>
      <c r="E124" s="3482" t="s">
        <v>2814</v>
      </c>
      <c r="F124" s="3483" t="s">
        <v>21</v>
      </c>
    </row>
    <row r="125" spans="1:6" s="3481" customFormat="1" ht="14.25" customHeight="1">
      <c r="A125" s="3483">
        <v>123</v>
      </c>
      <c r="B125" s="3483">
        <v>13</v>
      </c>
      <c r="C125" s="3479">
        <v>1311</v>
      </c>
      <c r="D125" s="3483">
        <v>295.23</v>
      </c>
      <c r="E125" s="3482" t="s">
        <v>2814</v>
      </c>
      <c r="F125" s="3483" t="s">
        <v>21</v>
      </c>
    </row>
    <row r="126" spans="1:6" s="3481" customFormat="1" ht="14.25" customHeight="1">
      <c r="A126" s="3483">
        <v>124</v>
      </c>
      <c r="B126" s="3483">
        <v>13</v>
      </c>
      <c r="C126" s="3479" t="s">
        <v>3466</v>
      </c>
      <c r="D126" s="3483">
        <v>143.78</v>
      </c>
      <c r="E126" s="3482" t="s">
        <v>2814</v>
      </c>
      <c r="F126" s="3483" t="s">
        <v>21</v>
      </c>
    </row>
    <row r="127" spans="1:6" s="3481" customFormat="1" ht="14.25" customHeight="1">
      <c r="A127" s="3483">
        <v>125</v>
      </c>
      <c r="B127" s="3483">
        <v>13</v>
      </c>
      <c r="C127" s="3479" t="s">
        <v>3467</v>
      </c>
      <c r="D127" s="3483">
        <v>82.82</v>
      </c>
      <c r="E127" s="3482" t="s">
        <v>2814</v>
      </c>
      <c r="F127" s="3483" t="s">
        <v>21</v>
      </c>
    </row>
    <row r="128" spans="1:6" s="3481" customFormat="1" ht="14.25" customHeight="1">
      <c r="A128" s="3483">
        <v>126</v>
      </c>
      <c r="B128" s="3483">
        <v>13</v>
      </c>
      <c r="C128" s="3479">
        <v>1315</v>
      </c>
      <c r="D128" s="3483">
        <v>167.96</v>
      </c>
      <c r="E128" s="3482" t="s">
        <v>2814</v>
      </c>
      <c r="F128" s="3483" t="s">
        <v>21</v>
      </c>
    </row>
    <row r="129" spans="1:6" s="3481" customFormat="1" ht="14.25" customHeight="1">
      <c r="A129" s="3483">
        <v>127</v>
      </c>
      <c r="B129" s="3483">
        <v>13</v>
      </c>
      <c r="C129" s="3479">
        <v>1316</v>
      </c>
      <c r="D129" s="3483">
        <v>247.5</v>
      </c>
      <c r="E129" s="3482" t="s">
        <v>2814</v>
      </c>
      <c r="F129" s="3483" t="s">
        <v>21</v>
      </c>
    </row>
    <row r="130" spans="1:6" s="3481" customFormat="1" ht="14.25" customHeight="1">
      <c r="A130" s="3483">
        <v>128</v>
      </c>
      <c r="B130" s="3483">
        <v>13</v>
      </c>
      <c r="C130" s="3479">
        <v>1317</v>
      </c>
      <c r="D130" s="3483">
        <v>81.67</v>
      </c>
      <c r="E130" s="3482" t="s">
        <v>2814</v>
      </c>
      <c r="F130" s="3483" t="s">
        <v>21</v>
      </c>
    </row>
    <row r="131" spans="1:6" s="3481" customFormat="1" ht="14.25" customHeight="1">
      <c r="A131" s="3483">
        <v>129</v>
      </c>
      <c r="B131" s="3483">
        <v>13</v>
      </c>
      <c r="C131" s="3479">
        <v>1318</v>
      </c>
      <c r="D131" s="3483">
        <v>81.58</v>
      </c>
      <c r="E131" s="3482" t="s">
        <v>2814</v>
      </c>
      <c r="F131" s="3483" t="s">
        <v>21</v>
      </c>
    </row>
    <row r="132" spans="1:6" s="3481" customFormat="1" ht="14.25" customHeight="1">
      <c r="A132" s="3483">
        <v>130</v>
      </c>
      <c r="B132" s="3483">
        <v>13</v>
      </c>
      <c r="C132" s="3479">
        <v>1319</v>
      </c>
      <c r="D132" s="3483">
        <v>75.7</v>
      </c>
      <c r="E132" s="3482" t="s">
        <v>2814</v>
      </c>
      <c r="F132" s="3483" t="s">
        <v>21</v>
      </c>
    </row>
    <row r="133" spans="1:6" s="3481" customFormat="1" ht="14.25" customHeight="1">
      <c r="A133" s="3483">
        <v>131</v>
      </c>
      <c r="B133" s="3483">
        <v>13</v>
      </c>
      <c r="C133" s="3479">
        <v>1320</v>
      </c>
      <c r="D133" s="3483">
        <v>74.739999999999995</v>
      </c>
      <c r="E133" s="3482" t="s">
        <v>2814</v>
      </c>
      <c r="F133" s="3483" t="s">
        <v>21</v>
      </c>
    </row>
    <row r="134" spans="1:6" s="3481" customFormat="1" ht="14.25" customHeight="1">
      <c r="A134" s="3483">
        <v>132</v>
      </c>
      <c r="B134" s="3483">
        <v>13</v>
      </c>
      <c r="C134" s="3479">
        <v>1321</v>
      </c>
      <c r="D134" s="3483">
        <v>118.97</v>
      </c>
      <c r="E134" s="3482" t="s">
        <v>2814</v>
      </c>
      <c r="F134" s="3483" t="s">
        <v>21</v>
      </c>
    </row>
    <row r="135" spans="1:6" s="3481" customFormat="1" ht="14.25" customHeight="1">
      <c r="A135" s="3483">
        <v>133</v>
      </c>
      <c r="B135" s="3483">
        <v>14</v>
      </c>
      <c r="C135" s="3479">
        <v>1401</v>
      </c>
      <c r="D135" s="3483">
        <v>273.42</v>
      </c>
      <c r="E135" s="3482" t="s">
        <v>2814</v>
      </c>
      <c r="F135" s="3483" t="s">
        <v>21</v>
      </c>
    </row>
    <row r="136" spans="1:6" s="3481" customFormat="1" ht="14.25" customHeight="1">
      <c r="A136" s="3483">
        <v>134</v>
      </c>
      <c r="B136" s="3483">
        <v>14</v>
      </c>
      <c r="C136" s="3479">
        <v>1402</v>
      </c>
      <c r="D136" s="3483">
        <v>244.81</v>
      </c>
      <c r="E136" s="3482" t="s">
        <v>2814</v>
      </c>
      <c r="F136" s="3483" t="s">
        <v>21</v>
      </c>
    </row>
    <row r="137" spans="1:6" s="3481" customFormat="1" ht="14.25" customHeight="1">
      <c r="A137" s="3483">
        <v>135</v>
      </c>
      <c r="B137" s="3483">
        <v>14</v>
      </c>
      <c r="C137" s="3479">
        <v>1403</v>
      </c>
      <c r="D137" s="3483">
        <v>203.27</v>
      </c>
      <c r="E137" s="3482" t="s">
        <v>2814</v>
      </c>
      <c r="F137" s="3483" t="s">
        <v>21</v>
      </c>
    </row>
    <row r="138" spans="1:6" s="3481" customFormat="1" ht="14.25" customHeight="1">
      <c r="A138" s="3483">
        <v>136</v>
      </c>
      <c r="B138" s="3483">
        <v>14</v>
      </c>
      <c r="C138" s="3479">
        <v>1405</v>
      </c>
      <c r="D138" s="3483">
        <v>138.47</v>
      </c>
      <c r="E138" s="3482" t="s">
        <v>2814</v>
      </c>
      <c r="F138" s="3483" t="s">
        <v>21</v>
      </c>
    </row>
    <row r="139" spans="1:6" s="3481" customFormat="1" ht="14.25" customHeight="1">
      <c r="A139" s="3483">
        <v>137</v>
      </c>
      <c r="B139" s="3483">
        <v>14</v>
      </c>
      <c r="C139" s="3479">
        <v>1406</v>
      </c>
      <c r="D139" s="3483">
        <v>186.05</v>
      </c>
      <c r="E139" s="3482" t="s">
        <v>2814</v>
      </c>
      <c r="F139" s="3483" t="s">
        <v>21</v>
      </c>
    </row>
    <row r="140" spans="1:6" s="3481" customFormat="1" ht="14.25" customHeight="1">
      <c r="A140" s="3483">
        <v>138</v>
      </c>
      <c r="B140" s="3483">
        <v>14</v>
      </c>
      <c r="C140" s="3479">
        <v>1407</v>
      </c>
      <c r="D140" s="3483">
        <v>263.73</v>
      </c>
      <c r="E140" s="3482" t="s">
        <v>2814</v>
      </c>
      <c r="F140" s="3483" t="s">
        <v>21</v>
      </c>
    </row>
    <row r="141" spans="1:6" s="3481" customFormat="1" ht="14.25" customHeight="1">
      <c r="A141" s="3483">
        <v>139</v>
      </c>
      <c r="B141" s="3483">
        <v>14</v>
      </c>
      <c r="C141" s="3479">
        <v>1410</v>
      </c>
      <c r="D141" s="3483">
        <v>228.26</v>
      </c>
      <c r="E141" s="3482" t="s">
        <v>2814</v>
      </c>
      <c r="F141" s="3483" t="s">
        <v>21</v>
      </c>
    </row>
    <row r="142" spans="1:6" s="3481" customFormat="1" ht="14.25" customHeight="1">
      <c r="A142" s="3483">
        <v>140</v>
      </c>
      <c r="B142" s="3483">
        <v>14</v>
      </c>
      <c r="C142" s="3479">
        <v>1411</v>
      </c>
      <c r="D142" s="3483">
        <v>295.23</v>
      </c>
      <c r="E142" s="3482" t="s">
        <v>2814</v>
      </c>
      <c r="F142" s="3483" t="s">
        <v>21</v>
      </c>
    </row>
    <row r="143" spans="1:6" s="3481" customFormat="1" ht="14.25" customHeight="1">
      <c r="A143" s="3483">
        <v>141</v>
      </c>
      <c r="B143" s="3483">
        <v>14</v>
      </c>
      <c r="C143" s="3479" t="s">
        <v>3468</v>
      </c>
      <c r="D143" s="3483">
        <v>143.78</v>
      </c>
      <c r="E143" s="3482" t="s">
        <v>2814</v>
      </c>
      <c r="F143" s="3483" t="s">
        <v>21</v>
      </c>
    </row>
    <row r="144" spans="1:6" s="3481" customFormat="1" ht="14.25" customHeight="1">
      <c r="A144" s="3483">
        <v>142</v>
      </c>
      <c r="B144" s="3483">
        <v>14</v>
      </c>
      <c r="C144" s="3479" t="s">
        <v>3469</v>
      </c>
      <c r="D144" s="3483">
        <v>82.82</v>
      </c>
      <c r="E144" s="3482" t="s">
        <v>2814</v>
      </c>
      <c r="F144" s="3483" t="s">
        <v>21</v>
      </c>
    </row>
    <row r="145" spans="1:6" s="3481" customFormat="1" ht="14.25" customHeight="1">
      <c r="A145" s="3483">
        <v>143</v>
      </c>
      <c r="B145" s="3483">
        <v>14</v>
      </c>
      <c r="C145" s="3479">
        <v>1415</v>
      </c>
      <c r="D145" s="3483">
        <v>167.96</v>
      </c>
      <c r="E145" s="3482" t="s">
        <v>2814</v>
      </c>
      <c r="F145" s="3483" t="s">
        <v>21</v>
      </c>
    </row>
    <row r="146" spans="1:6" s="3481" customFormat="1" ht="14.25" customHeight="1">
      <c r="A146" s="3483">
        <v>144</v>
      </c>
      <c r="B146" s="3483">
        <v>14</v>
      </c>
      <c r="C146" s="3479">
        <v>1416</v>
      </c>
      <c r="D146" s="3483">
        <v>247.5</v>
      </c>
      <c r="E146" s="3482" t="s">
        <v>2814</v>
      </c>
      <c r="F146" s="3483" t="s">
        <v>21</v>
      </c>
    </row>
    <row r="147" spans="1:6" s="3481" customFormat="1" ht="14.25" customHeight="1">
      <c r="A147" s="3483">
        <v>145</v>
      </c>
      <c r="B147" s="3483">
        <v>14</v>
      </c>
      <c r="C147" s="3479">
        <v>1417</v>
      </c>
      <c r="D147" s="3483">
        <v>81.67</v>
      </c>
      <c r="E147" s="3482" t="s">
        <v>2814</v>
      </c>
      <c r="F147" s="3483" t="s">
        <v>21</v>
      </c>
    </row>
    <row r="148" spans="1:6" s="3481" customFormat="1" ht="14.25" customHeight="1">
      <c r="A148" s="3483">
        <v>146</v>
      </c>
      <c r="B148" s="3483">
        <v>14</v>
      </c>
      <c r="C148" s="3479">
        <v>1418</v>
      </c>
      <c r="D148" s="3483">
        <v>81.58</v>
      </c>
      <c r="E148" s="3482" t="s">
        <v>2814</v>
      </c>
      <c r="F148" s="3483" t="s">
        <v>21</v>
      </c>
    </row>
    <row r="149" spans="1:6" s="3481" customFormat="1" ht="14.25" customHeight="1">
      <c r="A149" s="3483">
        <v>147</v>
      </c>
      <c r="B149" s="3483">
        <v>14</v>
      </c>
      <c r="C149" s="3479">
        <v>1419</v>
      </c>
      <c r="D149" s="3483">
        <v>75.7</v>
      </c>
      <c r="E149" s="3482" t="s">
        <v>2814</v>
      </c>
      <c r="F149" s="3483" t="s">
        <v>21</v>
      </c>
    </row>
    <row r="150" spans="1:6" s="3481" customFormat="1" ht="14.25" customHeight="1">
      <c r="A150" s="3483">
        <v>148</v>
      </c>
      <c r="B150" s="3483">
        <v>14</v>
      </c>
      <c r="C150" s="3479">
        <v>1420</v>
      </c>
      <c r="D150" s="3483">
        <v>74.739999999999995</v>
      </c>
      <c r="E150" s="3482" t="s">
        <v>2814</v>
      </c>
      <c r="F150" s="3483" t="s">
        <v>21</v>
      </c>
    </row>
    <row r="151" spans="1:6" s="3481" customFormat="1" ht="14.25" customHeight="1">
      <c r="A151" s="3483">
        <v>149</v>
      </c>
      <c r="B151" s="3483">
        <v>14</v>
      </c>
      <c r="C151" s="3479">
        <v>1421</v>
      </c>
      <c r="D151" s="3483">
        <v>118.97</v>
      </c>
      <c r="E151" s="3482" t="s">
        <v>2814</v>
      </c>
      <c r="F151" s="3483" t="s">
        <v>21</v>
      </c>
    </row>
    <row r="152" spans="1:6" s="3481" customFormat="1" ht="14.25" customHeight="1">
      <c r="A152" s="3483">
        <v>150</v>
      </c>
      <c r="B152" s="3483">
        <v>16</v>
      </c>
      <c r="C152" s="3479">
        <v>1607</v>
      </c>
      <c r="D152" s="3483">
        <v>259.07</v>
      </c>
      <c r="E152" s="3482" t="s">
        <v>2814</v>
      </c>
      <c r="F152" s="3483" t="s">
        <v>21</v>
      </c>
    </row>
    <row r="153" spans="1:6" s="3481" customFormat="1" ht="14.25" customHeight="1">
      <c r="A153" s="3483">
        <v>151</v>
      </c>
      <c r="B153" s="3483">
        <v>16</v>
      </c>
      <c r="C153" s="3479">
        <v>1615</v>
      </c>
      <c r="D153" s="3483">
        <v>171.07</v>
      </c>
      <c r="E153" s="3482" t="s">
        <v>2814</v>
      </c>
      <c r="F153" s="3483" t="s">
        <v>21</v>
      </c>
    </row>
    <row r="154" spans="1:6" s="3481" customFormat="1" ht="14.25" customHeight="1">
      <c r="A154" s="3483">
        <v>152</v>
      </c>
      <c r="B154" s="3483">
        <v>20</v>
      </c>
      <c r="C154" s="3479">
        <v>2001</v>
      </c>
      <c r="D154" s="3483">
        <v>161.15</v>
      </c>
      <c r="E154" s="3482" t="s">
        <v>2814</v>
      </c>
      <c r="F154" s="3483" t="s">
        <v>21</v>
      </c>
    </row>
    <row r="155" spans="1:6" s="3481" customFormat="1" ht="14.25" customHeight="1">
      <c r="A155" s="3483">
        <v>153</v>
      </c>
      <c r="B155" s="3483">
        <v>20</v>
      </c>
      <c r="C155" s="3479" t="s">
        <v>3470</v>
      </c>
      <c r="D155" s="3483">
        <v>579.23</v>
      </c>
      <c r="E155" s="3482" t="s">
        <v>2814</v>
      </c>
      <c r="F155" s="3483" t="s">
        <v>21</v>
      </c>
    </row>
    <row r="156" spans="1:6" s="3481" customFormat="1" ht="14.25" customHeight="1">
      <c r="A156" s="3483">
        <v>154</v>
      </c>
      <c r="B156" s="3483">
        <v>20</v>
      </c>
      <c r="C156" s="3479" t="s">
        <v>3471</v>
      </c>
      <c r="D156" s="3483">
        <v>172.15</v>
      </c>
      <c r="E156" s="3482" t="s">
        <v>2814</v>
      </c>
      <c r="F156" s="3483" t="s">
        <v>21</v>
      </c>
    </row>
    <row r="157" spans="1:6" s="3481" customFormat="1" ht="14.25" customHeight="1">
      <c r="A157" s="3478">
        <v>155</v>
      </c>
      <c r="B157" s="3478">
        <v>20</v>
      </c>
      <c r="C157" s="3479" t="s">
        <v>3472</v>
      </c>
      <c r="D157" s="3478">
        <v>279.54000000000002</v>
      </c>
      <c r="E157" s="3482" t="s">
        <v>2814</v>
      </c>
      <c r="F157" s="3483" t="s">
        <v>21</v>
      </c>
    </row>
    <row r="158" spans="1:6" s="3481" customFormat="1" ht="14.25" customHeight="1">
      <c r="A158" s="3483">
        <v>156</v>
      </c>
      <c r="B158" s="3483">
        <v>20</v>
      </c>
      <c r="C158" s="3479">
        <v>2010</v>
      </c>
      <c r="D158" s="3483">
        <v>106.45</v>
      </c>
      <c r="E158" s="3482" t="s">
        <v>3449</v>
      </c>
      <c r="F158" s="3483" t="s">
        <v>3437</v>
      </c>
    </row>
    <row r="159" spans="1:6" s="3481" customFormat="1" ht="14.25" customHeight="1">
      <c r="A159" s="3483">
        <v>157</v>
      </c>
      <c r="B159" s="3483">
        <v>20</v>
      </c>
      <c r="C159" s="3479">
        <v>2011</v>
      </c>
      <c r="D159" s="3483">
        <v>186.58</v>
      </c>
      <c r="E159" s="3482" t="s">
        <v>2814</v>
      </c>
      <c r="F159" s="3483" t="s">
        <v>3437</v>
      </c>
    </row>
    <row r="160" spans="1:6" s="3481" customFormat="1" ht="14.25" customHeight="1">
      <c r="A160" s="3483">
        <v>158</v>
      </c>
      <c r="B160" s="3483">
        <v>20</v>
      </c>
      <c r="C160" s="3479" t="s">
        <v>3473</v>
      </c>
      <c r="D160" s="3483">
        <v>453.39</v>
      </c>
      <c r="E160" s="3482" t="s">
        <v>2814</v>
      </c>
      <c r="F160" s="3483" t="s">
        <v>3437</v>
      </c>
    </row>
    <row r="161" spans="1:6" s="3481" customFormat="1" ht="14.25" customHeight="1">
      <c r="A161" s="3483">
        <v>159</v>
      </c>
      <c r="B161" s="3483">
        <v>20</v>
      </c>
      <c r="C161" s="3479" t="s">
        <v>3474</v>
      </c>
      <c r="D161" s="3483">
        <v>164.38</v>
      </c>
      <c r="E161" s="3482" t="s">
        <v>2814</v>
      </c>
      <c r="F161" s="3483" t="s">
        <v>3437</v>
      </c>
    </row>
    <row r="162" spans="1:6" s="3481" customFormat="1" ht="14.25" customHeight="1">
      <c r="A162" s="3483">
        <v>160</v>
      </c>
      <c r="B162" s="3483">
        <v>20</v>
      </c>
      <c r="C162" s="3479" t="s">
        <v>3475</v>
      </c>
      <c r="D162" s="3483">
        <v>159.08000000000001</v>
      </c>
      <c r="E162" s="3482" t="s">
        <v>2814</v>
      </c>
      <c r="F162" s="3483" t="s">
        <v>3437</v>
      </c>
    </row>
    <row r="163" spans="1:6" s="3481" customFormat="1" ht="15.75" customHeight="1">
      <c r="A163" s="3483">
        <v>161</v>
      </c>
      <c r="B163" s="3483">
        <v>21</v>
      </c>
      <c r="C163" s="3479">
        <v>2101</v>
      </c>
      <c r="D163" s="3483">
        <v>679.6</v>
      </c>
      <c r="E163" s="3482" t="s">
        <v>2814</v>
      </c>
      <c r="F163" s="3483" t="s">
        <v>3437</v>
      </c>
    </row>
    <row r="164" spans="1:6">
      <c r="A164" s="3561" t="s">
        <v>3438</v>
      </c>
      <c r="B164" s="3561"/>
      <c r="C164" s="3561"/>
      <c r="D164" s="3484">
        <f>SUM(D3:D163)</f>
        <v>52566.699999999968</v>
      </c>
      <c r="E164" s="3485" t="s">
        <v>3436</v>
      </c>
      <c r="F164" s="3482" t="s">
        <v>3436</v>
      </c>
    </row>
    <row r="166" spans="1:6">
      <c r="B166" s="3832" t="s">
        <v>3478</v>
      </c>
      <c r="C166" s="3486" t="s">
        <v>3479</v>
      </c>
      <c r="D166" s="3480">
        <v>969.54</v>
      </c>
      <c r="E166" s="3832" t="s">
        <v>2814</v>
      </c>
    </row>
    <row r="172" spans="1:6">
      <c r="D172" s="3487"/>
    </row>
  </sheetData>
  <mergeCells count="1">
    <mergeCell ref="A164:C16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G58" sqref="G5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71" t="s">
        <v>1130</v>
      </c>
      <c r="B2" s="3571"/>
      <c r="C2" s="3571"/>
      <c r="D2" s="796" t="s">
        <v>1106</v>
      </c>
      <c r="E2" s="1639" t="s">
        <v>1107</v>
      </c>
      <c r="F2" s="2658"/>
      <c r="G2" s="2649"/>
      <c r="H2" s="2650"/>
      <c r="I2" s="2324" t="s">
        <v>1131</v>
      </c>
      <c r="J2" s="2658"/>
      <c r="K2" s="2658"/>
      <c r="L2" s="2658"/>
      <c r="M2" s="2658"/>
      <c r="N2" s="2660"/>
      <c r="O2" s="2658"/>
      <c r="P2" s="2658"/>
    </row>
    <row r="3" spans="1:16" ht="15.75" thickBot="1">
      <c r="A3" s="3572" t="s">
        <v>1104</v>
      </c>
      <c r="B3" s="3572"/>
      <c r="C3" s="3572"/>
      <c r="D3" s="43">
        <f>'数据-基础表'!AY6</f>
        <v>0</v>
      </c>
      <c r="E3" s="43">
        <f>'数据-基础表'!AZ5</f>
        <v>52566.7</v>
      </c>
      <c r="F3" s="2658"/>
      <c r="G3" s="1145"/>
      <c r="H3" s="1026" t="s">
        <v>1105</v>
      </c>
      <c r="I3" s="855" t="e">
        <f>ROUND('数据-基础表'!B3/'数据-基础表'!A3,2)</f>
        <v>#DIV/0!</v>
      </c>
      <c r="J3" s="2658"/>
      <c r="K3" s="2658"/>
      <c r="L3" s="2658"/>
      <c r="M3" s="2658"/>
      <c r="N3" s="2660"/>
      <c r="O3" s="2658"/>
      <c r="P3" s="2658"/>
    </row>
    <row r="4" spans="1:16" ht="15">
      <c r="A4" s="3573"/>
      <c r="B4" s="3574"/>
      <c r="C4" s="3575"/>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76" t="s">
        <v>1109</v>
      </c>
      <c r="C5" s="3576"/>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6" t="s">
        <v>1110</v>
      </c>
      <c r="C6" s="3576"/>
      <c r="D6" s="45">
        <f>ROUND($D$3*E6/$E$3,2)</f>
        <v>0</v>
      </c>
      <c r="E6" s="46">
        <f>E3-E5</f>
        <v>52566.7</v>
      </c>
      <c r="F6" s="2658"/>
      <c r="G6" s="2652" t="s">
        <v>1111</v>
      </c>
      <c r="H6" s="1146" t="s">
        <v>1112</v>
      </c>
      <c r="I6" s="2653" t="e">
        <f>ROUND(F31/D31,2)</f>
        <v>#DIV/0!</v>
      </c>
      <c r="J6" s="2658"/>
      <c r="K6" s="2658"/>
      <c r="L6" s="2658"/>
      <c r="M6" s="2658"/>
      <c r="N6" s="2658"/>
      <c r="O6" s="2658"/>
      <c r="P6" s="2658"/>
    </row>
    <row r="7" spans="1:16" ht="15.75" thickBot="1">
      <c r="A7" s="3568"/>
      <c r="B7" s="3569"/>
      <c r="C7" s="3570"/>
      <c r="D7" s="1641" t="s">
        <v>1106</v>
      </c>
      <c r="E7" s="1645" t="s">
        <v>1113</v>
      </c>
      <c r="F7" s="2658"/>
      <c r="G7" s="2654" t="s">
        <v>1114</v>
      </c>
      <c r="H7" s="2655"/>
      <c r="I7" s="2656">
        <v>3.5</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39427.439999999995</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3096.18</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10043.08</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52566.7</v>
      </c>
      <c r="F16" s="2658"/>
      <c r="G16" s="2659"/>
      <c r="H16" s="1648" t="s">
        <v>1134</v>
      </c>
      <c r="I16" s="1649"/>
      <c r="J16" s="1139"/>
      <c r="K16" s="3565" t="s">
        <v>1134</v>
      </c>
      <c r="L16" s="3566"/>
      <c r="M16" s="3566"/>
      <c r="N16" s="3566"/>
      <c r="O16" s="3566"/>
      <c r="P16" s="3567"/>
    </row>
    <row r="17" spans="1:19" ht="15">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3399</v>
      </c>
      <c r="D19" s="45">
        <f>ROUND($D$3*E19/$E$3,2)</f>
        <v>0</v>
      </c>
      <c r="E19" s="53">
        <f t="shared" ref="E19:E26" si="1">SUM(F19:G19)</f>
        <v>42523.619999999995</v>
      </c>
      <c r="F19" s="2793">
        <f>'数据-基础表'!I5</f>
        <v>39427.439999999995</v>
      </c>
      <c r="G19" s="2794">
        <f>'数据-基础表'!K13</f>
        <v>3096.18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42523.619999999995</v>
      </c>
    </row>
    <row r="20" spans="1:19">
      <c r="A20" s="1670"/>
      <c r="B20" s="47" t="s">
        <v>1152</v>
      </c>
      <c r="C20" s="3415" t="s">
        <v>3710</v>
      </c>
      <c r="D20" s="45">
        <f t="shared" ref="D20:D26" si="6">ROUND($D$3*E20/$E$3,2)</f>
        <v>0</v>
      </c>
      <c r="E20" s="53">
        <f t="shared" si="1"/>
        <v>10043.08</v>
      </c>
      <c r="F20" s="2793"/>
      <c r="G20" s="2794">
        <f>'数据-基础表'!M13</f>
        <v>10043.08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10043.08</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52566.7</v>
      </c>
      <c r="F27" s="1140">
        <f>IF(SUM(F19:F26)=E8,SUM(F19:F26),"地上面积有误")</f>
        <v>39427.439999999995</v>
      </c>
      <c r="G27" s="1142">
        <f>SUM(G19:G26)</f>
        <v>13139.26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52566.7</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52566.7</v>
      </c>
      <c r="F31" s="677">
        <f>F27+F30</f>
        <v>39427.439999999995</v>
      </c>
      <c r="G31" s="678">
        <f>G27+G30</f>
        <v>13139.26</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0.48189788634514447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52979</v>
      </c>
      <c r="F6" s="64">
        <f>SUMIF(项目基本情况!C$12:I$12,C6,项目基本情况!C$15:I$15)</f>
        <v>20.9</v>
      </c>
      <c r="G6" s="65">
        <f>IF(ISERROR(ROUND(POWER(1+H6,D6-F6)*(POWER(1+H6,F6)-1)/(POWER(1+H6,D6)-1),3)),0,ROUND(POWER(1+H6,D6-F6)*(POWER(1+H6,F6)-1)/(POWER(1+H6,D6)-1),3))</f>
        <v>0.7</v>
      </c>
      <c r="H6" s="732">
        <v>0.05</v>
      </c>
      <c r="I6" s="732">
        <v>5.5E-2</v>
      </c>
      <c r="J6" s="66">
        <v>7.0000000000000007E-2</v>
      </c>
      <c r="K6" s="1030">
        <f>SUMIF('数据-汇总表'!C$19:C$33,A6,'数据-汇总表'!E$19:E$33)</f>
        <v>42523.619999999995</v>
      </c>
      <c r="L6" s="733">
        <f>L29</f>
        <v>6000</v>
      </c>
      <c r="M6" s="67">
        <f t="shared" ref="M6:M14" si="0">ROUND(K6*L6/10000,0)</f>
        <v>25514</v>
      </c>
      <c r="N6" s="731">
        <f>ROUND((N18+N19)/2,2)</f>
        <v>0.76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8">
        <f>V22</f>
        <v>7.55</v>
      </c>
      <c r="V6" s="70">
        <v>2.5000000000000001E-2</v>
      </c>
      <c r="W6" s="70">
        <v>0.15</v>
      </c>
      <c r="X6" s="1040"/>
      <c r="Y6" s="71">
        <f>N6</f>
        <v>0.76</v>
      </c>
      <c r="Z6" s="72"/>
      <c r="AA6" s="66"/>
      <c r="AB6" s="66"/>
      <c r="AC6" s="1040"/>
      <c r="AD6" s="73"/>
      <c r="AE6" s="1041">
        <f ca="1">IF(AN6="",0,SUMIF(INDIRECT("'"&amp;AN6&amp;"'"&amp;"!E:E"),$AE$5,INDIRECT("'"&amp;AN6&amp;"'"&amp;"!F:F")))</f>
        <v>20.9</v>
      </c>
      <c r="AF6" s="1348"/>
      <c r="AG6" s="138">
        <f>IF(AF6="",0,AE6-AF6)</f>
        <v>0</v>
      </c>
      <c r="AH6" s="74"/>
      <c r="AI6" s="76">
        <v>365</v>
      </c>
      <c r="AJ6" s="77"/>
      <c r="AK6" s="78">
        <v>3.0000000000000001E-3</v>
      </c>
      <c r="AL6" s="79">
        <v>1E-3</v>
      </c>
      <c r="AM6" s="80">
        <v>5.0000000000000001E-3</v>
      </c>
      <c r="AN6" s="1715" t="s">
        <v>3711</v>
      </c>
      <c r="AO6" s="52">
        <f ca="1">SUMIF(INDIRECT("'"&amp;AN6&amp;"'"&amp;"!A:A"),"总价",INDIRECT("'"&amp;AN6&amp;"'"&amp;"!B:B"))</f>
        <v>125750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3334</v>
      </c>
      <c r="D7" s="858">
        <f>SUMIF(项目基本情况!C$12:I$12,C7,项目基本情况!C$14:I$14)</f>
        <v>50</v>
      </c>
      <c r="E7" s="857">
        <f>IF(B7="","",SUMIF(项目基本情况!C$12:I$12,C7,项目基本情况!C$13:I$13))</f>
        <v>52979</v>
      </c>
      <c r="F7" s="64">
        <f>SUMIF(项目基本情况!C$12:I$12,C7,项目基本情况!C$15:I$15)</f>
        <v>20.9</v>
      </c>
      <c r="G7" s="65">
        <f t="shared" ref="G7:G11" si="2">IF(ISERROR(ROUND(POWER(1+H7,D7-F7)*(POWER(1+H7,F7)-1)/(POWER(1+H7,D7)-1),3)),0,ROUND(POWER(1+H7,D7-F7)*(POWER(1+H7,F7)-1)/(POWER(1+H7,D7)-1),3))</f>
        <v>0.67600000000000005</v>
      </c>
      <c r="H7" s="732">
        <v>4.4999999999999998E-2</v>
      </c>
      <c r="I7" s="732">
        <v>0.05</v>
      </c>
      <c r="J7" s="66">
        <v>7.0000000000000007E-2</v>
      </c>
      <c r="K7" s="1030">
        <f>SUMIF('数据-汇总表'!C$19:C$33,A7,'数据-汇总表'!E$19:E$33)</f>
        <v>10043.08</v>
      </c>
      <c r="L7" s="733">
        <f>L6</f>
        <v>6000</v>
      </c>
      <c r="M7" s="67">
        <f t="shared" si="0"/>
        <v>6026</v>
      </c>
      <c r="N7" s="731">
        <f>N6</f>
        <v>0.76</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v>1200</v>
      </c>
      <c r="V7" s="70">
        <v>0.02</v>
      </c>
      <c r="W7" s="70">
        <v>0.15</v>
      </c>
      <c r="X7" s="1040"/>
      <c r="Y7" s="71">
        <f>Y6</f>
        <v>0.76</v>
      </c>
      <c r="Z7" s="72"/>
      <c r="AA7" s="66"/>
      <c r="AB7" s="66"/>
      <c r="AC7" s="1040"/>
      <c r="AD7" s="73"/>
      <c r="AE7" s="1041">
        <f t="shared" ref="AE7:AE13" ca="1" si="6">IF(AN7="",0,SUMIF(INDIRECT("'"&amp;AN7&amp;"'"&amp;"!E:E"),$AE$5,INDIRECT("'"&amp;AN7&amp;"'"&amp;"!F:F")))</f>
        <v>20.9</v>
      </c>
      <c r="AF7" s="1348"/>
      <c r="AG7" s="138">
        <f t="shared" ref="AG7:AG13" si="7">IF(AF7="",0,AE7-AF7)</f>
        <v>0</v>
      </c>
      <c r="AH7" s="74">
        <v>192</v>
      </c>
      <c r="AI7" s="76">
        <v>12</v>
      </c>
      <c r="AJ7" s="77"/>
      <c r="AK7" s="78">
        <f>AK6</f>
        <v>3.0000000000000001E-3</v>
      </c>
      <c r="AL7" s="79">
        <f>AL6</f>
        <v>1E-3</v>
      </c>
      <c r="AM7" s="80">
        <f>AM6</f>
        <v>5.0000000000000001E-3</v>
      </c>
      <c r="AN7" s="1715" t="s">
        <v>3713</v>
      </c>
      <c r="AO7" s="52">
        <f t="shared" ref="AO7:AO13" ca="1" si="8">SUMIF(INDIRECT("'"&amp;AN7&amp;"'"&amp;"!A:A"),"总价",INDIRECT("'"&amp;AN7&amp;"'"&amp;"!B:B"))</f>
        <v>3202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0.69499999999999995</v>
      </c>
      <c r="H16" s="90">
        <f>ROUND(SUMPRODUCT(H6:H13,K6:K13)/SUMPRODUCT((H6:H13&gt;0)*(K6:K13)),3)</f>
        <v>4.9000000000000002E-2</v>
      </c>
      <c r="I16" s="91"/>
      <c r="J16" s="91"/>
      <c r="K16" s="92">
        <f>SUM(K6:K15)</f>
        <v>52566.7</v>
      </c>
      <c r="L16" s="93">
        <f>ROUND(M16*10000/SUM(K6:K14),0)</f>
        <v>6000</v>
      </c>
      <c r="M16" s="93">
        <f>SUM(M6:M14)</f>
        <v>31540</v>
      </c>
      <c r="N16" s="94">
        <f>ROUND(SUMPRODUCT(M6:M14,N6:N14)/M16,3)</f>
        <v>0.76</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1999</v>
      </c>
      <c r="O17" s="2669"/>
      <c r="P17" s="2669"/>
      <c r="Q17" s="2669"/>
      <c r="R17" s="2669"/>
      <c r="S17" s="2669"/>
      <c r="T17" s="2669"/>
      <c r="U17" s="3447" t="s">
        <v>3719</v>
      </c>
      <c r="V17" s="3447" t="s">
        <v>3720</v>
      </c>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47" t="s">
        <v>3422</v>
      </c>
      <c r="N18" s="2669">
        <f>ROUND(1-(2024-N17)/60,2)</f>
        <v>0.57999999999999996</v>
      </c>
      <c r="O18" s="2669"/>
      <c r="P18" s="2669"/>
      <c r="Q18" s="2669"/>
      <c r="R18" s="2669"/>
      <c r="S18" s="2669"/>
      <c r="T18" s="2669" t="s">
        <v>3716</v>
      </c>
      <c r="U18" s="2669">
        <f>抵押物清单!D5+抵押物清单!D6</f>
        <v>3096.18</v>
      </c>
      <c r="V18" s="2669">
        <v>7</v>
      </c>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3447" t="s">
        <v>3423</v>
      </c>
      <c r="N19" s="2669">
        <v>0.93</v>
      </c>
      <c r="O19" s="2669"/>
      <c r="P19" s="2669"/>
      <c r="Q19" s="2669"/>
      <c r="R19" s="2669"/>
      <c r="S19" s="2669"/>
      <c r="T19" s="2669" t="s">
        <v>3715</v>
      </c>
      <c r="U19" s="2669">
        <f>抵押物清单!D7</f>
        <v>2224.02</v>
      </c>
      <c r="V19" s="2669">
        <v>19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3447" t="s">
        <v>3424</v>
      </c>
      <c r="N20" s="2669">
        <f>ROUND((N18+N19)/2,2)</f>
        <v>0.76</v>
      </c>
      <c r="O20" s="2669"/>
      <c r="P20" s="2669"/>
      <c r="Q20" s="2669"/>
      <c r="R20" s="2669"/>
      <c r="S20" s="2669"/>
      <c r="T20" s="2669" t="s">
        <v>3717</v>
      </c>
      <c r="U20" s="2669">
        <f>抵押物清单!D8</f>
        <v>3396.55</v>
      </c>
      <c r="V20" s="2669">
        <v>13</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t="s">
        <v>3718</v>
      </c>
      <c r="U21" s="3447">
        <f>SUM(抵押物清单!D9:D163)</f>
        <v>33806.87000000001</v>
      </c>
      <c r="V21" s="3447">
        <v>6.3</v>
      </c>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1475" t="s">
        <v>3425</v>
      </c>
      <c r="K22" s="3470"/>
      <c r="L22" s="3470"/>
      <c r="M22" s="3470"/>
      <c r="N22" s="2669"/>
      <c r="O22" s="2669"/>
      <c r="P22" s="2669"/>
      <c r="Q22" s="2669"/>
      <c r="R22" s="2669"/>
      <c r="S22" s="2669"/>
      <c r="T22" s="2669"/>
      <c r="U22" s="2669">
        <f>SUM(U18:U21)</f>
        <v>42523.62000000001</v>
      </c>
      <c r="V22" s="2669">
        <f>ROUND(SUMPRODUCT(V18:V21,U18:U21)/U22,2)</f>
        <v>7.55</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3471"/>
      <c r="K23" s="3472" t="s">
        <v>2330</v>
      </c>
      <c r="L23" s="3472" t="s">
        <v>3426</v>
      </c>
      <c r="M23" s="3472" t="s">
        <v>3427</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3473" t="s">
        <v>3428</v>
      </c>
      <c r="K24" s="3474">
        <f>K25+K26</f>
        <v>52566.7</v>
      </c>
      <c r="L24" s="3474">
        <f>M24/K24</f>
        <v>0.24998715917111025</v>
      </c>
      <c r="M24" s="3474">
        <f>M25+M26</f>
        <v>13141</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72" t="s">
        <v>3429</v>
      </c>
      <c r="K25" s="3475">
        <f>'数据-汇总表'!F31</f>
        <v>39427.439999999995</v>
      </c>
      <c r="L25" s="3471">
        <v>2000</v>
      </c>
      <c r="M25" s="3471">
        <f>ROUND(L25*K25/10000,0)</f>
        <v>7885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3472" t="s">
        <v>2640</v>
      </c>
      <c r="K26" s="3471">
        <f>'数据-汇总表'!G31</f>
        <v>13139.26</v>
      </c>
      <c r="L26" s="3471">
        <v>4000</v>
      </c>
      <c r="M26" s="3471">
        <f t="shared" ref="M26" si="12">ROUND(L26*K26/10000,0)</f>
        <v>5256</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60"/>
      <c r="F27" s="2660"/>
      <c r="G27" s="2671"/>
      <c r="H27" s="2671"/>
      <c r="I27" s="2671"/>
      <c r="J27" s="3473" t="s">
        <v>3430</v>
      </c>
      <c r="K27" s="3474">
        <f>K24</f>
        <v>52566.7</v>
      </c>
      <c r="L27" s="3474">
        <v>1500</v>
      </c>
      <c r="M27" s="3471">
        <f>ROUND(L27*K27/10000,0)</f>
        <v>7885</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60"/>
      <c r="F28" s="2660"/>
      <c r="G28" s="2671"/>
      <c r="H28" s="2671"/>
      <c r="I28" s="2671"/>
      <c r="J28" s="3473" t="s">
        <v>3431</v>
      </c>
      <c r="K28" s="3474">
        <f>K24</f>
        <v>52566.7</v>
      </c>
      <c r="L28" s="3474">
        <v>2000</v>
      </c>
      <c r="M28" s="3471">
        <f>ROUND(L28*K28/10000,0)</f>
        <v>10513</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1051</v>
      </c>
      <c r="C29" s="2800" t="s">
        <v>2292</v>
      </c>
      <c r="D29" s="2677"/>
      <c r="E29" s="2660"/>
      <c r="F29" s="2660"/>
      <c r="G29" s="2671"/>
      <c r="H29" s="2671"/>
      <c r="I29" s="2671"/>
      <c r="J29" s="3472" t="s">
        <v>3432</v>
      </c>
      <c r="K29" s="3471">
        <f>K24</f>
        <v>52566.7</v>
      </c>
      <c r="L29" s="3471">
        <f>ROUND(M29/K29*10000,0)</f>
        <v>6000</v>
      </c>
      <c r="M29" s="3471">
        <f>M24+M27+M28</f>
        <v>31539</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3476"/>
      <c r="K30" s="347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7" t="s">
        <v>2284</v>
      </c>
      <c r="B1" s="3578"/>
      <c r="C1" s="3578"/>
      <c r="D1" s="3578"/>
      <c r="E1" s="3578"/>
      <c r="F1" s="3578"/>
      <c r="G1" s="357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G33" sqref="G33:G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52566.7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167130</v>
      </c>
      <c r="C5" s="2511">
        <f ca="1">IF(B5=D14,结果表!H102,ROUND(B5*10000/$B$1,0))</f>
        <v>31794</v>
      </c>
      <c r="D5" s="2511" t="e">
        <f ca="1">ROUND(B5*10000/$B$2,0)</f>
        <v>#DIV/0!</v>
      </c>
      <c r="E5" s="2684"/>
      <c r="F5" s="2685"/>
      <c r="G5" s="2685"/>
      <c r="H5" s="2686"/>
      <c r="I5" s="2686"/>
      <c r="J5" s="2686"/>
      <c r="K5" s="2686"/>
    </row>
    <row r="6" spans="1:11" ht="16.5">
      <c r="A6" s="2511" t="s">
        <v>656</v>
      </c>
      <c r="B6" s="2511">
        <f ca="1">SUM(G14:G23)</f>
        <v>167130</v>
      </c>
      <c r="C6" s="2511">
        <f ca="1">IF(B6=G14,结果表!H108,ROUND(B6*10000/$B$1,0))</f>
        <v>31794</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150207</v>
      </c>
      <c r="C8" s="2511">
        <f ca="1">IF(B8=I14,结果表!H112,ROUND(B8*10000/$B$1,0))</f>
        <v>28575</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52566.7</v>
      </c>
      <c r="C14" s="2517"/>
      <c r="D14" s="2517">
        <f ca="1">结果表!H118</f>
        <v>167130</v>
      </c>
      <c r="E14" s="2517">
        <f ca="1">ROUND(D14*10000/B14,0)</f>
        <v>31794</v>
      </c>
      <c r="F14" s="2517" t="e">
        <f ca="1">ROUND(D14*10000/C14,0)</f>
        <v>#DIV/0!</v>
      </c>
      <c r="G14" s="2517">
        <f ca="1">结果表!D122</f>
        <v>167130</v>
      </c>
      <c r="H14" s="2517"/>
      <c r="I14" s="2517">
        <f ca="1">结果表!D126</f>
        <v>150207</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J70" sqref="J7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3" t="str">
        <f>项目基本情况!S2</f>
        <v>北京市朝阳区朝外大街22号房地产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4" t="s">
        <v>1264</v>
      </c>
      <c r="B4" s="1755" t="s">
        <v>1265</v>
      </c>
      <c r="C4" s="1756" t="s">
        <v>3404</v>
      </c>
      <c r="D4" s="1756" t="s">
        <v>3722</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1267</v>
      </c>
      <c r="B5" s="3580">
        <v>25</v>
      </c>
      <c r="C5" s="3596"/>
      <c r="D5" s="3616"/>
      <c r="E5" s="131" t="s">
        <v>1268</v>
      </c>
      <c r="F5" s="1757"/>
      <c r="G5" s="1757"/>
      <c r="H5" s="1757"/>
      <c r="I5" s="1373"/>
    </row>
    <row r="6" spans="1:12" ht="12.75">
      <c r="A6" s="3593"/>
      <c r="B6" s="3580"/>
      <c r="C6" s="3597"/>
      <c r="D6" s="3616"/>
      <c r="E6" s="131" t="s">
        <v>1269</v>
      </c>
      <c r="F6" s="1757"/>
      <c r="G6" s="1757"/>
      <c r="H6" s="1757"/>
      <c r="I6" s="1373"/>
    </row>
    <row r="7" spans="1:12" ht="12.75">
      <c r="A7" s="3593"/>
      <c r="B7" s="3580"/>
      <c r="C7" s="3598"/>
      <c r="D7" s="3616"/>
      <c r="E7" s="131" t="s">
        <v>1270</v>
      </c>
      <c r="F7" s="1757"/>
      <c r="G7" s="1757"/>
      <c r="H7" s="1757"/>
      <c r="I7" s="1373"/>
    </row>
    <row r="8" spans="1:12" ht="12.75">
      <c r="A8" s="3593" t="s">
        <v>1271</v>
      </c>
      <c r="B8" s="3580">
        <v>15</v>
      </c>
      <c r="C8" s="3596"/>
      <c r="D8" s="3616"/>
      <c r="E8" s="131" t="s">
        <v>1272</v>
      </c>
      <c r="F8" s="1757"/>
      <c r="G8" s="1757"/>
      <c r="H8" s="1757"/>
      <c r="I8" s="1373"/>
    </row>
    <row r="9" spans="1:12" ht="12.75">
      <c r="A9" s="3593"/>
      <c r="B9" s="3580"/>
      <c r="C9" s="3598"/>
      <c r="D9" s="3616"/>
      <c r="E9" s="131" t="s">
        <v>1273</v>
      </c>
      <c r="F9" s="1757"/>
      <c r="G9" s="1757"/>
      <c r="H9" s="1757"/>
      <c r="I9" s="1373"/>
    </row>
    <row r="10" spans="1:12" ht="12.75">
      <c r="A10" s="3593" t="s">
        <v>1274</v>
      </c>
      <c r="B10" s="3580">
        <v>15</v>
      </c>
      <c r="C10" s="3596"/>
      <c r="D10" s="3616"/>
      <c r="E10" s="131" t="s">
        <v>1275</v>
      </c>
      <c r="F10" s="1757"/>
      <c r="G10" s="1757"/>
      <c r="H10" s="1757"/>
      <c r="I10" s="1373"/>
    </row>
    <row r="11" spans="1:12" ht="12.75">
      <c r="A11" s="3593"/>
      <c r="B11" s="3580"/>
      <c r="C11" s="3598"/>
      <c r="D11" s="3616"/>
      <c r="E11" s="131" t="s">
        <v>1276</v>
      </c>
      <c r="F11" s="1757"/>
      <c r="G11" s="1757"/>
      <c r="H11" s="1757"/>
      <c r="I11" s="1373"/>
    </row>
    <row r="12" spans="1:12" ht="12.75">
      <c r="A12" s="3593" t="s">
        <v>1277</v>
      </c>
      <c r="B12" s="3580">
        <v>15</v>
      </c>
      <c r="C12" s="3596"/>
      <c r="D12" s="3616"/>
      <c r="E12" s="131" t="s">
        <v>1278</v>
      </c>
      <c r="F12" s="1757"/>
      <c r="G12" s="1757"/>
      <c r="H12" s="1757"/>
      <c r="I12" s="1373"/>
    </row>
    <row r="13" spans="1:12" ht="12.75">
      <c r="A13" s="3593"/>
      <c r="B13" s="3580"/>
      <c r="C13" s="3598"/>
      <c r="D13" s="3616"/>
      <c r="E13" s="131" t="s">
        <v>1279</v>
      </c>
      <c r="F13" s="1757"/>
      <c r="G13" s="1757"/>
      <c r="H13" s="1757"/>
      <c r="I13" s="1373"/>
    </row>
    <row r="14" spans="1:12" ht="12.75">
      <c r="A14" s="3593" t="s">
        <v>1280</v>
      </c>
      <c r="B14" s="3580">
        <v>30</v>
      </c>
      <c r="C14" s="3596">
        <v>4</v>
      </c>
      <c r="D14" s="3616">
        <v>6</v>
      </c>
      <c r="E14" s="131" t="s">
        <v>1281</v>
      </c>
      <c r="F14" s="1757"/>
      <c r="G14" s="1757"/>
      <c r="H14" s="1757"/>
      <c r="I14" s="1373"/>
    </row>
    <row r="15" spans="1:12" ht="12.75">
      <c r="A15" s="3593"/>
      <c r="B15" s="3580"/>
      <c r="C15" s="3597"/>
      <c r="D15" s="3616"/>
      <c r="E15" s="131" t="s">
        <v>1282</v>
      </c>
      <c r="F15" s="1757"/>
      <c r="G15" s="1757"/>
      <c r="H15" s="1757"/>
      <c r="I15" s="1373"/>
    </row>
    <row r="16" spans="1:12" ht="12.75">
      <c r="A16" s="3593"/>
      <c r="B16" s="3580"/>
      <c r="C16" s="3598"/>
      <c r="D16" s="361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03" t="s">
        <v>2129</v>
      </c>
      <c r="F18" s="3604"/>
      <c r="G18" s="3604"/>
      <c r="H18" s="3604"/>
      <c r="I18" s="3604"/>
      <c r="J18" s="3907" t="s">
        <v>3724</v>
      </c>
      <c r="K18" s="302" t="s">
        <v>1288</v>
      </c>
      <c r="L18" s="302">
        <f>IF(C1="",'数据-汇总表'!E3,SUMIF(项目类型,C1,'数据-汇总表'!E17:E26)+SUMIF(项目类型,C1,'数据-汇总表'!I17:I26))</f>
        <v>52566.7</v>
      </c>
      <c r="M18" s="302">
        <f>IF(C1="",'数据-汇总表'!E3,SUMIF(项目类型,C1,'数据-汇总表'!E17:E26))</f>
        <v>52566.7</v>
      </c>
    </row>
    <row r="19" spans="1:36" ht="15">
      <c r="A19" s="1761" t="s">
        <v>1289</v>
      </c>
      <c r="B19" s="1762" t="s">
        <v>1290</v>
      </c>
      <c r="C19" s="134">
        <f ca="1">SUMIF(INDIRECT("'"&amp;C4&amp;"'"&amp;"!A:A"),结果表!B19,INDIRECT("'"&amp;C4&amp;"'"&amp;"!B:B"))</f>
        <v>224397</v>
      </c>
      <c r="D19" s="135">
        <f ca="1">SUMIF(INDIRECT("'"&amp;D4&amp;"'"&amp;"!A:A"),结果表!B19,INDIRECT("'"&amp;D4&amp;"'"&amp;"!B:B"))</f>
        <v>128952</v>
      </c>
      <c r="E19" s="1761" t="s">
        <v>1291</v>
      </c>
      <c r="F19" s="1762" t="s">
        <v>1290</v>
      </c>
      <c r="G19" s="136">
        <f ca="1">ROUND(C19*$C$18+D19*$D$18,0)</f>
        <v>167130</v>
      </c>
      <c r="H19" s="1763" t="s">
        <v>1292</v>
      </c>
      <c r="I19" s="3905" t="s">
        <v>3723</v>
      </c>
      <c r="J19" s="725" t="s">
        <v>3725</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42688</v>
      </c>
      <c r="D20" s="138">
        <f ca="1">SUMIF(INDIRECT("'"&amp;D4&amp;"'"&amp;"!A:A"),结果表!B20,INDIRECT("'"&amp;D4&amp;"'"&amp;"!B:B"))</f>
        <v>24531</v>
      </c>
      <c r="E20" s="1764"/>
      <c r="F20" s="1026" t="s">
        <v>1294</v>
      </c>
      <c r="G20" s="139">
        <f ca="1">ROUND(C20*$C$18+D20*$D$18,0)</f>
        <v>31794</v>
      </c>
      <c r="H20" s="808" t="s">
        <v>1295</v>
      </c>
      <c r="I20" s="3906">
        <f ca="1">G19/'数据-汇总表'!F31*10000</f>
        <v>42389.25986571789</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0.74015912897822456</v>
      </c>
      <c r="E22" s="129"/>
      <c r="F22" s="129"/>
      <c r="G22" s="129"/>
      <c r="H22" s="129"/>
      <c r="I22" s="129"/>
    </row>
    <row r="23" spans="1:36" ht="13.5" thickBot="1">
      <c r="A23" s="1747"/>
      <c r="B23" s="1747"/>
      <c r="C23" s="1747"/>
      <c r="D23" s="1747"/>
      <c r="E23" s="129"/>
      <c r="F23" s="129"/>
      <c r="G23" s="129"/>
      <c r="H23" s="129"/>
      <c r="I23" s="129"/>
    </row>
    <row r="24" spans="1:36" ht="14.25">
      <c r="A24" s="3587" t="s">
        <v>1298</v>
      </c>
      <c r="B24" s="1762" t="s">
        <v>1290</v>
      </c>
      <c r="C24" s="136">
        <f>IF(B30=0,0,D30)</f>
        <v>0</v>
      </c>
      <c r="D24" s="1769"/>
      <c r="E24" s="129"/>
      <c r="F24" s="129"/>
      <c r="G24" s="129"/>
      <c r="H24" s="129"/>
      <c r="I24" s="129"/>
    </row>
    <row r="25" spans="1:36" ht="14.25">
      <c r="A25" s="358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167130</v>
      </c>
      <c r="D32" s="1775" t="s">
        <v>3405</v>
      </c>
      <c r="E32" s="129"/>
      <c r="F32" s="129"/>
      <c r="G32" s="129"/>
      <c r="H32" s="129"/>
      <c r="I32" s="129"/>
    </row>
    <row r="33" spans="1:15" ht="15">
      <c r="A33" s="786" t="s">
        <v>1305</v>
      </c>
      <c r="B33" s="1776"/>
      <c r="C33" s="1777" t="s">
        <v>3406</v>
      </c>
      <c r="D33" s="1778" t="s">
        <v>3404</v>
      </c>
      <c r="E33" s="1779" t="s">
        <v>1306</v>
      </c>
      <c r="F33" s="1780" t="str">
        <f>IF(D32="楼面单价","取值（单价）","取值（总价）")</f>
        <v>取值（总价）</v>
      </c>
      <c r="G33" s="129"/>
      <c r="H33" s="129"/>
      <c r="I33" s="129"/>
    </row>
    <row r="34" spans="1:15" ht="15">
      <c r="A34" s="1781"/>
      <c r="B34" s="1782" t="s">
        <v>1307</v>
      </c>
      <c r="C34" s="148">
        <f ca="1">IF(C33="自定义",F34,C32-C35)</f>
        <v>141225</v>
      </c>
      <c r="D34" s="861">
        <f ca="1">IF(C33="自定义",ROUND(C34/C32,3),IF(C33="收益比率",SUMIF(INDIRECT("'"&amp;D33&amp;"'"&amp;"!b:b"),"土地收益比率",INDIRECT("'"&amp;D33&amp;"'"&amp;"!c:c")),SUMIF(INDIRECT("'"&amp;D33&amp;"'"&amp;"!b:b"),"土地成本比率",INDIRECT("'"&amp;D33&amp;"'"&amp;"!c:c"))))</f>
        <v>0.84499999999999997</v>
      </c>
      <c r="E34" s="1783" t="s">
        <v>1308</v>
      </c>
      <c r="F34" s="1330"/>
      <c r="G34" s="129"/>
      <c r="H34" s="129"/>
      <c r="I34" s="129"/>
    </row>
    <row r="35" spans="1:15" ht="15.75" thickBot="1">
      <c r="A35" s="1784"/>
      <c r="B35" s="1785" t="s">
        <v>1309</v>
      </c>
      <c r="C35" s="1170">
        <f ca="1">IF(C33="自定义",F35,ROUND(C32*D35,0))</f>
        <v>25905</v>
      </c>
      <c r="D35" s="1171">
        <f ca="1">IF(C33="自定义",ROUND(C35/C32,3),IF(C33="收益比率",SUMIF(INDIRECT("'"&amp;D33&amp;"'"&amp;"!b:b"),"建筑物收益比率",INDIRECT("'"&amp;D33&amp;"'"&amp;"!c:c")),SUMIF(INDIRECT("'"&amp;D33&amp;"'"&amp;"!b:b"),"建筑物成本比率",INDIRECT("'"&amp;D33&amp;"'"&amp;"!c:c"))))</f>
        <v>0.155</v>
      </c>
      <c r="E35" s="1786" t="s">
        <v>1310</v>
      </c>
      <c r="F35" s="154"/>
      <c r="G35" s="129"/>
      <c r="H35" s="129"/>
      <c r="I35" s="129"/>
    </row>
    <row r="36" spans="1:15" ht="15.75" thickBot="1">
      <c r="A36" s="3607" t="s">
        <v>1311</v>
      </c>
      <c r="B36" s="1787" t="s">
        <v>1312</v>
      </c>
      <c r="C36" s="145"/>
      <c r="D36" s="1788"/>
      <c r="E36" s="1789"/>
      <c r="F36" s="1790"/>
      <c r="G36" s="129"/>
      <c r="H36" s="129"/>
      <c r="I36" s="129"/>
    </row>
    <row r="37" spans="1:15" ht="15.75" thickBot="1">
      <c r="A37" s="3608"/>
      <c r="B37" s="1674" t="s">
        <v>1313</v>
      </c>
      <c r="C37" s="147"/>
      <c r="D37" s="1139"/>
      <c r="E37" s="1139"/>
      <c r="F37" s="1790"/>
      <c r="G37" s="129"/>
      <c r="H37" s="129"/>
      <c r="I37" s="129"/>
    </row>
    <row r="38" spans="1:15" ht="15.75" thickBot="1">
      <c r="A38" s="360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84" t="s">
        <v>1325</v>
      </c>
      <c r="B45" s="3585"/>
      <c r="C45" s="3586"/>
      <c r="D45" s="155">
        <f ca="1">ROUND(H101*F45,0)</f>
        <v>93593</v>
      </c>
      <c r="E45" s="156" t="s">
        <v>1326</v>
      </c>
      <c r="F45" s="157">
        <v>0.56000000000000005</v>
      </c>
      <c r="G45" s="158" t="s">
        <v>1327</v>
      </c>
      <c r="H45" s="129"/>
      <c r="I45" s="129"/>
      <c r="J45" s="3662" t="s">
        <v>1328</v>
      </c>
      <c r="K45" s="3662"/>
      <c r="L45" s="3662"/>
      <c r="M45" s="3662"/>
      <c r="N45" s="3662"/>
      <c r="O45" s="3662"/>
    </row>
    <row r="46" spans="1:15" ht="14.25" customHeight="1">
      <c r="A46" s="3581" t="s">
        <v>1329</v>
      </c>
      <c r="B46" s="3582"/>
      <c r="C46" s="3582"/>
      <c r="D46" s="3582"/>
      <c r="E46" s="3582"/>
      <c r="F46" s="3582"/>
      <c r="G46" s="3583"/>
      <c r="H46" s="1806"/>
      <c r="I46" s="159"/>
      <c r="J46" s="2522">
        <v>1</v>
      </c>
      <c r="K46" s="3643" t="s">
        <v>1330</v>
      </c>
      <c r="L46" s="3643"/>
      <c r="M46" s="3663"/>
      <c r="N46" s="3663"/>
      <c r="O46" s="3663"/>
    </row>
    <row r="47" spans="1:15" ht="12" customHeight="1">
      <c r="A47" s="160" t="s">
        <v>1331</v>
      </c>
      <c r="B47" s="161"/>
      <c r="C47" s="162"/>
      <c r="D47" s="1087" t="s">
        <v>1332</v>
      </c>
      <c r="E47" s="302" t="s">
        <v>1333</v>
      </c>
      <c r="F47" s="163" t="s">
        <v>1334</v>
      </c>
      <c r="G47" s="2545" t="s">
        <v>1335</v>
      </c>
      <c r="H47" s="2546"/>
      <c r="I47" s="159"/>
      <c r="J47" s="2522">
        <v>2</v>
      </c>
      <c r="K47" s="3643" t="s">
        <v>1336</v>
      </c>
      <c r="L47" s="3643"/>
      <c r="M47" s="3664">
        <f>'数据-取费表'!B2</f>
        <v>45348</v>
      </c>
      <c r="N47" s="3664"/>
      <c r="O47" s="3664"/>
    </row>
    <row r="48" spans="1:15" ht="25.5">
      <c r="A48" s="3612" t="s">
        <v>1337</v>
      </c>
      <c r="B48" s="3595"/>
      <c r="C48" s="3595"/>
      <c r="D48" s="2323">
        <f ca="1">IF(H48="情况1",0,IF(H48="情况2",D52,IF(H48="情况3",D53,IF(H48="情况4",D54))))</f>
        <v>4992</v>
      </c>
      <c r="E48" s="2333" t="str">
        <f>IF(H48="情况4","(销售额-原购置价)×税（费）率","销售额×税（费）率")</f>
        <v>销售额×税（费）率</v>
      </c>
      <c r="F48" s="2547">
        <f>IF(H48="情况1","免征",'数据-取费表'!B41)</f>
        <v>5.6000000000000001E-2</v>
      </c>
      <c r="G48" s="2548" t="s">
        <v>1338</v>
      </c>
      <c r="H48" s="2549" t="s">
        <v>3410</v>
      </c>
      <c r="I48" s="1806"/>
      <c r="J48" s="2522">
        <v>3</v>
      </c>
      <c r="K48" s="3643" t="s">
        <v>1339</v>
      </c>
      <c r="L48" s="3643"/>
      <c r="M48" s="3665">
        <f ca="1">H101</f>
        <v>167130</v>
      </c>
      <c r="N48" s="3665"/>
      <c r="O48" s="3665"/>
    </row>
    <row r="49" spans="1:35" ht="25.5" customHeight="1">
      <c r="A49" s="2332" t="s">
        <v>1340</v>
      </c>
      <c r="B49" s="3579" t="s">
        <v>1341</v>
      </c>
      <c r="C49" s="3579"/>
      <c r="D49" s="1590">
        <v>0</v>
      </c>
      <c r="E49" s="324" t="s">
        <v>1342</v>
      </c>
      <c r="F49" s="2423" t="s">
        <v>28</v>
      </c>
      <c r="G49" s="3649"/>
      <c r="H49" s="2309" t="s">
        <v>2132</v>
      </c>
      <c r="I49" s="2310"/>
      <c r="J49" s="2522">
        <v>4</v>
      </c>
      <c r="K49" s="3643" t="str">
        <f>IF(项目基本情况!E8="房地产抵押价值","房地产抵押价值","抵押担保权已注销时的房地产抵押价值")</f>
        <v>房地产抵押价值</v>
      </c>
      <c r="L49" s="3643"/>
      <c r="M49" s="3665">
        <f ca="1">IF(项目基本情况!E8="房地产抵押价值",H107,H109)</f>
        <v>167130</v>
      </c>
      <c r="N49" s="3665"/>
      <c r="O49" s="3665"/>
    </row>
    <row r="50" spans="1:35" ht="25.5" customHeight="1">
      <c r="A50" s="2550"/>
      <c r="B50" s="3579" t="s">
        <v>1343</v>
      </c>
      <c r="C50" s="3579"/>
      <c r="D50" s="2551"/>
      <c r="E50" s="332"/>
      <c r="F50" s="2423"/>
      <c r="G50" s="3650"/>
      <c r="H50" s="2311" t="s">
        <v>2133</v>
      </c>
      <c r="I50" s="2310"/>
      <c r="J50" s="3662" t="s">
        <v>1344</v>
      </c>
      <c r="K50" s="3662"/>
      <c r="L50" s="3662"/>
      <c r="M50" s="3662"/>
      <c r="N50" s="3662"/>
      <c r="O50" s="3662"/>
    </row>
    <row r="51" spans="1:35" ht="20.45" customHeight="1">
      <c r="A51" s="2552"/>
      <c r="B51" s="3579" t="s">
        <v>1345</v>
      </c>
      <c r="C51" s="3579"/>
      <c r="D51" s="1087"/>
      <c r="E51" s="327"/>
      <c r="F51" s="2423"/>
      <c r="G51" s="3651"/>
      <c r="H51" s="2311" t="s">
        <v>2134</v>
      </c>
      <c r="I51" s="2310"/>
      <c r="J51" s="2523" t="s">
        <v>1346</v>
      </c>
      <c r="K51" s="3643" t="s">
        <v>1347</v>
      </c>
      <c r="L51" s="3643"/>
      <c r="M51" s="2523" t="s">
        <v>1348</v>
      </c>
      <c r="N51" s="2523" t="s">
        <v>1349</v>
      </c>
      <c r="O51" s="2523" t="s">
        <v>1350</v>
      </c>
    </row>
    <row r="52" spans="1:35" ht="24" customHeight="1">
      <c r="A52" s="2334" t="s">
        <v>1351</v>
      </c>
      <c r="B52" s="3579" t="s">
        <v>1352</v>
      </c>
      <c r="C52" s="3579"/>
      <c r="D52" s="1087">
        <f ca="1">ROUND(D45*'数据-取费表'!B41/(1+'数据-取费表'!C42),0)</f>
        <v>4992</v>
      </c>
      <c r="E52" s="2333" t="s">
        <v>1353</v>
      </c>
      <c r="F52" s="2553">
        <f>'数据-取费表'!B41</f>
        <v>5.6000000000000001E-2</v>
      </c>
      <c r="G52" s="2554"/>
      <c r="H52" s="2543"/>
      <c r="I52" s="1807"/>
      <c r="J52" s="2522">
        <v>1</v>
      </c>
      <c r="K52" s="3644" t="s">
        <v>1354</v>
      </c>
      <c r="L52" s="3644"/>
      <c r="M52" s="2524">
        <f ca="1">D48</f>
        <v>4992</v>
      </c>
      <c r="N52" s="2522" t="str">
        <f>E48</f>
        <v>销售额×税（费）率</v>
      </c>
      <c r="O52" s="2525">
        <f>F48</f>
        <v>5.6000000000000001E-2</v>
      </c>
    </row>
    <row r="53" spans="1:35" ht="12" customHeight="1">
      <c r="A53" s="2334" t="s">
        <v>1355</v>
      </c>
      <c r="B53" s="3605" t="s">
        <v>2289</v>
      </c>
      <c r="C53" s="3606"/>
      <c r="D53" s="1087">
        <f ca="1">ROUND(D45*'数据-取费表'!B41/(1+'数据-取费表'!C42),0)</f>
        <v>4992</v>
      </c>
      <c r="E53" s="2333" t="s">
        <v>1353</v>
      </c>
      <c r="F53" s="2553">
        <f>'数据-取费表'!B41</f>
        <v>5.6000000000000001E-2</v>
      </c>
      <c r="G53" s="2554"/>
      <c r="H53" s="2543"/>
      <c r="I53" s="1807"/>
      <c r="J53" s="2522">
        <v>2</v>
      </c>
      <c r="K53" s="3644" t="s">
        <v>1356</v>
      </c>
      <c r="L53" s="3644"/>
      <c r="M53" s="2524">
        <f t="shared" ref="M53:O54" ca="1" si="0">D55</f>
        <v>47</v>
      </c>
      <c r="N53" s="2522" t="str">
        <f t="shared" si="0"/>
        <v>销售额×税（费）率</v>
      </c>
      <c r="O53" s="2525">
        <f t="shared" si="0"/>
        <v>5.0000000000000001E-4</v>
      </c>
    </row>
    <row r="54" spans="1:35" ht="12" customHeight="1">
      <c r="A54" s="2334" t="s">
        <v>1357</v>
      </c>
      <c r="B54" s="3605" t="s">
        <v>2290</v>
      </c>
      <c r="C54" s="3606"/>
      <c r="D54" s="1087">
        <f ca="1">C68</f>
        <v>4992</v>
      </c>
      <c r="E54" s="327" t="s">
        <v>1358</v>
      </c>
      <c r="F54" s="2553">
        <f>'数据-取费表'!B41</f>
        <v>5.6000000000000001E-2</v>
      </c>
      <c r="G54" s="2554"/>
      <c r="H54" s="2555"/>
      <c r="I54" s="1807"/>
      <c r="J54" s="2522">
        <v>3</v>
      </c>
      <c r="K54" s="3644" t="s">
        <v>1359</v>
      </c>
      <c r="L54" s="3644"/>
      <c r="M54" s="2524">
        <f t="shared" ca="1" si="0"/>
        <v>11884</v>
      </c>
      <c r="N54" s="2522" t="str">
        <f t="shared" si="0"/>
        <v>增值额×税（费）率</v>
      </c>
      <c r="O54" s="2526" t="str">
        <f t="shared" si="0"/>
        <v>——</v>
      </c>
    </row>
    <row r="55" spans="1:35" ht="24" customHeight="1">
      <c r="A55" s="3594" t="s">
        <v>1360</v>
      </c>
      <c r="B55" s="3595"/>
      <c r="C55" s="3595"/>
      <c r="D55" s="2323">
        <f ca="1">IF(H55="个人住宅",0,ROUND(D45*I55,0))</f>
        <v>47</v>
      </c>
      <c r="E55" s="2333" t="s">
        <v>1361</v>
      </c>
      <c r="F55" s="2553">
        <f>IF(H55="正常",I55,"免征")</f>
        <v>5.0000000000000001E-4</v>
      </c>
      <c r="G55" s="2554"/>
      <c r="H55" s="2549" t="s">
        <v>3411</v>
      </c>
      <c r="I55" s="165">
        <f>'数据-取费表'!B49</f>
        <v>5.0000000000000001E-4</v>
      </c>
      <c r="J55" s="2522" t="str">
        <f>IF(H59="非个人房产","",4)</f>
        <v/>
      </c>
      <c r="K55" s="3644" t="str">
        <f>IF(H59="非个人房产","——","个人所得税")</f>
        <v>——</v>
      </c>
      <c r="L55" s="3644"/>
      <c r="M55" s="2527" t="str">
        <f>D59</f>
        <v>——</v>
      </c>
      <c r="N55" s="2039" t="str">
        <f>E59</f>
        <v>——</v>
      </c>
      <c r="O55" s="2528" t="str">
        <f>F59</f>
        <v>——</v>
      </c>
    </row>
    <row r="56" spans="1:35" ht="24.75">
      <c r="A56" s="3594" t="s">
        <v>1362</v>
      </c>
      <c r="B56" s="3595"/>
      <c r="C56" s="3595"/>
      <c r="D56" s="2323">
        <f ca="1">IF(H56="个人住宅",D57,D58)</f>
        <v>11884</v>
      </c>
      <c r="E56" s="2333" t="s">
        <v>1363</v>
      </c>
      <c r="F56" s="2553" t="str">
        <f>IF(H56="正常",F58,"免征")</f>
        <v>——</v>
      </c>
      <c r="G56" s="2556" t="s">
        <v>1364</v>
      </c>
      <c r="H56" s="2557" t="s">
        <v>3411</v>
      </c>
      <c r="I56" s="1808"/>
      <c r="J56" s="2522" t="str">
        <f>IF(项目基本情况!K6="上海银行",IF(J55="",4,J55+1),"")</f>
        <v/>
      </c>
      <c r="K56" s="3667" t="str">
        <f>IF(项目基本情况!K6="上海银行","其他处置费用","")</f>
        <v/>
      </c>
      <c r="L56" s="3668"/>
      <c r="M56" s="2524" t="str">
        <f>IF(项目基本情况!K6="上海银行",M69,"")</f>
        <v/>
      </c>
      <c r="N56" s="3667" t="str">
        <f>IF(项目基本情况!K6="上海银行","包含处置中涉及的律师、诉讼、拍卖、评估等费用","")</f>
        <v/>
      </c>
      <c r="O56" s="3670"/>
    </row>
    <row r="57" spans="1:35" ht="12.75">
      <c r="A57" s="2334" t="s">
        <v>1340</v>
      </c>
      <c r="B57" s="3605" t="s">
        <v>1365</v>
      </c>
      <c r="C57" s="3606"/>
      <c r="D57" s="1590">
        <v>0</v>
      </c>
      <c r="E57" s="324" t="s">
        <v>1342</v>
      </c>
      <c r="F57" s="302"/>
      <c r="G57" s="2554"/>
      <c r="H57" s="2558"/>
      <c r="I57" s="1808"/>
      <c r="J57" s="3644">
        <f>IF(AND(J55="",J56=""),4,IF(项目基本情况!K6="上海银行",结果表!J56+1,结果表!J55+1))</f>
        <v>4</v>
      </c>
      <c r="K57" s="3644" t="s">
        <v>1366</v>
      </c>
      <c r="L57" s="2529" t="s">
        <v>1367</v>
      </c>
      <c r="M57" s="2530"/>
      <c r="N57" s="2531">
        <f ca="1">SUMIF(M52:M56,"&lt;9e307")</f>
        <v>16923</v>
      </c>
      <c r="O57" s="2532"/>
      <c r="P57" s="2688">
        <f ca="1">N57/M49</f>
        <v>0.10125650691078801</v>
      </c>
    </row>
    <row r="58" spans="1:35" ht="24.75">
      <c r="A58" s="2334" t="s">
        <v>1351</v>
      </c>
      <c r="B58" s="3605" t="s">
        <v>1368</v>
      </c>
      <c r="C58" s="3579"/>
      <c r="D58" s="2323">
        <f ca="1">IF(H58="转让取得",C81,C97)</f>
        <v>11884</v>
      </c>
      <c r="E58" s="2333" t="s">
        <v>1363</v>
      </c>
      <c r="F58" s="302" t="s">
        <v>28</v>
      </c>
      <c r="G58" s="2554"/>
      <c r="H58" s="2557" t="s">
        <v>3412</v>
      </c>
      <c r="I58" s="1808"/>
      <c r="J58" s="3644"/>
      <c r="K58" s="3644"/>
      <c r="L58" s="2529" t="s">
        <v>1369</v>
      </c>
      <c r="M58" s="2533"/>
      <c r="N58" s="2534" t="str">
        <f ca="1">NUMBERSTRING(INT(N57*10000),2)&amp;"元整"</f>
        <v>壹亿陆仟玖佰贰拾叁万元整</v>
      </c>
      <c r="O58" s="2535"/>
    </row>
    <row r="59" spans="1:35" ht="24.75" thickBot="1">
      <c r="A59" s="3647" t="s">
        <v>1370</v>
      </c>
      <c r="B59" s="3648"/>
      <c r="C59" s="3648"/>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3413</v>
      </c>
      <c r="I59" s="2312" t="s">
        <v>2135</v>
      </c>
      <c r="J59" s="3645">
        <f>J57+1</f>
        <v>5</v>
      </c>
      <c r="K59" s="3644" t="s">
        <v>1371</v>
      </c>
      <c r="L59" s="2522" t="s">
        <v>1367</v>
      </c>
      <c r="M59" s="2536"/>
      <c r="N59" s="2537">
        <f ca="1">M49-N57</f>
        <v>150207</v>
      </c>
      <c r="O59" s="2538"/>
    </row>
    <row r="60" spans="1:35" ht="12" customHeight="1">
      <c r="A60" s="1809"/>
      <c r="B60" s="1747"/>
      <c r="C60" s="1747"/>
      <c r="D60" s="1747"/>
      <c r="E60" s="1578"/>
      <c r="F60" s="1808"/>
      <c r="G60" s="1808"/>
      <c r="H60" s="1810"/>
      <c r="I60" s="129"/>
      <c r="J60" s="3646"/>
      <c r="K60" s="3644"/>
      <c r="L60" s="2529" t="s">
        <v>1369</v>
      </c>
      <c r="M60" s="2533"/>
      <c r="N60" s="2534" t="str">
        <f ca="1">NUMBERSTRING(INT(N59*10000),2)&amp;"元整"</f>
        <v>壹拾伍亿零贰佰零柒万元整</v>
      </c>
      <c r="O60" s="2535"/>
    </row>
    <row r="61" spans="1:35" ht="13.5" thickBot="1">
      <c r="A61" s="3592" t="s">
        <v>1372</v>
      </c>
      <c r="B61" s="3592"/>
      <c r="C61" s="3592"/>
      <c r="D61" s="3592"/>
      <c r="E61" s="3592"/>
      <c r="F61" s="1808"/>
      <c r="G61" s="1808"/>
      <c r="H61" s="1810"/>
      <c r="I61" s="129"/>
      <c r="J61" s="2522">
        <f>J59+1</f>
        <v>6</v>
      </c>
      <c r="K61" s="3644" t="s">
        <v>1373</v>
      </c>
      <c r="L61" s="3644"/>
      <c r="M61" s="2539"/>
      <c r="N61" s="2540">
        <f ca="1">ROUND(N59*10000/'数据-汇总表'!E3,0)</f>
        <v>28575</v>
      </c>
      <c r="O61" s="2541"/>
    </row>
    <row r="62" spans="1:35" ht="12.75">
      <c r="A62" s="3610" t="s">
        <v>1374</v>
      </c>
      <c r="B62" s="3611"/>
      <c r="C62" s="2020"/>
      <c r="D62" s="2020" t="s">
        <v>1375</v>
      </c>
      <c r="E62" s="166" t="s">
        <v>1376</v>
      </c>
      <c r="F62" s="1808"/>
      <c r="G62" s="1808"/>
      <c r="H62" s="1810"/>
      <c r="I62" s="129"/>
    </row>
    <row r="63" spans="1:35" ht="12.75">
      <c r="A63" s="173" t="s">
        <v>330</v>
      </c>
      <c r="B63" s="167" t="s">
        <v>1377</v>
      </c>
      <c r="C63" s="2563">
        <f ca="1">ROUND((C64+C65)/(1+'数据-取费表'!C42),0)</f>
        <v>89136</v>
      </c>
      <c r="D63" s="167"/>
      <c r="E63" s="168"/>
      <c r="F63" s="1808"/>
      <c r="G63" s="1808"/>
      <c r="H63" s="1810"/>
      <c r="I63" s="129"/>
      <c r="J63" s="3669" t="s">
        <v>1378</v>
      </c>
      <c r="K63" s="1332" t="s">
        <v>1379</v>
      </c>
      <c r="L63" s="1332">
        <f ca="1">IF(M49&gt;10000,M49*0.5%,IF(AND(M49&gt;1000,M49&lt;=10000),M49*1%,IF(AND(M49&gt;100,M49&lt;=1000),M49*3%,IF(AND(M49&gt;10,M49&lt;=100),M49*5%,M49*8%))))</f>
        <v>835.65</v>
      </c>
      <c r="M63" s="302">
        <f ca="1">ROUND(L63,1)</f>
        <v>835.7</v>
      </c>
      <c r="N63" s="2542"/>
      <c r="Z63" s="1752"/>
      <c r="AI63" s="1753"/>
    </row>
    <row r="64" spans="1:35" ht="14.25" customHeight="1">
      <c r="A64" s="169" t="s">
        <v>325</v>
      </c>
      <c r="B64" s="170" t="s">
        <v>1380</v>
      </c>
      <c r="C64" s="2564">
        <f ca="1">D45</f>
        <v>93593</v>
      </c>
      <c r="D64" s="170" t="s">
        <v>26</v>
      </c>
      <c r="E64" s="172"/>
      <c r="F64" s="1808"/>
      <c r="G64" s="1808"/>
      <c r="H64" s="1810"/>
      <c r="I64" s="129"/>
      <c r="J64" s="3669"/>
      <c r="K64" s="1332" t="s">
        <v>1381</v>
      </c>
      <c r="L64" s="1332">
        <f ca="1">IF(M49&gt;2000,M49*0.5%,IF(AND(M49&gt;1000,M49&lt;=2000),M49*0.6%,IF(AND(M49&gt;500,M49&lt;=1000),M49*0.7%,IF(AND(M49&gt;200,M49&lt;=500),M49*0.8%,IF(AND(M49&gt;100,M49&lt;=200),M49*0.9%,IF(AND(M49&gt;50,M49&lt;=100),M49*1%,IF(AND(M49&gt;20,M49&lt;=50),M49*1.5%,IF(AND(M49&gt;10,M49&lt;=20),M49*2%,IF(AND(M49&gt;1,M49&lt;=10),M49*2.5%)))))))))</f>
        <v>835.65</v>
      </c>
      <c r="M64" s="302">
        <f t="shared" ref="M64:M65" ca="1" si="1">ROUND(L64,1)</f>
        <v>835.7</v>
      </c>
      <c r="N64" s="2543" t="s">
        <v>1382</v>
      </c>
      <c r="Z64" s="1752"/>
      <c r="AI64" s="1753"/>
    </row>
    <row r="65" spans="1:35" ht="14.25" customHeight="1">
      <c r="A65" s="169" t="s">
        <v>326</v>
      </c>
      <c r="B65" s="170" t="s">
        <v>1383</v>
      </c>
      <c r="C65" s="2565"/>
      <c r="D65" s="170"/>
      <c r="E65" s="172"/>
      <c r="F65" s="1808"/>
      <c r="G65" s="1808"/>
      <c r="H65" s="1810"/>
      <c r="I65" s="129"/>
      <c r="J65" s="3669"/>
      <c r="K65" s="1332" t="s">
        <v>1384</v>
      </c>
      <c r="L65" s="1332">
        <f ca="1">IF(M49&gt;1000,M49*0.1%,IF(AND(M49&gt;500,M49&lt;=1000),M49*0.5%,IF(AND(M49&gt;50,M49&lt;=500),M49*1%,IF(AND(M49&gt;1,M49&lt;=50),M49*1.5%))))</f>
        <v>167.13</v>
      </c>
      <c r="M65" s="302">
        <f t="shared" ca="1" si="1"/>
        <v>167.1</v>
      </c>
      <c r="N65" s="2543" t="s">
        <v>1382</v>
      </c>
      <c r="Z65" s="1752"/>
      <c r="AI65" s="1753"/>
    </row>
    <row r="66" spans="1:35" ht="14.25" customHeight="1">
      <c r="A66" s="173" t="s">
        <v>327</v>
      </c>
      <c r="B66" s="174" t="s">
        <v>1385</v>
      </c>
      <c r="C66" s="2566"/>
      <c r="D66" s="174" t="s">
        <v>26</v>
      </c>
      <c r="E66" s="1338" t="s">
        <v>671</v>
      </c>
      <c r="F66" s="1808"/>
      <c r="G66" s="1808"/>
      <c r="H66" s="1810"/>
      <c r="I66" s="129"/>
      <c r="J66" s="3669"/>
      <c r="K66" s="1332" t="s">
        <v>1386</v>
      </c>
      <c r="L66" s="1332">
        <f ca="1">M49*0.5%</f>
        <v>835.65</v>
      </c>
      <c r="M66" s="302">
        <f ca="1">IF(L66&gt;0.5,0.5,ROUND(L66,0))</f>
        <v>0.5</v>
      </c>
      <c r="N66" s="2543" t="s">
        <v>1387</v>
      </c>
      <c r="Z66" s="1752"/>
      <c r="AI66" s="1753"/>
    </row>
    <row r="67" spans="1:35" ht="14.25" customHeight="1">
      <c r="A67" s="173" t="s">
        <v>328</v>
      </c>
      <c r="B67" s="174" t="s">
        <v>1388</v>
      </c>
      <c r="C67" s="2567">
        <f ca="1">C63-C66</f>
        <v>89136</v>
      </c>
      <c r="D67" s="170" t="s">
        <v>26</v>
      </c>
      <c r="E67" s="172"/>
      <c r="F67" s="1808"/>
      <c r="G67" s="1808"/>
      <c r="H67" s="1810"/>
      <c r="I67" s="129"/>
      <c r="J67" s="3669"/>
      <c r="K67" s="1332" t="s">
        <v>1389</v>
      </c>
      <c r="L67" s="1332">
        <f ca="1">IF(M49&gt;=10000,(8.25+(M49-10000)*0.01%),IF(AND(M49&gt;=8000,M49&lt;10000),(7.85+(M49-8000)*0.02%),IF(AND(M49&gt;=5000,M49&lt;8000),(6.65+(M49-5000)*0.04%),IF(AND(M49&gt;=2000,M49&lt;5000),(4.25+(PM49-2000)*0.08%),IF(AND(M49&gt;=1000,M49&lt;2000),(2.75+(M49-1000)*0.15%),IF(AND(M49&gt;=100,M49&lt;1000),(0.5+(M49-100)*0.25%),IF(AND(M49&gt;0,M49&lt;100),M49*0.5%)))))))</f>
        <v>23.963000000000001</v>
      </c>
      <c r="M67" s="302">
        <f ca="1">ROUND(L67*0.9,1)</f>
        <v>21.6</v>
      </c>
      <c r="N67" s="2542"/>
      <c r="Z67" s="1752"/>
      <c r="AI67" s="1753"/>
    </row>
    <row r="68" spans="1:35" ht="14.25" customHeight="1" thickBot="1">
      <c r="A68" s="176" t="s">
        <v>329</v>
      </c>
      <c r="B68" s="177" t="s">
        <v>1390</v>
      </c>
      <c r="C68" s="2568">
        <f ca="1">IF(C67&lt;=0,0,ROUND(C67*D68,0))</f>
        <v>4992</v>
      </c>
      <c r="D68" s="2569">
        <f>'数据-取费表'!B41</f>
        <v>5.6000000000000001E-2</v>
      </c>
      <c r="E68" s="178"/>
      <c r="F68" s="1808"/>
      <c r="G68" s="1808"/>
      <c r="H68" s="1810"/>
      <c r="I68" s="129"/>
      <c r="J68" s="3669"/>
      <c r="K68" s="1332" t="s">
        <v>1391</v>
      </c>
      <c r="L68" s="1332">
        <f ca="1">IF(M49&gt;10000,M49*0.5%,IF(AND(M49&gt;5000,M49&lt;=10000),M49*1%,IF(AND(M49&gt;1000,M49&lt;=5000),M49*2%,IF(AND(M49&gt;200,M49&lt;=1000),M49*3%,M49*5%))))</f>
        <v>835.65</v>
      </c>
      <c r="M68" s="302">
        <f ca="1">ROUND(L68,1)</f>
        <v>835.7</v>
      </c>
      <c r="N68" s="2542"/>
      <c r="Z68" s="1752"/>
      <c r="AI68" s="1753"/>
    </row>
    <row r="69" spans="1:35" s="1772" customFormat="1" ht="16.5" customHeight="1">
      <c r="A69" s="1811"/>
      <c r="B69" s="1812"/>
      <c r="C69" s="1813"/>
      <c r="D69" s="1814"/>
      <c r="E69" s="1815"/>
      <c r="F69" s="1578"/>
      <c r="G69" s="1578"/>
      <c r="H69" s="1577"/>
      <c r="I69" s="1747"/>
      <c r="J69" s="3669"/>
      <c r="K69" s="1332" t="s">
        <v>1392</v>
      </c>
      <c r="L69" s="1332"/>
      <c r="M69" s="302">
        <f ca="1">ROUND(SUM(M63:M68),0)</f>
        <v>2696</v>
      </c>
      <c r="N69" s="2544">
        <f ca="1">M69/M49</f>
        <v>1.61311553880213E-2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1393</v>
      </c>
      <c r="B70" s="3632"/>
      <c r="C70" s="3632"/>
      <c r="D70" s="3632"/>
      <c r="E70" s="3632"/>
      <c r="F70" s="3632"/>
      <c r="G70" s="3632"/>
      <c r="H70" s="363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1374</v>
      </c>
      <c r="B71" s="3611"/>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89136</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535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05" t="s">
        <v>1401</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535</v>
      </c>
      <c r="D78" s="2576">
        <f>'数据-取费表'!B43</f>
        <v>6.000000000000001E-3</v>
      </c>
      <c r="E78" s="3589" t="s">
        <v>1405</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88601</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165.60934579439251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52973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1" t="s">
        <v>1409</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1374</v>
      </c>
      <c r="B84" s="3611"/>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89136</v>
      </c>
      <c r="D85" s="170" t="s">
        <v>26</v>
      </c>
      <c r="E85" s="2330"/>
      <c r="F85" s="2329"/>
      <c r="G85" s="2329"/>
      <c r="H85" s="192"/>
      <c r="I85" s="1821"/>
      <c r="J85" s="1818">
        <f>ROUND(47100000/6200/5.06,0)</f>
        <v>1501</v>
      </c>
      <c r="K85" s="1818">
        <f>J85*基准地价修正!F40*0.25</f>
        <v>112.575</v>
      </c>
      <c r="L85" s="1818">
        <f>J85*基准地价修正!F42*0.25</f>
        <v>75.05</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52823</v>
      </c>
      <c r="D86" s="2580"/>
      <c r="E86" s="2330"/>
      <c r="F86" s="2329"/>
      <c r="G86" s="2329"/>
      <c r="H86" s="192"/>
      <c r="I86" s="1821"/>
      <c r="J86" s="1818">
        <f>抵押物清单!I7</f>
        <v>39427.439999999995</v>
      </c>
      <c r="K86" s="1818">
        <f>抵押物清单!I8</f>
        <v>3096.18</v>
      </c>
      <c r="L86" s="1818">
        <f>抵押物清单!I9</f>
        <v>10043.08</v>
      </c>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6212</v>
      </c>
      <c r="D87" s="2576"/>
      <c r="E87" s="2325"/>
      <c r="F87" s="2326"/>
      <c r="G87" s="2326"/>
      <c r="H87" s="2327"/>
      <c r="I87" s="1821"/>
      <c r="J87" s="1818">
        <f>ROUND(J85*J86/10000,0)</f>
        <v>5918</v>
      </c>
      <c r="K87" s="1818">
        <f>ROUND(K85*K86/10000,0)</f>
        <v>35</v>
      </c>
      <c r="L87" s="1818">
        <f>ROUND(L85*L86/10000,0)</f>
        <v>75</v>
      </c>
      <c r="M87" s="1818">
        <f>L87+K87+J87</f>
        <v>6028</v>
      </c>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f>M87</f>
        <v>6028</v>
      </c>
      <c r="D88" s="2576"/>
      <c r="E88" s="193" t="s">
        <v>1412</v>
      </c>
      <c r="F88" s="2326"/>
      <c r="G88" s="194" t="s">
        <v>1413</v>
      </c>
      <c r="H88" s="1824" t="s">
        <v>3433</v>
      </c>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184</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6"/>
      <c r="G90" s="3671" t="s">
        <v>2127</v>
      </c>
      <c r="H90" s="3672"/>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 ca="1">IF(H91="——",成本法!C33,I91)</f>
        <v>34010</v>
      </c>
      <c r="D91" s="2576"/>
      <c r="E91" s="3589" t="s">
        <v>1418</v>
      </c>
      <c r="F91" s="3590"/>
      <c r="G91" s="3590"/>
      <c r="H91" s="1825" t="s">
        <v>43</v>
      </c>
      <c r="I91" s="3449"/>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 ca="1">ROUND((C87+C90+C91)*D92,0)</f>
        <v>4022</v>
      </c>
      <c r="D92" s="2582">
        <v>0.1</v>
      </c>
      <c r="E92" s="3589" t="s">
        <v>1421</v>
      </c>
      <c r="F92" s="3590"/>
      <c r="G92" s="3590"/>
      <c r="H92" s="3599"/>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535</v>
      </c>
      <c r="D93" s="2576">
        <f>'数据-取费表'!B43</f>
        <v>6.000000000000001E-3</v>
      </c>
      <c r="E93" s="3589" t="s">
        <v>1405</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 ca="1">ROUND((C87+C90+C91)*D94,0)</f>
        <v>8044</v>
      </c>
      <c r="D94" s="2576">
        <v>0.2</v>
      </c>
      <c r="E94" s="3600" t="s">
        <v>1425</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36313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0.68744675614789008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11884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591"/>
      <c r="E100" s="3574" t="s">
        <v>1428</v>
      </c>
      <c r="F100" s="3574"/>
      <c r="G100" s="3574"/>
      <c r="H100" s="3591"/>
      <c r="I100" s="129"/>
    </row>
    <row r="101" spans="1:35" ht="18.75" customHeight="1">
      <c r="A101" s="3652" t="s">
        <v>1429</v>
      </c>
      <c r="B101" s="3653"/>
      <c r="C101" s="2584" t="str">
        <f>C4</f>
        <v>成本法</v>
      </c>
      <c r="D101" s="2585" t="str">
        <f>D4</f>
        <v>收益法（汇总）</v>
      </c>
      <c r="E101" s="3666" t="s">
        <v>1430</v>
      </c>
      <c r="F101" s="3623"/>
      <c r="G101" s="1826" t="s">
        <v>1431</v>
      </c>
      <c r="H101" s="2594">
        <f ca="1">H118</f>
        <v>167130</v>
      </c>
      <c r="I101" s="129"/>
    </row>
    <row r="102" spans="1:35" ht="18.75" customHeight="1">
      <c r="A102" s="3625" t="s">
        <v>1432</v>
      </c>
      <c r="B102" s="2583" t="s">
        <v>1431</v>
      </c>
      <c r="C102" s="2584">
        <f ca="1">IF(D32="楼面单价",ROUND(C19,0),C19)</f>
        <v>224397</v>
      </c>
      <c r="D102" s="2585">
        <f ca="1">IF(D32="楼面单价",ROUND(D19,0),D19)</f>
        <v>128952</v>
      </c>
      <c r="E102" s="3666"/>
      <c r="F102" s="3623"/>
      <c r="G102" s="1826" t="s">
        <v>1433</v>
      </c>
      <c r="H102" s="2554">
        <f ca="1">I118</f>
        <v>31794</v>
      </c>
      <c r="I102" s="129"/>
    </row>
    <row r="103" spans="1:35" ht="42.75" customHeight="1">
      <c r="A103" s="3625"/>
      <c r="B103" s="2583" t="s">
        <v>1433</v>
      </c>
      <c r="C103" s="2586">
        <f ca="1">C20</f>
        <v>42688</v>
      </c>
      <c r="D103" s="2587">
        <f ca="1">D20</f>
        <v>24531</v>
      </c>
      <c r="E103" s="3660" t="s">
        <v>1434</v>
      </c>
      <c r="F103" s="3661"/>
      <c r="G103" s="1827" t="s">
        <v>1435</v>
      </c>
      <c r="H103" s="2594">
        <f>IF(D36="正常操作",H104+H105+H106,H105+H106)</f>
        <v>0</v>
      </c>
      <c r="I103" s="129"/>
    </row>
    <row r="104" spans="1:35" ht="18.75" customHeight="1">
      <c r="A104" s="3625" t="s">
        <v>1436</v>
      </c>
      <c r="B104" s="2588" t="s">
        <v>1431</v>
      </c>
      <c r="C104" s="2589">
        <f ca="1">H118</f>
        <v>167130</v>
      </c>
      <c r="D104" s="2590"/>
      <c r="E104" s="1674" t="s">
        <v>1437</v>
      </c>
      <c r="F104" s="1666"/>
      <c r="G104" s="1827" t="s">
        <v>1435</v>
      </c>
      <c r="H104" s="2595">
        <f>IF(D36="同一抵押权人同一抵押物续贷",C36&amp;"（续贷，未扣减，详见特别提示）",C36)</f>
        <v>0</v>
      </c>
      <c r="I104" s="129"/>
    </row>
    <row r="105" spans="1:35" ht="18.75" customHeight="1" thickBot="1">
      <c r="A105" s="3626"/>
      <c r="B105" s="2591" t="s">
        <v>1433</v>
      </c>
      <c r="C105" s="2592">
        <f ca="1">I118</f>
        <v>31794</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22" t="str">
        <f>IF(项目基本情况!E8="已注销","——","3.房地产抵押价值")</f>
        <v>3.房地产抵押价值</v>
      </c>
      <c r="F107" s="3623"/>
      <c r="G107" s="1826" t="s">
        <v>1431</v>
      </c>
      <c r="H107" s="2594">
        <f ca="1">IF(E107="——","——",H101-H103)</f>
        <v>167130</v>
      </c>
      <c r="I107" s="129"/>
    </row>
    <row r="108" spans="1:35" ht="18.75" customHeight="1">
      <c r="A108" s="129"/>
      <c r="B108" s="129"/>
      <c r="C108" s="129"/>
      <c r="D108" s="129"/>
      <c r="E108" s="3622"/>
      <c r="F108" s="3623"/>
      <c r="G108" s="1826" t="s">
        <v>1433</v>
      </c>
      <c r="H108" s="2554">
        <f ca="1">IF(H107=H101,H102,ROUND(H107*10000/'数据-汇总表'!E3,0))</f>
        <v>31794</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6" t="s">
        <v>1431</v>
      </c>
      <c r="H109" s="2597" t="str">
        <f>IF(E109="——","——",H101-H105-H106)</f>
        <v>——</v>
      </c>
      <c r="I109" s="129"/>
    </row>
    <row r="110" spans="1:35" ht="18.75" customHeight="1">
      <c r="A110" s="129"/>
      <c r="B110" s="129"/>
      <c r="C110" s="129"/>
      <c r="D110" s="129"/>
      <c r="E110" s="3622"/>
      <c r="F110" s="3623"/>
      <c r="G110" s="1826" t="s">
        <v>1433</v>
      </c>
      <c r="H110" s="2554"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6" t="s">
        <v>1431</v>
      </c>
      <c r="H111" s="2594">
        <f ca="1">IF(E111="——","——",N59)</f>
        <v>150207</v>
      </c>
      <c r="I111" s="129"/>
    </row>
    <row r="112" spans="1:35" ht="18.75" customHeight="1" thickBot="1">
      <c r="A112" s="129"/>
      <c r="B112" s="129"/>
      <c r="C112" s="129"/>
      <c r="D112" s="129"/>
      <c r="E112" s="3655"/>
      <c r="F112" s="3656"/>
      <c r="G112" s="1829" t="s">
        <v>1433</v>
      </c>
      <c r="H112" s="2598">
        <f ca="1">IF(E111="——","——",N61)</f>
        <v>28575</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3" t="s">
        <v>1442</v>
      </c>
      <c r="B116" s="3628" t="s">
        <v>1443</v>
      </c>
      <c r="C116" s="3628" t="s">
        <v>1444</v>
      </c>
      <c r="D116" s="3641" t="s">
        <v>1445</v>
      </c>
      <c r="E116" s="3642"/>
      <c r="F116" s="3636" t="s">
        <v>3407</v>
      </c>
      <c r="G116" s="3636"/>
      <c r="H116" s="3593" t="s">
        <v>1446</v>
      </c>
      <c r="I116" s="3593"/>
    </row>
    <row r="117" spans="1:27" ht="18.75" customHeight="1">
      <c r="A117" s="3593"/>
      <c r="B117" s="3629"/>
      <c r="C117" s="3629"/>
      <c r="D117" s="2328" t="s">
        <v>1447</v>
      </c>
      <c r="E117" s="2328" t="s">
        <v>1448</v>
      </c>
      <c r="F117" s="2328" t="s">
        <v>1447</v>
      </c>
      <c r="G117" s="2328" t="s">
        <v>1449</v>
      </c>
      <c r="H117" s="2328" t="s">
        <v>1447</v>
      </c>
      <c r="I117" s="2328" t="s">
        <v>1449</v>
      </c>
    </row>
    <row r="118" spans="1:27" ht="24.75" customHeight="1">
      <c r="A118" s="2599" t="str">
        <f>项目基本情况!S2</f>
        <v>北京市朝阳区朝外大街22号房地产</v>
      </c>
      <c r="B118" s="2328">
        <f>M18</f>
        <v>52566.7</v>
      </c>
      <c r="C118" s="2328">
        <f>M19</f>
        <v>0</v>
      </c>
      <c r="D118" s="2328">
        <f ca="1">ROUND(IF(D32="总价",C34,E118*B118/10000),0)</f>
        <v>141225</v>
      </c>
      <c r="E118" s="2328">
        <f ca="1">ROUND(IF(C33="自定义",IF(D32="楼面单价",C34,D118*10000/B118),I118-G118),0)</f>
        <v>26866</v>
      </c>
      <c r="F118" s="2328">
        <f ca="1">ROUND(IF(D32="总价",C35,G118*B118/10000),0)</f>
        <v>25905</v>
      </c>
      <c r="G118" s="2328">
        <f ca="1">ROUND(IF(D32="楼面单价",C35,F118*10000/B118),0)</f>
        <v>4928</v>
      </c>
      <c r="H118" s="2328">
        <f ca="1">ROUND(IF(D32="总价",C32,I118*B118/10000),0)</f>
        <v>167130</v>
      </c>
      <c r="I118" s="2328">
        <f ca="1">ROUND(IF(D32="楼面单价",C32,H118*10000/B118),0)</f>
        <v>31794</v>
      </c>
      <c r="J118" s="725" t="e">
        <f ca="1">D118/C118*666.67</f>
        <v>#DIV/0!</v>
      </c>
      <c r="K118" s="725" t="e">
        <f ca="1">D118/C118*10000</f>
        <v>#DIV/0!</v>
      </c>
    </row>
    <row r="119" spans="1:27" ht="18.75" customHeight="1">
      <c r="A119" s="3593" t="s">
        <v>1450</v>
      </c>
      <c r="B119" s="3593"/>
      <c r="C119" s="3593"/>
      <c r="D119" s="3633" t="str">
        <f ca="1">NUMBERSTRING(INT(D118*10000),2)&amp;"元整"</f>
        <v>壹拾肆亿壹仟贰佰贰拾伍万元整</v>
      </c>
      <c r="E119" s="3635"/>
      <c r="F119" s="3633" t="str">
        <f ca="1">NUMBERSTRING(INT(F118*10000),2)&amp;"元整"</f>
        <v>贰亿伍仟玖佰零伍万元整</v>
      </c>
      <c r="G119" s="3635"/>
      <c r="H119" s="3633" t="str">
        <f ca="1">NUMBERSTRING(INT(H118*10000),2)&amp;"元整"</f>
        <v>壹拾陆亿柒仟壹佰叁拾万元整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1450</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f ca="1">H107</f>
        <v>167130</v>
      </c>
      <c r="E122" s="3658"/>
      <c r="F122" s="3658"/>
      <c r="G122" s="3658"/>
      <c r="H122" s="3658"/>
      <c r="I122" s="3659"/>
      <c r="AA122" s="725"/>
    </row>
    <row r="123" spans="1:27" ht="18.75" customHeight="1">
      <c r="A123" s="3593" t="s">
        <v>1450</v>
      </c>
      <c r="B123" s="3593"/>
      <c r="C123" s="3593"/>
      <c r="D123" s="3633" t="str">
        <f ca="1">NUMBERSTRING(INT(D122*10000),2)&amp;"元整"</f>
        <v>壹拾陆亿柒仟壹佰叁拾万元整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1450</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抵押净值</v>
      </c>
      <c r="B126" s="3624"/>
      <c r="C126" s="3624"/>
      <c r="D126" s="3657">
        <f ca="1">H111</f>
        <v>150207</v>
      </c>
      <c r="E126" s="3658"/>
      <c r="F126" s="3658"/>
      <c r="G126" s="3658"/>
      <c r="H126" s="3658"/>
      <c r="I126" s="3659"/>
      <c r="AA126" s="725"/>
    </row>
    <row r="127" spans="1:27" ht="18.75" customHeight="1">
      <c r="A127" s="3593" t="s">
        <v>1450</v>
      </c>
      <c r="B127" s="3593"/>
      <c r="C127" s="3593"/>
      <c r="D127" s="3633" t="str">
        <f ca="1">NUMBERSTRING(INT(D126*10000),2)&amp;"元整"</f>
        <v>壹拾伍亿零贰佰零柒万元整</v>
      </c>
      <c r="E127" s="3634"/>
      <c r="F127" s="3634"/>
      <c r="G127" s="3634"/>
      <c r="H127" s="3634"/>
      <c r="I127" s="3635"/>
      <c r="AA127" s="725"/>
    </row>
    <row r="128" spans="1:27" ht="21.75" customHeight="1">
      <c r="A128" s="3640" t="s">
        <v>1451</v>
      </c>
      <c r="B128" s="3640"/>
      <c r="C128" s="3640"/>
      <c r="D128" s="3640"/>
      <c r="E128" s="3640"/>
      <c r="F128" s="3640"/>
      <c r="G128" s="3640"/>
      <c r="H128" s="3640"/>
      <c r="I128" s="3640"/>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北京市朝阳区朝外大街22号房地产抵押价值预评估</v>
      </c>
      <c r="C37" s="3489"/>
      <c r="D37" s="3489"/>
      <c r="E37" s="3489"/>
      <c r="F37" s="3489"/>
      <c r="G37" s="3489"/>
      <c r="H37" s="3489"/>
      <c r="I37" s="348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G50" sqref="G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1459</v>
      </c>
      <c r="B1" s="1470"/>
      <c r="C1" s="198"/>
      <c r="D1" s="198"/>
      <c r="E1" s="198"/>
      <c r="F1" s="198"/>
      <c r="G1" s="1126">
        <f>MATCH(B1,'数据-取费表'!A6:A16,0)+5</f>
        <v>8</v>
      </c>
    </row>
    <row r="2" spans="1:16" s="200" customFormat="1" ht="18" customHeight="1">
      <c r="A2" s="201" t="s">
        <v>1460</v>
      </c>
      <c r="B2" s="202">
        <f ca="1">IF(D2="——",C52,C52-E2)</f>
        <v>224397</v>
      </c>
      <c r="C2" s="199" t="s">
        <v>1461</v>
      </c>
      <c r="D2" s="1852" t="s">
        <v>43</v>
      </c>
      <c r="E2" s="1169" t="e">
        <f ca="1">SUMIF(INDIRECT("'"&amp;G2&amp;"'"&amp;"!A:A"),"承租人权益价值",INDIRECT("'"&amp;G2&amp;"'"&amp;"!c:c"))</f>
        <v>#REF!</v>
      </c>
      <c r="F2" s="1853" t="s">
        <v>1461</v>
      </c>
      <c r="G2" s="1854"/>
    </row>
    <row r="3" spans="1:16" s="200" customFormat="1" ht="18" customHeight="1" thickBot="1">
      <c r="A3" s="203" t="s">
        <v>1462</v>
      </c>
      <c r="B3" s="204">
        <f ca="1">ROUND(B2*10000/(IF(B1="",'数据-汇总表'!E3,INDIRECT("'数据-取费表'!k"&amp;$G$1))),0)</f>
        <v>42688</v>
      </c>
      <c r="C3" s="199" t="s">
        <v>1463</v>
      </c>
      <c r="D3" s="199"/>
      <c r="E3" s="199"/>
      <c r="F3" s="199"/>
      <c r="G3" s="199"/>
    </row>
    <row r="4" spans="1:16" s="208" customFormat="1" ht="15.75">
      <c r="A4" s="205" t="s">
        <v>1464</v>
      </c>
      <c r="B4" s="206"/>
      <c r="C4" s="206"/>
      <c r="D4" s="206"/>
      <c r="E4" s="206"/>
      <c r="F4" s="206"/>
      <c r="G4" s="207"/>
    </row>
    <row r="5" spans="1:16" s="214" customFormat="1" ht="13.5" customHeight="1">
      <c r="A5" s="255" t="s">
        <v>1465</v>
      </c>
      <c r="B5" s="210" t="s">
        <v>1466</v>
      </c>
      <c r="C5" s="211">
        <f ca="1">C6+C7+C8</f>
        <v>137283</v>
      </c>
      <c r="D5" s="211" t="s">
        <v>1467</v>
      </c>
      <c r="E5" s="212" t="s">
        <v>1468</v>
      </c>
      <c r="F5" s="212" t="s">
        <v>1469</v>
      </c>
      <c r="G5" s="213"/>
      <c r="L5" s="214">
        <v>7000</v>
      </c>
      <c r="M5" s="214">
        <f ca="1">ROUND(L5*D10/10000,0)</f>
        <v>36797</v>
      </c>
    </row>
    <row r="6" spans="1:16" s="214" customFormat="1" ht="13.5" customHeight="1">
      <c r="A6" s="778" t="s">
        <v>1470</v>
      </c>
      <c r="B6" s="215" t="s">
        <v>1471</v>
      </c>
      <c r="C6" s="216">
        <f>基准地价修正!E33</f>
        <v>132200</v>
      </c>
      <c r="D6" s="217"/>
      <c r="E6" s="218"/>
      <c r="F6" s="218"/>
      <c r="G6" s="219"/>
    </row>
    <row r="7" spans="1:16" s="214" customFormat="1" ht="13.5" customHeight="1">
      <c r="A7" s="778" t="s">
        <v>1472</v>
      </c>
      <c r="B7" s="215" t="s">
        <v>1473</v>
      </c>
      <c r="C7" s="220">
        <f>ROUND(C6*F7,0)</f>
        <v>4032</v>
      </c>
      <c r="D7" s="220"/>
      <c r="E7" s="218"/>
      <c r="F7" s="221">
        <f>IF(项目基本情况!B8="出让",0,'数据-取费表'!B48+'数据-取费表'!B49)</f>
        <v>3.0499999999999999E-2</v>
      </c>
      <c r="G7" s="219"/>
    </row>
    <row r="8" spans="1:16" s="223" customFormat="1">
      <c r="A8" s="778" t="s">
        <v>1474</v>
      </c>
      <c r="B8" s="215" t="s">
        <v>1475</v>
      </c>
      <c r="C8" s="220">
        <f ca="1">IF(G8="已包含在土地购买价格中","0",IF(B1="",'数据-取费表'!B29,IF(G9="全部缴纳",C9+C10,H9)))</f>
        <v>1051</v>
      </c>
      <c r="D8" s="222"/>
      <c r="E8" s="220"/>
      <c r="F8" s="221"/>
      <c r="G8" s="1855" t="s">
        <v>3394</v>
      </c>
      <c r="L8" s="223">
        <v>15000</v>
      </c>
      <c r="M8" s="223">
        <v>11000</v>
      </c>
      <c r="N8" s="223">
        <v>13000</v>
      </c>
      <c r="O8" s="223">
        <f>ROUND((L8+M8+N8)/3,0)</f>
        <v>13000</v>
      </c>
      <c r="P8" s="223">
        <f ca="1">ROUND(O8*D10/10000,0)</f>
        <v>68337</v>
      </c>
    </row>
    <row r="9" spans="1:16"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6" t="s">
        <v>3403</v>
      </c>
      <c r="H9" s="1137"/>
      <c r="I9" s="1857" t="s">
        <v>1477</v>
      </c>
    </row>
    <row r="10" spans="1:16" s="214" customFormat="1" ht="13.5" customHeight="1">
      <c r="A10" s="779" t="s">
        <v>356</v>
      </c>
      <c r="B10" s="224" t="s">
        <v>1478</v>
      </c>
      <c r="C10" s="225">
        <f ca="1">ROUND(D10*E10/10000,0)</f>
        <v>1051</v>
      </c>
      <c r="D10" s="845">
        <f ca="1">IF(B1="",'数据-汇总表'!E6,IF(INDIRECT("'数据-取费表'!c"&amp;$G$1)="住宅",INDIRECT("'数据-取费表'!s"&amp;$G$1),INDIRECT("'数据-取费表'!k"&amp;$G$1)+INDIRECT("'数据-取费表'!s"&amp;$G$1)))</f>
        <v>52566.7</v>
      </c>
      <c r="E10" s="225">
        <f>'数据-取费表'!B28</f>
        <v>200</v>
      </c>
      <c r="F10" s="221"/>
      <c r="G10" s="226"/>
    </row>
    <row r="11" spans="1:16" s="214" customFormat="1" ht="13.5" hidden="1" customHeight="1">
      <c r="A11" s="227" t="s">
        <v>4</v>
      </c>
      <c r="B11" s="215" t="s">
        <v>1479</v>
      </c>
      <c r="C11" s="211"/>
      <c r="D11" s="847"/>
      <c r="E11" s="218"/>
      <c r="F11" s="218"/>
      <c r="G11" s="219"/>
    </row>
    <row r="12" spans="1:16" s="214" customFormat="1" ht="13.5" hidden="1" customHeight="1">
      <c r="A12" s="227" t="s">
        <v>5</v>
      </c>
      <c r="B12" s="215" t="s">
        <v>1480</v>
      </c>
      <c r="C12" s="211">
        <v>0</v>
      </c>
      <c r="D12" s="847"/>
      <c r="E12" s="228"/>
      <c r="F12" s="221">
        <v>3.0499999999999999E-2</v>
      </c>
      <c r="G12" s="219"/>
    </row>
    <row r="13" spans="1:16" s="214" customFormat="1" ht="13.5" hidden="1" customHeight="1">
      <c r="A13" s="227" t="s">
        <v>6</v>
      </c>
      <c r="B13" s="215" t="s">
        <v>1481</v>
      </c>
      <c r="C13" s="211"/>
      <c r="D13" s="847"/>
      <c r="E13" s="218"/>
      <c r="F13" s="218"/>
      <c r="G13" s="219"/>
    </row>
    <row r="14" spans="1:16" s="214" customFormat="1" ht="13.5" hidden="1" customHeight="1">
      <c r="A14" s="227" t="s">
        <v>7</v>
      </c>
      <c r="B14" s="215" t="s">
        <v>1482</v>
      </c>
      <c r="C14" s="211"/>
      <c r="D14" s="847"/>
      <c r="E14" s="218"/>
      <c r="F14" s="218"/>
      <c r="G14" s="219" t="s">
        <v>1483</v>
      </c>
    </row>
    <row r="15" spans="1:16" s="214" customFormat="1" ht="13.5" hidden="1" customHeight="1">
      <c r="A15" s="227" t="s">
        <v>8</v>
      </c>
      <c r="B15" s="215" t="s">
        <v>1484</v>
      </c>
      <c r="C15" s="220"/>
      <c r="D15" s="847"/>
      <c r="E15" s="218"/>
      <c r="F15" s="218"/>
      <c r="G15" s="219" t="s">
        <v>1485</v>
      </c>
    </row>
    <row r="16" spans="1:16"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52566.7</v>
      </c>
      <c r="E19" s="211">
        <f>'数据-取费表'!B31</f>
        <v>200</v>
      </c>
      <c r="F19" s="231"/>
      <c r="G19" s="1855" t="s">
        <v>3395</v>
      </c>
    </row>
    <row r="20" spans="1:7" s="214" customFormat="1" ht="13.5" customHeight="1">
      <c r="A20" s="255" t="s">
        <v>1491</v>
      </c>
      <c r="B20" s="210" t="s">
        <v>1492</v>
      </c>
      <c r="C20" s="232">
        <f ca="1">ROUND((C5+C19)*F20,0)</f>
        <v>2746</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9731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9636</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95</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25205</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ROUND((C5+C19+C20)*F27*'数据-取费表'!B21/'数据-取费表'!B20,0)</f>
        <v>25205</v>
      </c>
      <c r="D28" s="235"/>
      <c r="E28" s="236"/>
      <c r="F28" s="246"/>
      <c r="G28" s="247"/>
    </row>
    <row r="29" spans="1:7" s="214" customFormat="1" ht="13.5" customHeight="1">
      <c r="A29" s="780"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189685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34010</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31540</v>
      </c>
      <c r="D34" s="217"/>
      <c r="E34" s="220"/>
      <c r="F34" s="257">
        <f ca="1">IF('数据-取费表'!B24=0,1,IF(B1="",'数据-取费表'!N16,INDIRECT("'数据-取费表'!n"&amp;$G$1)))</f>
        <v>1</v>
      </c>
      <c r="G34" s="219" t="s">
        <v>1524</v>
      </c>
    </row>
    <row r="35" spans="1:7" ht="13.5" customHeight="1">
      <c r="A35" s="780" t="s">
        <v>351</v>
      </c>
      <c r="B35" s="215" t="s">
        <v>1525</v>
      </c>
      <c r="C35" s="220">
        <f ca="1">ROUND(C34*F35,0)</f>
        <v>946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1051</v>
      </c>
      <c r="D37" s="217">
        <f ca="1">D19</f>
        <v>52566.7</v>
      </c>
      <c r="E37" s="249">
        <f>'数据-取费表'!B35</f>
        <v>200</v>
      </c>
      <c r="F37" s="259"/>
      <c r="G37" s="261" t="s">
        <v>1530</v>
      </c>
    </row>
    <row r="38" spans="1:7" ht="13.5" customHeight="1">
      <c r="A38" s="780" t="s">
        <v>354</v>
      </c>
      <c r="B38" s="215" t="s">
        <v>1531</v>
      </c>
      <c r="C38" s="220">
        <f ca="1">ROUND(C34*F38,0)</f>
        <v>473</v>
      </c>
      <c r="D38" s="220"/>
      <c r="E38" s="220"/>
      <c r="F38" s="259">
        <f>'数据-取费表'!B36</f>
        <v>1.4999999999999999E-2</v>
      </c>
      <c r="G38" s="219" t="s">
        <v>1526</v>
      </c>
    </row>
    <row r="39" spans="1:7" s="214" customFormat="1" ht="13.5" customHeight="1">
      <c r="A39" s="255" t="s">
        <v>1532</v>
      </c>
      <c r="B39" s="210" t="s">
        <v>1533</v>
      </c>
      <c r="C39" s="232">
        <f ca="1">ROUND(C33*F20,0)</f>
        <v>680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1196</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1173</v>
      </c>
      <c r="D42" s="238"/>
      <c r="E42" s="238"/>
      <c r="F42" s="239"/>
      <c r="G42" s="3673" t="s">
        <v>1542</v>
      </c>
    </row>
    <row r="43" spans="1:7" ht="13.5" customHeight="1">
      <c r="A43" s="780" t="s">
        <v>347</v>
      </c>
      <c r="B43" s="215" t="s">
        <v>1543</v>
      </c>
      <c r="C43" s="238">
        <f ca="1">ROUND(IF('数据-取费表'!B22&lt;=1,C39*F22*'数据-取费表'!B21/2,C39*(POWER((1+F22),'数据-取费表'!B21/2)-1)),0)</f>
        <v>23</v>
      </c>
      <c r="D43" s="238"/>
      <c r="E43" s="238"/>
      <c r="F43" s="239"/>
      <c r="G43" s="3674"/>
    </row>
    <row r="44" spans="1:7" ht="13.5" customHeight="1">
      <c r="A44" s="780" t="s">
        <v>348</v>
      </c>
      <c r="B44" s="215" t="s">
        <v>1544</v>
      </c>
      <c r="C44" s="238">
        <f ca="1">ROUND(IF('数据-取费表'!B22&lt;=1,C40*F22*'数据-取费表'!B21/2,C40*(POWER((1+F22),'数据-取费表'!B21/2)-1)),4)</f>
        <v>6.9999999999999999E-4</v>
      </c>
      <c r="D44" s="238"/>
      <c r="E44" s="238"/>
      <c r="F44" s="239"/>
      <c r="G44" s="3675"/>
    </row>
    <row r="45" spans="1:7" s="214" customFormat="1" ht="13.5" customHeight="1">
      <c r="A45" s="255" t="s">
        <v>1545</v>
      </c>
      <c r="B45" s="244" t="s">
        <v>1511</v>
      </c>
      <c r="C45" s="245">
        <f ca="1">C46</f>
        <v>6244</v>
      </c>
      <c r="D45" s="235">
        <f ca="1">C47</f>
        <v>3.5999999999999999E-3</v>
      </c>
      <c r="E45" s="236" t="s">
        <v>1537</v>
      </c>
      <c r="F45" s="246">
        <f ca="1">F27</f>
        <v>0.18</v>
      </c>
      <c r="G45" s="247" t="s">
        <v>1546</v>
      </c>
    </row>
    <row r="46" spans="1:7" s="214" customFormat="1" ht="13.5" customHeight="1">
      <c r="A46" s="780" t="s">
        <v>346</v>
      </c>
      <c r="B46" s="248" t="s">
        <v>1547</v>
      </c>
      <c r="C46" s="249">
        <f ca="1">ROUND((C33+C39)*F27,0)</f>
        <v>6244</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45674</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34712</v>
      </c>
      <c r="D51" s="232"/>
      <c r="E51" s="232"/>
      <c r="F51" s="264"/>
      <c r="G51" s="234" t="s">
        <v>1558</v>
      </c>
    </row>
    <row r="52" spans="1:7" s="208" customFormat="1" ht="16.5" thickBot="1">
      <c r="A52" s="265" t="s">
        <v>1559</v>
      </c>
      <c r="B52" s="266"/>
      <c r="C52" s="267">
        <f ca="1">C31+C51</f>
        <v>224397</v>
      </c>
      <c r="D52" s="266"/>
      <c r="E52" s="266"/>
      <c r="F52" s="266"/>
      <c r="G52" s="268"/>
    </row>
    <row r="55" spans="1:7" ht="15">
      <c r="B55" s="270" t="s">
        <v>1560</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8"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224398.7231</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42688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1372834276.3</v>
      </c>
      <c r="D5" s="211" t="s">
        <v>1467</v>
      </c>
      <c r="E5" s="212" t="s">
        <v>1468</v>
      </c>
      <c r="F5" s="212" t="s">
        <v>1469</v>
      </c>
      <c r="G5" s="213"/>
    </row>
    <row r="6" spans="1:8" s="214" customFormat="1" ht="13.5" customHeight="1">
      <c r="A6" s="778" t="s">
        <v>1470</v>
      </c>
      <c r="B6" s="215" t="s">
        <v>1471</v>
      </c>
      <c r="C6" s="216">
        <f>ROUND(基准地价修正!C33*基准地价修正!D33,2)</f>
        <v>1321999938.3</v>
      </c>
      <c r="D6" s="217"/>
      <c r="E6" s="218"/>
      <c r="F6" s="218"/>
      <c r="G6" s="219"/>
    </row>
    <row r="7" spans="1:8" s="214" customFormat="1" ht="13.5" customHeight="1">
      <c r="A7" s="778" t="s">
        <v>1472</v>
      </c>
      <c r="B7" s="215" t="s">
        <v>1473</v>
      </c>
      <c r="C7" s="220">
        <f>ROUND(C6*F7,0)</f>
        <v>40320998</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10513340</v>
      </c>
      <c r="D8" s="222"/>
      <c r="E8" s="220"/>
      <c r="F8" s="221"/>
      <c r="G8" s="1855" t="s">
        <v>3394</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10513340</v>
      </c>
      <c r="D10" s="845">
        <f ca="1">IF(B1="",'数据-汇总表'!E6,IF(INDIRECT("'数据-取费表'!c"&amp;$G$1)="住宅",INDIRECT("'数据-取费表'!s"&amp;$G$1),INDIRECT("'数据-取费表'!k"&amp;$G$1)+INDIRECT("'数据-取费表'!s"&amp;$G$1)))</f>
        <v>52566.7</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52566.7</v>
      </c>
      <c r="E19" s="211">
        <f>'数据-取费表'!B31</f>
        <v>200</v>
      </c>
      <c r="F19" s="231"/>
      <c r="G19" s="1855" t="s">
        <v>3395</v>
      </c>
    </row>
    <row r="20" spans="1:7" s="214" customFormat="1" ht="13.5" customHeight="1">
      <c r="A20" s="255" t="s">
        <v>1572</v>
      </c>
      <c r="B20" s="210" t="s">
        <v>1573</v>
      </c>
      <c r="C20" s="232">
        <f ca="1">ROUND((C5+C19)*F20,0)</f>
        <v>27456686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97306837</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96359581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947256</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252052373</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ROUND((C5+C19+C20)*F27,0)</f>
        <v>252052373</v>
      </c>
      <c r="D28" s="235"/>
      <c r="E28" s="236"/>
      <c r="F28" s="246"/>
      <c r="G28" s="247"/>
    </row>
    <row r="29" spans="1:7" s="214" customFormat="1" ht="13.5" customHeight="1">
      <c r="A29" s="780"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1896845373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340106549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315400200</v>
      </c>
      <c r="D34" s="217"/>
      <c r="E34" s="220"/>
      <c r="F34" s="257"/>
      <c r="G34" s="219"/>
    </row>
    <row r="35" spans="1:7" ht="13.5" customHeight="1">
      <c r="A35" s="780" t="s">
        <v>351</v>
      </c>
      <c r="B35" s="215" t="s">
        <v>1525</v>
      </c>
      <c r="C35" s="220">
        <f ca="1">ROUND(C34*F35,0)</f>
        <v>9462006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10513340</v>
      </c>
      <c r="D37" s="217">
        <f ca="1">D19</f>
        <v>52566.7</v>
      </c>
      <c r="E37" s="249">
        <f>'数据-取费表'!B35</f>
        <v>200</v>
      </c>
      <c r="F37" s="259"/>
      <c r="G37" s="261"/>
    </row>
    <row r="38" spans="1:7" ht="13.5" customHeight="1">
      <c r="A38" s="780" t="s">
        <v>354</v>
      </c>
      <c r="B38" s="215" t="s">
        <v>1531</v>
      </c>
      <c r="C38" s="220">
        <f ca="1">ROUND(C34*F38,0)</f>
        <v>4731003</v>
      </c>
      <c r="D38" s="220"/>
      <c r="E38" s="220"/>
      <c r="F38" s="259">
        <f>'数据-取费表'!B36</f>
        <v>1.4999999999999999E-2</v>
      </c>
      <c r="G38" s="219" t="s">
        <v>1526</v>
      </c>
    </row>
    <row r="39" spans="1:7" s="214" customFormat="1" ht="13.5" customHeight="1">
      <c r="A39" s="255" t="s">
        <v>1532</v>
      </c>
      <c r="B39" s="210" t="s">
        <v>1533</v>
      </c>
      <c r="C39" s="232">
        <f ca="1">ROUND(C33*F20,0)</f>
        <v>6802131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11968350</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11733676</v>
      </c>
      <c r="D42" s="238"/>
      <c r="E42" s="238"/>
      <c r="F42" s="239"/>
      <c r="G42" s="3673" t="s">
        <v>1589</v>
      </c>
    </row>
    <row r="43" spans="1:7" ht="13.5" customHeight="1">
      <c r="A43" s="780" t="s">
        <v>347</v>
      </c>
      <c r="B43" s="215" t="s">
        <v>1543</v>
      </c>
      <c r="C43" s="238">
        <f ca="1">ROUND(IF('数据-取费表'!B22&lt;=1,C39*F22*'数据-取费表'!B20/2,C39*(POWER((1+F22),'数据-取费表'!B20/2)-1)),0)</f>
        <v>234674</v>
      </c>
      <c r="D43" s="238"/>
      <c r="E43" s="238"/>
      <c r="F43" s="239"/>
      <c r="G43" s="3674"/>
    </row>
    <row r="44" spans="1:7" ht="13.5" customHeight="1">
      <c r="A44" s="780" t="s">
        <v>348</v>
      </c>
      <c r="B44" s="215" t="s">
        <v>1544</v>
      </c>
      <c r="C44" s="238">
        <f ca="1">ROUND(IF('数据-取费表'!B22&lt;=1,C40*F22*'数据-取费表'!B20/2,C40*(POWER((1+F22),'数据-取费表'!B20/2)-1)),4)</f>
        <v>6.9999999999999999E-4</v>
      </c>
      <c r="D44" s="238"/>
      <c r="E44" s="238"/>
      <c r="F44" s="239"/>
      <c r="G44" s="3675"/>
    </row>
    <row r="45" spans="1:7" s="214" customFormat="1" ht="13.5" customHeight="1">
      <c r="A45" s="255" t="s">
        <v>1545</v>
      </c>
      <c r="B45" s="244" t="s">
        <v>1511</v>
      </c>
      <c r="C45" s="245">
        <f ca="1">C46</f>
        <v>62443562</v>
      </c>
      <c r="D45" s="235">
        <f ca="1">C47</f>
        <v>3.5999999999999999E-3</v>
      </c>
      <c r="E45" s="236" t="s">
        <v>1537</v>
      </c>
      <c r="F45" s="246">
        <f ca="1">F27</f>
        <v>0.18</v>
      </c>
      <c r="G45" s="247" t="s">
        <v>1546</v>
      </c>
    </row>
    <row r="46" spans="1:7" s="214" customFormat="1" ht="13.5" customHeight="1">
      <c r="A46" s="780" t="s">
        <v>346</v>
      </c>
      <c r="B46" s="248" t="s">
        <v>1547</v>
      </c>
      <c r="C46" s="249">
        <f ca="1">ROUND((C33+C39)*F27,0)</f>
        <v>62443562</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456765603</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347141858</v>
      </c>
      <c r="D51" s="232"/>
      <c r="E51" s="232"/>
      <c r="F51" s="264"/>
      <c r="G51" s="234" t="s">
        <v>1558</v>
      </c>
    </row>
    <row r="52" spans="1:7" s="208" customFormat="1" ht="16.5" thickBot="1">
      <c r="A52" s="265" t="s">
        <v>1559</v>
      </c>
      <c r="B52" s="266"/>
      <c r="C52" s="267">
        <f ca="1">C31+C51</f>
        <v>2243987231</v>
      </c>
      <c r="D52" s="266"/>
      <c r="E52" s="266"/>
      <c r="F52" s="266"/>
      <c r="G52" s="268"/>
    </row>
    <row r="55" spans="1:7" ht="15">
      <c r="B55" s="270" t="s">
        <v>1560</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8</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52566.7</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52566.7</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7"/>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1051</v>
      </c>
      <c r="D20" s="846">
        <f ca="1">IF(C1="",'数据-汇总表'!E6,IF(INDIRECT("'数据-取费表'!c"&amp;$K$1)="住宅",INDIRECT("'数据-取费表'!s"&amp;$K$1),INDIRECT("'数据-取费表'!k"&amp;$K$1)+INDIRECT("'数据-取费表'!s"&amp;$K$1)))</f>
        <v>52566.7</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3334</v>
      </c>
      <c r="D1" s="1362" t="s">
        <v>43</v>
      </c>
      <c r="E1" s="1363" t="s">
        <v>678</v>
      </c>
      <c r="F1" s="1062">
        <f ca="1">J53</f>
        <v>20.9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3202</v>
      </c>
      <c r="C2" s="1387" t="s">
        <v>805</v>
      </c>
      <c r="D2" s="1387"/>
      <c r="E2" s="1388"/>
      <c r="F2" s="1389"/>
      <c r="G2" s="2704"/>
      <c r="H2" s="2693"/>
      <c r="I2" s="2693"/>
      <c r="J2" s="2693"/>
      <c r="K2" s="2694"/>
      <c r="L2" s="2693"/>
      <c r="M2" s="2693"/>
    </row>
    <row r="3" spans="1:37" ht="18" customHeight="1" thickBot="1">
      <c r="A3" s="1390" t="s">
        <v>806</v>
      </c>
      <c r="B3" s="1391">
        <f ca="1">IF(ISERROR(B2*10000/F43),0,ROUND(B2*10000/F43,0))</f>
        <v>3188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235</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235</v>
      </c>
      <c r="D6" s="155" t="s">
        <v>2107</v>
      </c>
      <c r="E6" s="302" t="s">
        <v>696</v>
      </c>
      <c r="F6" s="303">
        <f ca="1">INDIRECT("'数据-取费表'!u"&amp;$G$1)</f>
        <v>1200</v>
      </c>
      <c r="G6" s="1384"/>
      <c r="H6" s="1069" t="s">
        <v>398</v>
      </c>
      <c r="I6" s="3678" t="s">
        <v>694</v>
      </c>
      <c r="J6" s="301">
        <f ca="1">ROUND(M6*M8*M7*(1-M9)/10000,0)</f>
        <v>0</v>
      </c>
      <c r="K6" s="155" t="s">
        <v>2106</v>
      </c>
      <c r="L6" s="302" t="s">
        <v>696</v>
      </c>
      <c r="M6" s="303">
        <f ca="1">INDIRECT("'数据-取费表'!z"&amp;$G$1)</f>
        <v>0</v>
      </c>
    </row>
    <row r="7" spans="1:37" ht="18" customHeight="1">
      <c r="A7" s="1073"/>
      <c r="B7" s="3679"/>
      <c r="C7" s="1075"/>
      <c r="D7" s="307"/>
      <c r="E7" s="3462" t="s">
        <v>697</v>
      </c>
      <c r="F7" s="303">
        <f ca="1">IF(INDIRECT("'数据-取费表'!ah"&amp;$G$1)="",INDIRECT("'数据-取费表'!k"&amp;$G$1),INDIRECT("'数据-取费表'!ah"&amp;$G$1))</f>
        <v>192</v>
      </c>
      <c r="G7" s="1384"/>
      <c r="H7" s="304"/>
      <c r="I7" s="3679"/>
      <c r="J7" s="306"/>
      <c r="K7" s="307"/>
      <c r="L7" s="302" t="s">
        <v>697</v>
      </c>
      <c r="M7" s="303">
        <f ca="1">F7</f>
        <v>192</v>
      </c>
    </row>
    <row r="8" spans="1:37" ht="18" customHeight="1">
      <c r="A8" s="304"/>
      <c r="B8" s="3679"/>
      <c r="C8" s="306"/>
      <c r="D8" s="307"/>
      <c r="E8" s="302" t="s">
        <v>698</v>
      </c>
      <c r="F8" s="303">
        <f ca="1">INDIRECT("'数据-取费表'!ai"&amp;$G$1)</f>
        <v>12</v>
      </c>
      <c r="G8" s="1384"/>
      <c r="H8" s="304"/>
      <c r="I8" s="3679"/>
      <c r="J8" s="306"/>
      <c r="K8" s="307"/>
      <c r="L8" s="302" t="s">
        <v>698</v>
      </c>
      <c r="M8" s="303">
        <f ca="1">INDIRECT("'数据-取费表'!ai"&amp;$G$1)</f>
        <v>12</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3721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6184</v>
      </c>
      <c r="D13" s="3459" t="s">
        <v>705</v>
      </c>
      <c r="E13" s="3459"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6026</v>
      </c>
      <c r="D14" s="3465" t="s">
        <v>708</v>
      </c>
      <c r="E14" s="3464"/>
      <c r="F14" s="319"/>
      <c r="G14" s="1384"/>
      <c r="H14" s="982" t="s">
        <v>398</v>
      </c>
      <c r="I14" s="302" t="s">
        <v>709</v>
      </c>
      <c r="J14" s="21">
        <f ca="1">C29</f>
        <v>8137</v>
      </c>
      <c r="K14" s="3461"/>
      <c r="L14" s="807"/>
      <c r="M14" s="808"/>
    </row>
    <row r="15" spans="1:37" s="1397" customFormat="1" ht="18" customHeight="1" thickBot="1">
      <c r="A15" s="982" t="s">
        <v>399</v>
      </c>
      <c r="B15" s="302" t="s">
        <v>710</v>
      </c>
      <c r="C15" s="21">
        <f ca="1">ROUND(C14*F15,0)</f>
        <v>181</v>
      </c>
      <c r="D15" s="3460" t="s">
        <v>711</v>
      </c>
      <c r="E15" s="346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v>
      </c>
      <c r="K16" s="1087" t="s">
        <v>715</v>
      </c>
      <c r="L16" s="3467"/>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3465" t="s">
        <v>720</v>
      </c>
      <c r="L17" s="3466"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v>
      </c>
      <c r="D18" s="302" t="s">
        <v>711</v>
      </c>
      <c r="E18" s="302" t="s">
        <v>712</v>
      </c>
      <c r="F18" s="322">
        <f>'数据-取费表'!B36</f>
        <v>1.4999999999999999E-2</v>
      </c>
      <c r="G18" s="1396"/>
      <c r="H18" s="982" t="s">
        <v>397</v>
      </c>
      <c r="I18" s="302" t="s">
        <v>723</v>
      </c>
      <c r="J18" s="21">
        <f ca="1">ROUND(J6*M18/(1+'数据-取费表'!C42),2)</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6498</v>
      </c>
      <c r="D19" s="131" t="s">
        <v>726</v>
      </c>
      <c r="E19" s="3469"/>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130</v>
      </c>
      <c r="D20" s="2427"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9"/>
      <c r="F22" s="23"/>
      <c r="G22" s="1384"/>
      <c r="H22" s="982" t="s">
        <v>402</v>
      </c>
      <c r="I22" s="302" t="s">
        <v>738</v>
      </c>
      <c r="J22" s="21">
        <f ca="1">ROUND(J14*M22,2)</f>
        <v>24.41</v>
      </c>
      <c r="K22" s="3466"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228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9"/>
      <c r="F25" s="23"/>
      <c r="G25" s="1384"/>
      <c r="H25" s="1079" t="s">
        <v>394</v>
      </c>
      <c r="I25" s="1094" t="s">
        <v>752</v>
      </c>
      <c r="J25" s="310">
        <f ca="1">J5-J16</f>
        <v>-24</v>
      </c>
      <c r="K25" s="1095" t="s">
        <v>753</v>
      </c>
      <c r="L25" s="1096"/>
      <c r="M25" s="1097"/>
    </row>
    <row r="26" spans="1:37">
      <c r="A26" s="982" t="s">
        <v>397</v>
      </c>
      <c r="B26" s="302" t="s">
        <v>754</v>
      </c>
      <c r="C26" s="21">
        <f ca="1">ROUND((C19+C20)*F26,0)</f>
        <v>663</v>
      </c>
      <c r="D26" s="2427"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7" t="s">
        <v>761</v>
      </c>
      <c r="E27" s="346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8137</v>
      </c>
      <c r="D29" s="1092"/>
      <c r="E29" s="1090"/>
      <c r="F29" s="1093"/>
      <c r="G29" s="1396"/>
      <c r="H29" s="334" t="s">
        <v>396</v>
      </c>
      <c r="I29" s="335" t="s">
        <v>768</v>
      </c>
      <c r="J29" s="336">
        <f ca="1">ROUND(J26/(1+F40)^F41,0)</f>
        <v>0</v>
      </c>
      <c r="K29" s="337" t="s">
        <v>769</v>
      </c>
      <c r="L29" s="338"/>
      <c r="M29" s="339">
        <f ca="1">INDIRECT("'数据-取费表'!k"&amp;$G$1)</f>
        <v>10043.08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v>
      </c>
      <c r="D30" s="1087" t="s">
        <v>715</v>
      </c>
      <c r="E30" s="3467"/>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39.39</v>
      </c>
      <c r="D31" s="3465" t="s">
        <v>720</v>
      </c>
      <c r="E31" s="3466"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12.53</v>
      </c>
      <c r="D32" s="3466"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26.86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24.41</v>
      </c>
      <c r="D36" s="3466"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ROUND(C13*F37,2)</f>
        <v>6.18</v>
      </c>
      <c r="D37" s="3466" t="s">
        <v>743</v>
      </c>
      <c r="E37" s="302" t="s">
        <v>712</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1.18</v>
      </c>
      <c r="D38" s="1092" t="s">
        <v>748</v>
      </c>
      <c r="E38" s="1090" t="s">
        <v>712</v>
      </c>
      <c r="F38" s="1086">
        <f ca="1">INDIRECT("'数据-取费表'!Am"&amp;$G$1)</f>
        <v>5.0000000000000001E-3</v>
      </c>
      <c r="G38" s="1384"/>
      <c r="H38" s="2698"/>
      <c r="I38" s="1398">
        <f ca="1">C39/C5</f>
        <v>0.69787234042553192</v>
      </c>
      <c r="J38" s="1399"/>
      <c r="K38" s="2702"/>
      <c r="L38" s="2698"/>
      <c r="M38" s="2698"/>
    </row>
    <row r="39" spans="1:18" ht="24.6" customHeight="1" thickTop="1">
      <c r="A39" s="1079" t="s">
        <v>394</v>
      </c>
      <c r="B39" s="1094" t="s">
        <v>772</v>
      </c>
      <c r="C39" s="310">
        <f ca="1">C5-C30</f>
        <v>164</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2484</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2473</v>
      </c>
      <c r="D43" s="337" t="s">
        <v>777</v>
      </c>
      <c r="E43" s="338" t="s">
        <v>778</v>
      </c>
      <c r="F43" s="339">
        <f ca="1">INDIRECT("'数据-取费表'!k"&amp;$G$1)</f>
        <v>10043.08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-2880</v>
      </c>
      <c r="D46" s="1406" t="str">
        <f>C2</f>
        <v>万元</v>
      </c>
      <c r="E46" s="1400"/>
      <c r="F46" s="1400"/>
      <c r="I46" s="1407" t="s">
        <v>810</v>
      </c>
      <c r="J46" s="1408"/>
      <c r="K46" s="1409"/>
      <c r="L46" s="1410">
        <f ca="1">IF(M47="住宅",0,IF(L48&gt;J51,L60,J60))</f>
        <v>718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2484</v>
      </c>
      <c r="R47" s="1420" t="s">
        <v>818</v>
      </c>
    </row>
    <row r="48" spans="1:18" s="1384" customFormat="1" ht="28.5" thickBot="1">
      <c r="A48" s="1110" t="s">
        <v>438</v>
      </c>
      <c r="B48" s="300" t="s">
        <v>692</v>
      </c>
      <c r="C48" s="3468">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718</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'数据-取费表'!N17</f>
        <v>1999</v>
      </c>
      <c r="K49" s="1423" t="s">
        <v>824</v>
      </c>
      <c r="L49" s="1427"/>
      <c r="O49" s="1428" t="s">
        <v>405</v>
      </c>
      <c r="P49" s="1419" t="s">
        <v>825</v>
      </c>
      <c r="Q49" s="1420">
        <f ca="1">C29</f>
        <v>8137</v>
      </c>
      <c r="R49" s="1420" t="s">
        <v>818</v>
      </c>
    </row>
    <row r="50" spans="1:18" s="1384" customFormat="1" ht="13.5" thickBot="1">
      <c r="A50" s="976"/>
      <c r="B50" s="979"/>
      <c r="C50" s="1118"/>
      <c r="D50" s="953"/>
      <c r="E50" s="1056" t="s">
        <v>697</v>
      </c>
      <c r="F50" s="1057">
        <f ca="1">F7</f>
        <v>192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-4695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676" t="s">
        <v>837</v>
      </c>
      <c r="L53" s="3677"/>
      <c r="O53" s="1418" t="s">
        <v>409</v>
      </c>
      <c r="P53" s="1419" t="s">
        <v>838</v>
      </c>
      <c r="Q53" s="1420">
        <f ca="1">Q47+Q48</f>
        <v>3202</v>
      </c>
      <c r="R53" s="1420" t="s">
        <v>410</v>
      </c>
    </row>
    <row r="54" spans="1:18" s="1384" customFormat="1" ht="13.5" thickBot="1">
      <c r="A54" s="1153"/>
      <c r="B54" s="1367" t="s">
        <v>679</v>
      </c>
      <c r="C54" s="959"/>
      <c r="D54" s="1366"/>
      <c r="E54" s="346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3"/>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6184</v>
      </c>
      <c r="D56" s="1447"/>
      <c r="E56" s="1448"/>
      <c r="F56" s="1440"/>
      <c r="I56" s="1449" t="s">
        <v>842</v>
      </c>
      <c r="J56" s="1450" t="s">
        <v>3409</v>
      </c>
      <c r="K56" s="1421" t="s">
        <v>843</v>
      </c>
      <c r="L56" s="1424" t="str">
        <f ca="1">IF(L48&lt;J51,"——",L48-J53)</f>
        <v>——</v>
      </c>
      <c r="O56" s="1418" t="s">
        <v>403</v>
      </c>
      <c r="P56" s="1419" t="s">
        <v>817</v>
      </c>
      <c r="Q56" s="1420">
        <f ca="1">C40+J29</f>
        <v>2484</v>
      </c>
      <c r="R56" s="1420" t="s">
        <v>818</v>
      </c>
    </row>
    <row r="57" spans="1:18" s="1384" customFormat="1" ht="24.75" thickBot="1">
      <c r="A57" s="1451"/>
      <c r="B57" s="950" t="s">
        <v>767</v>
      </c>
      <c r="C57" s="238">
        <f ca="1">C29</f>
        <v>8137</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3255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2484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24.41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6.18</v>
      </c>
      <c r="D65" s="964" t="s">
        <v>743</v>
      </c>
      <c r="E65" s="950" t="s">
        <v>712</v>
      </c>
      <c r="F65" s="330">
        <f t="shared" ca="1" si="0"/>
        <v>1E-3</v>
      </c>
      <c r="I65" s="1462" t="s">
        <v>867</v>
      </c>
      <c r="J65" s="1463">
        <v>40</v>
      </c>
      <c r="K65" s="1463">
        <v>30</v>
      </c>
      <c r="L65" s="1463">
        <v>50</v>
      </c>
      <c r="M65" s="1465">
        <v>0.02</v>
      </c>
      <c r="O65" s="1418" t="s">
        <v>403</v>
      </c>
      <c r="P65" s="1419" t="s">
        <v>868</v>
      </c>
      <c r="Q65" s="1420">
        <f ca="1">C40+J29</f>
        <v>2484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-31</v>
      </c>
      <c r="D67" s="963" t="s">
        <v>753</v>
      </c>
      <c r="E67" s="968"/>
      <c r="F67" s="969"/>
      <c r="O67" s="1428" t="s">
        <v>405</v>
      </c>
      <c r="P67" s="1419" t="s">
        <v>850</v>
      </c>
      <c r="Q67" s="1466">
        <f ca="1">L51</f>
        <v>-4695</v>
      </c>
      <c r="R67" s="1420" t="s">
        <v>870</v>
      </c>
    </row>
    <row r="68" spans="1:18" s="1384" customFormat="1" ht="16.5" thickBot="1">
      <c r="A68" s="947" t="s">
        <v>395</v>
      </c>
      <c r="B68" s="948" t="s">
        <v>774</v>
      </c>
      <c r="C68" s="301">
        <f ca="1">ROUND(C67*(1-((1+F70)/(1+F68))^F69)/(F68-F70),0)</f>
        <v>-396</v>
      </c>
      <c r="D68" s="965" t="s">
        <v>758</v>
      </c>
      <c r="E68" s="950" t="s">
        <v>759</v>
      </c>
      <c r="F68" s="312">
        <f ca="1">F40</f>
        <v>0.05</v>
      </c>
      <c r="O68" s="1428" t="s">
        <v>406</v>
      </c>
      <c r="P68" s="1467" t="s">
        <v>871</v>
      </c>
      <c r="Q68" s="1420">
        <f ca="1">ROUND(Q69-Q70*Q71,0)</f>
        <v>-269</v>
      </c>
      <c r="R68" s="1420" t="s">
        <v>414</v>
      </c>
    </row>
    <row r="69" spans="1:18" s="1384" customFormat="1" ht="13.5" thickBot="1">
      <c r="A69" s="951"/>
      <c r="B69" s="952"/>
      <c r="C69" s="306"/>
      <c r="D69" s="970" t="s">
        <v>762</v>
      </c>
      <c r="E69" s="950" t="s">
        <v>763</v>
      </c>
      <c r="F69" s="333">
        <f ca="1">F41</f>
        <v>20.9</v>
      </c>
      <c r="O69" s="1428" t="s">
        <v>411</v>
      </c>
      <c r="P69" s="1467" t="s">
        <v>872</v>
      </c>
      <c r="Q69" s="1420">
        <f ca="1">C39</f>
        <v>164</v>
      </c>
      <c r="R69" s="1420" t="s">
        <v>818</v>
      </c>
    </row>
    <row r="70" spans="1:18" s="1384" customFormat="1" ht="13.5" thickBot="1">
      <c r="A70" s="954"/>
      <c r="B70" s="955"/>
      <c r="C70" s="310"/>
      <c r="D70" s="966"/>
      <c r="E70" s="950" t="s">
        <v>766</v>
      </c>
      <c r="F70" s="1054"/>
      <c r="O70" s="1428" t="s">
        <v>412</v>
      </c>
      <c r="P70" s="1467" t="s">
        <v>873</v>
      </c>
      <c r="Q70" s="1420">
        <f ca="1">C13</f>
        <v>6184</v>
      </c>
      <c r="R70" s="1420" t="s">
        <v>818</v>
      </c>
    </row>
    <row r="71" spans="1:18" s="1384" customFormat="1" ht="13.5" thickBot="1">
      <c r="A71" s="971" t="s">
        <v>396</v>
      </c>
      <c r="B71" s="972" t="s">
        <v>776</v>
      </c>
      <c r="C71" s="336">
        <f ca="1">ROUND(C68*10000/F71,0)</f>
        <v>-394</v>
      </c>
      <c r="D71" s="973" t="s">
        <v>777</v>
      </c>
      <c r="E71" s="974" t="s">
        <v>778</v>
      </c>
      <c r="F71" s="339">
        <f ca="1">F43</f>
        <v>10043.08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433</v>
      </c>
      <c r="D75" s="1384"/>
      <c r="E75" s="1384"/>
      <c r="F75" s="1384"/>
      <c r="K75" s="1402"/>
      <c r="L75" s="1384"/>
      <c r="O75" s="1418" t="s">
        <v>409</v>
      </c>
      <c r="P75" s="1419" t="s">
        <v>838</v>
      </c>
      <c r="Q75" s="1420">
        <f ca="1">Q65+Q66</f>
        <v>2484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-1.6400000000000001</v>
      </c>
    </row>
    <row r="80" spans="1:18">
      <c r="B80" s="340" t="s">
        <v>800</v>
      </c>
      <c r="C80" s="274">
        <f ca="1">ROUND(C75/C39,3)</f>
        <v>2.64</v>
      </c>
    </row>
    <row r="81" spans="2:3">
      <c r="B81" s="270" t="s">
        <v>801</v>
      </c>
      <c r="C81" s="238"/>
    </row>
    <row r="82" spans="2:3">
      <c r="B82" s="273" t="s">
        <v>802</v>
      </c>
      <c r="C82" s="275">
        <f ca="1">1-C83</f>
        <v>-1.4900000000000002</v>
      </c>
    </row>
    <row r="83" spans="2:3">
      <c r="B83" s="273" t="s">
        <v>803</v>
      </c>
      <c r="C83" s="274">
        <f ca="1">ROUND(C13/C40,3)</f>
        <v>2.4900000000000002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P45" sqref="P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125750</v>
      </c>
      <c r="C2" s="1387" t="s">
        <v>805</v>
      </c>
      <c r="D2" s="1387"/>
      <c r="E2" s="1388"/>
      <c r="F2" s="1389"/>
      <c r="G2" s="2704"/>
      <c r="H2" s="2693"/>
      <c r="I2" s="2693"/>
      <c r="J2" s="2693"/>
      <c r="K2" s="2694"/>
      <c r="L2" s="2693"/>
      <c r="M2" s="2693"/>
    </row>
    <row r="3" spans="1:37" ht="18" customHeight="1" thickBot="1">
      <c r="A3" s="1390" t="s">
        <v>806</v>
      </c>
      <c r="B3" s="1391">
        <f ca="1">IF(ISERROR(B2*10000/F43),0,ROUND(B2*10000/F43,0))</f>
        <v>29572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9973</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9961</v>
      </c>
      <c r="D6" s="155" t="s">
        <v>2107</v>
      </c>
      <c r="E6" s="302" t="s">
        <v>696</v>
      </c>
      <c r="F6" s="303">
        <f ca="1">INDIRECT("'数据-取费表'!u"&amp;$G$1)</f>
        <v>7.55</v>
      </c>
      <c r="G6" s="1384"/>
      <c r="H6" s="1069" t="s">
        <v>398</v>
      </c>
      <c r="I6" s="3678" t="s">
        <v>694</v>
      </c>
      <c r="J6" s="301">
        <f ca="1">ROUND(M6*M8*M7*(1-M9)/10000,0)</f>
        <v>0</v>
      </c>
      <c r="K6" s="155"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42523.619999999995</v>
      </c>
      <c r="G7" s="1384"/>
      <c r="H7" s="304"/>
      <c r="I7" s="3679"/>
      <c r="J7" s="306"/>
      <c r="K7" s="307"/>
      <c r="L7" s="302" t="s">
        <v>697</v>
      </c>
      <c r="M7" s="303">
        <f ca="1">F7</f>
        <v>42523.619999999995</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2115</v>
      </c>
      <c r="E10" s="313" t="s">
        <v>701</v>
      </c>
      <c r="F10" s="1116" t="s">
        <v>3396</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28555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25514</v>
      </c>
      <c r="D14" s="1345" t="s">
        <v>708</v>
      </c>
      <c r="E14" s="1342"/>
      <c r="F14" s="319"/>
      <c r="G14" s="1384"/>
      <c r="H14" s="982" t="s">
        <v>398</v>
      </c>
      <c r="I14" s="302" t="s">
        <v>709</v>
      </c>
      <c r="J14" s="21">
        <f ca="1">C29</f>
        <v>37573</v>
      </c>
      <c r="K14" s="12"/>
      <c r="L14" s="807"/>
      <c r="M14" s="808"/>
    </row>
    <row r="15" spans="1:37" s="1397" customFormat="1" ht="18" customHeight="1" thickBot="1">
      <c r="A15" s="982" t="s">
        <v>399</v>
      </c>
      <c r="B15" s="302" t="s">
        <v>710</v>
      </c>
      <c r="C15" s="21">
        <f ca="1">ROUND(C14*F15,0)</f>
        <v>765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27512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550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112.72</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-113</v>
      </c>
      <c r="K25" s="1095" t="s">
        <v>753</v>
      </c>
      <c r="L25" s="1096"/>
      <c r="M25" s="1097"/>
    </row>
    <row r="26" spans="1:37">
      <c r="A26" s="982" t="s">
        <v>397</v>
      </c>
      <c r="B26" s="302" t="s">
        <v>754</v>
      </c>
      <c r="C26" s="21">
        <f ca="1">ROUND((C19+C20)*F26,0)</f>
        <v>5612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37573</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1861</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1669.65</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531.25</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1138.4000000000001</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112.72</v>
      </c>
      <c r="D36" s="1344"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ROUND(C13*F37,2)</f>
        <v>28.56</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49.87</v>
      </c>
      <c r="D38" s="1092" t="s">
        <v>748</v>
      </c>
      <c r="E38" s="1090" t="s">
        <v>744</v>
      </c>
      <c r="F38" s="1086">
        <f ca="1">INDIRECT("'数据-取费表'!Am"&amp;$G$1)</f>
        <v>5.0000000000000001E-3</v>
      </c>
      <c r="G38" s="1384"/>
      <c r="H38" s="2698"/>
      <c r="I38" s="1398">
        <f ca="1">C39/C5</f>
        <v>0.81339616965807682</v>
      </c>
      <c r="J38" s="1399"/>
      <c r="K38" s="2702"/>
      <c r="L38" s="2698"/>
      <c r="M38" s="2698"/>
    </row>
    <row r="39" spans="1:18" ht="24.6" customHeight="1" thickTop="1">
      <c r="A39" s="1079" t="s">
        <v>394</v>
      </c>
      <c r="B39" s="1094" t="s">
        <v>772</v>
      </c>
      <c r="C39" s="310">
        <f ca="1">C5-C30</f>
        <v>8112</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122435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28792</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-124161</v>
      </c>
      <c r="D46" s="1406" t="str">
        <f>C2</f>
        <v>万元</v>
      </c>
      <c r="E46" s="1400"/>
      <c r="F46" s="1400"/>
      <c r="I46" s="1407" t="s">
        <v>810</v>
      </c>
      <c r="J46" s="1408"/>
      <c r="K46" s="1409"/>
      <c r="L46" s="1410">
        <f ca="1">IF(M47="住宅",0,IF(L48&gt;J51,L60,J60))</f>
        <v>3315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122435</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3315</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'数据-取费表'!N17</f>
        <v>1999</v>
      </c>
      <c r="K49" s="1423" t="s">
        <v>824</v>
      </c>
      <c r="L49" s="1427"/>
      <c r="O49" s="1428" t="s">
        <v>405</v>
      </c>
      <c r="P49" s="1419" t="s">
        <v>825</v>
      </c>
      <c r="Q49" s="1420">
        <f ca="1">C29</f>
        <v>37573</v>
      </c>
      <c r="R49" s="1420" t="s">
        <v>818</v>
      </c>
    </row>
    <row r="50" spans="1:18" s="1384" customFormat="1" ht="13.5" thickBot="1">
      <c r="A50" s="976"/>
      <c r="B50" s="979"/>
      <c r="C50" s="1118"/>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100098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676" t="s">
        <v>837</v>
      </c>
      <c r="L53" s="3677"/>
      <c r="O53" s="1418" t="s">
        <v>409</v>
      </c>
      <c r="P53" s="1419" t="s">
        <v>838</v>
      </c>
      <c r="Q53" s="1420">
        <f ca="1">Q47+Q48</f>
        <v>125750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28555</v>
      </c>
      <c r="D56" s="1447"/>
      <c r="E56" s="1448"/>
      <c r="F56" s="1440"/>
      <c r="I56" s="1449" t="s">
        <v>842</v>
      </c>
      <c r="J56" s="1450" t="s">
        <v>3409</v>
      </c>
      <c r="K56" s="1421" t="s">
        <v>843</v>
      </c>
      <c r="L56" s="1424" t="str">
        <f ca="1">IF(L48&lt;J51,"——",L48-J53)</f>
        <v>——</v>
      </c>
      <c r="O56" s="1418" t="s">
        <v>403</v>
      </c>
      <c r="P56" s="1419" t="s">
        <v>817</v>
      </c>
      <c r="Q56" s="1420">
        <f ca="1">C40+J29</f>
        <v>122435</v>
      </c>
      <c r="R56" s="1420" t="s">
        <v>818</v>
      </c>
    </row>
    <row r="57" spans="1:18" s="1384" customFormat="1" ht="24.75" thickBot="1">
      <c r="A57" s="1451"/>
      <c r="B57" s="950" t="s">
        <v>767</v>
      </c>
      <c r="C57" s="238">
        <f ca="1">C29</f>
        <v>37573</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15029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3315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122435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112.72</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28.56</v>
      </c>
      <c r="D65" s="964" t="s">
        <v>743</v>
      </c>
      <c r="E65" s="950" t="s">
        <v>744</v>
      </c>
      <c r="F65" s="330">
        <f t="shared" ca="1" si="0"/>
        <v>1E-3</v>
      </c>
      <c r="I65" s="1462" t="s">
        <v>867</v>
      </c>
      <c r="J65" s="1463">
        <v>40</v>
      </c>
      <c r="K65" s="1463">
        <v>30</v>
      </c>
      <c r="L65" s="1463">
        <v>50</v>
      </c>
      <c r="M65" s="1465">
        <v>0.02</v>
      </c>
      <c r="O65" s="1418" t="s">
        <v>403</v>
      </c>
      <c r="P65" s="1419" t="s">
        <v>868</v>
      </c>
      <c r="Q65" s="1420">
        <f ca="1">C40+J29</f>
        <v>122435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-141</v>
      </c>
      <c r="D67" s="963" t="s">
        <v>753</v>
      </c>
      <c r="E67" s="968"/>
      <c r="F67" s="969"/>
      <c r="O67" s="1428" t="s">
        <v>405</v>
      </c>
      <c r="P67" s="1419" t="s">
        <v>850</v>
      </c>
      <c r="Q67" s="1466">
        <f ca="1">L51</f>
        <v>100098</v>
      </c>
      <c r="R67" s="1420" t="s">
        <v>870</v>
      </c>
    </row>
    <row r="68" spans="1:18" s="1384" customFormat="1" ht="16.5" thickBot="1">
      <c r="A68" s="947" t="s">
        <v>395</v>
      </c>
      <c r="B68" s="948" t="s">
        <v>774</v>
      </c>
      <c r="C68" s="301">
        <f ca="1">ROUND(C67*(1-((1+F70)/(1+F68))^F69)/(F68-F70),0)</f>
        <v>-1726</v>
      </c>
      <c r="D68" s="965" t="s">
        <v>758</v>
      </c>
      <c r="E68" s="950" t="s">
        <v>759</v>
      </c>
      <c r="F68" s="312">
        <f ca="1">F40</f>
        <v>5.5E-2</v>
      </c>
      <c r="O68" s="1428" t="s">
        <v>406</v>
      </c>
      <c r="P68" s="1467" t="s">
        <v>871</v>
      </c>
      <c r="Q68" s="1420">
        <f ca="1">ROUND(Q69-Q70*Q71,0)</f>
        <v>6113</v>
      </c>
      <c r="R68" s="1420" t="s">
        <v>414</v>
      </c>
    </row>
    <row r="69" spans="1:18" s="1384" customFormat="1" ht="13.5" thickBot="1">
      <c r="A69" s="951"/>
      <c r="B69" s="952"/>
      <c r="C69" s="306"/>
      <c r="D69" s="970" t="s">
        <v>762</v>
      </c>
      <c r="E69" s="950" t="s">
        <v>763</v>
      </c>
      <c r="F69" s="333">
        <f ca="1">F41</f>
        <v>20.9</v>
      </c>
      <c r="O69" s="1428" t="s">
        <v>411</v>
      </c>
      <c r="P69" s="1467" t="s">
        <v>872</v>
      </c>
      <c r="Q69" s="1420">
        <f ca="1">C39</f>
        <v>8112</v>
      </c>
      <c r="R69" s="1420" t="s">
        <v>818</v>
      </c>
    </row>
    <row r="70" spans="1:18" s="1384" customFormat="1" ht="13.5" thickBot="1">
      <c r="A70" s="954"/>
      <c r="B70" s="955"/>
      <c r="C70" s="310"/>
      <c r="D70" s="966"/>
      <c r="E70" s="950" t="s">
        <v>766</v>
      </c>
      <c r="F70" s="1054"/>
      <c r="O70" s="1428" t="s">
        <v>412</v>
      </c>
      <c r="P70" s="1467" t="s">
        <v>873</v>
      </c>
      <c r="Q70" s="1420">
        <f ca="1">C13</f>
        <v>28555</v>
      </c>
      <c r="R70" s="1420" t="s">
        <v>818</v>
      </c>
    </row>
    <row r="71" spans="1:18" s="1384" customFormat="1" ht="13.5" thickBot="1">
      <c r="A71" s="971" t="s">
        <v>396</v>
      </c>
      <c r="B71" s="972" t="s">
        <v>776</v>
      </c>
      <c r="C71" s="336">
        <f ca="1">ROUND(C68*10000/F71,0)</f>
        <v>-406</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1999</v>
      </c>
      <c r="D75" s="1384"/>
      <c r="E75" s="1384"/>
      <c r="F75" s="1384"/>
      <c r="K75" s="1402"/>
      <c r="L75" s="1384"/>
      <c r="O75" s="1418" t="s">
        <v>409</v>
      </c>
      <c r="P75" s="1419" t="s">
        <v>838</v>
      </c>
      <c r="Q75" s="1420">
        <f ca="1">Q65+Q66</f>
        <v>122435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122440.7797</v>
      </c>
      <c r="C2" s="1387" t="s">
        <v>879</v>
      </c>
      <c r="D2" s="1471">
        <f ca="1">C40+J29+L46</f>
        <v>1224407797</v>
      </c>
      <c r="E2" s="1388" t="s">
        <v>880</v>
      </c>
      <c r="F2" s="1389"/>
      <c r="G2" s="2704"/>
      <c r="H2" s="2693"/>
      <c r="I2" s="2693"/>
      <c r="J2" s="2693"/>
      <c r="K2" s="2694"/>
      <c r="L2" s="2693"/>
      <c r="M2" s="2693"/>
    </row>
    <row r="3" spans="1:37" ht="18" customHeight="1" thickBot="1">
      <c r="A3" s="1390" t="s">
        <v>881</v>
      </c>
      <c r="B3" s="1391">
        <f ca="1">IF(ISERROR(D2/F43),0,ROUND(D2/F43,0))</f>
        <v>28794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99731304</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99606796</v>
      </c>
      <c r="D6" s="155" t="s">
        <v>2104</v>
      </c>
      <c r="E6" s="302" t="s">
        <v>696</v>
      </c>
      <c r="F6" s="303">
        <f ca="1">INDIRECT("'数据-取费表'!u"&amp;$G$1)</f>
        <v>7.55</v>
      </c>
      <c r="G6" s="1384"/>
      <c r="H6" s="1069" t="s">
        <v>398</v>
      </c>
      <c r="I6" s="3678" t="s">
        <v>694</v>
      </c>
      <c r="J6" s="301">
        <f ca="1">ROUND(M6*M8*M7*(1-M9),0)</f>
        <v>0</v>
      </c>
      <c r="K6" s="1376" t="s">
        <v>2105</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42523.619999999995</v>
      </c>
      <c r="G7" s="1384"/>
      <c r="H7" s="304"/>
      <c r="I7" s="3679"/>
      <c r="J7" s="306"/>
      <c r="K7" s="307"/>
      <c r="L7" s="302" t="s">
        <v>697</v>
      </c>
      <c r="M7" s="303">
        <f ca="1">F7</f>
        <v>42523.619999999995</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124508</v>
      </c>
      <c r="D10" s="1366" t="s">
        <v>2114</v>
      </c>
      <c r="E10" s="313" t="s">
        <v>701</v>
      </c>
      <c r="F10" s="1116" t="s">
        <v>3396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285567281</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255141720</v>
      </c>
      <c r="D14" s="1345" t="s">
        <v>708</v>
      </c>
      <c r="E14" s="1342"/>
      <c r="F14" s="319"/>
      <c r="G14" s="1384"/>
      <c r="H14" s="982" t="s">
        <v>398</v>
      </c>
      <c r="I14" s="302" t="s">
        <v>709</v>
      </c>
      <c r="J14" s="21">
        <f ca="1">C29</f>
        <v>375746423</v>
      </c>
      <c r="K14" s="12"/>
      <c r="L14" s="807"/>
      <c r="M14" s="808"/>
    </row>
    <row r="15" spans="1:37" s="1397" customFormat="1" ht="18" customHeight="1" thickBot="1">
      <c r="A15" s="982" t="s">
        <v>399</v>
      </c>
      <c r="B15" s="302" t="s">
        <v>710</v>
      </c>
      <c r="C15" s="21">
        <f ca="1">ROUND(C14*F15,0)</f>
        <v>7654252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1127239</v>
      </c>
      <c r="K16" s="1087" t="s">
        <v>715</v>
      </c>
      <c r="L16" s="1088"/>
      <c r="M16" s="1072"/>
    </row>
    <row r="17" spans="1:37" s="1397" customFormat="1" ht="18" customHeight="1">
      <c r="A17" s="982" t="s">
        <v>681</v>
      </c>
      <c r="B17" s="302" t="s">
        <v>716</v>
      </c>
      <c r="C17" s="21">
        <f ca="1">ROUND(F17*(F43+INDIRECT("'数据-取费表'!S"&amp;$G$1)),0)</f>
        <v>8504724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3827126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275127822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5502556</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1127239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9681748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-1127239</v>
      </c>
      <c r="K25" s="1095" t="s">
        <v>753</v>
      </c>
      <c r="L25" s="1096"/>
      <c r="M25" s="1097"/>
    </row>
    <row r="26" spans="1:37" ht="18" customHeight="1">
      <c r="A26" s="982" t="s">
        <v>397</v>
      </c>
      <c r="B26" s="302" t="s">
        <v>754</v>
      </c>
      <c r="C26" s="21">
        <f ca="1">ROUND((C19+C20)*F26,0)</f>
        <v>56126076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375746423</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18607459</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16695996</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5312362</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11383634</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1127239</v>
      </c>
      <c r="D36" s="1344" t="s">
        <v>771</v>
      </c>
      <c r="E36" s="302" t="s">
        <v>712</v>
      </c>
      <c r="F36" s="328">
        <f ca="1">INDIRECT("'数据-取费表'!Ak"&amp;$G$1)</f>
        <v>3.0000000000000001E-3</v>
      </c>
      <c r="G36" s="1384"/>
      <c r="H36" s="2698"/>
      <c r="I36" s="1398"/>
      <c r="J36" s="1399"/>
      <c r="K36" s="2543"/>
      <c r="L36" s="2698"/>
      <c r="M36" s="2698"/>
    </row>
    <row r="37" spans="1:18" ht="18" customHeight="1">
      <c r="A37" s="982" t="s">
        <v>437</v>
      </c>
      <c r="B37" s="302" t="s">
        <v>742</v>
      </c>
      <c r="C37" s="21">
        <f ca="1">ROUND(C13*F37,0)</f>
        <v>285567</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498657</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81123845</v>
      </c>
      <c r="D39" s="1095" t="s">
        <v>773</v>
      </c>
      <c r="E39" s="1096"/>
      <c r="F39" s="1097"/>
      <c r="G39" s="1384"/>
      <c r="H39" s="2698"/>
      <c r="I39" s="1398"/>
      <c r="J39" s="1399"/>
      <c r="K39" s="2702"/>
      <c r="L39" s="2698"/>
      <c r="M39" s="2698"/>
    </row>
    <row r="40" spans="1:18" ht="18" customHeight="1">
      <c r="A40" s="299" t="s">
        <v>395</v>
      </c>
      <c r="B40" s="300" t="s">
        <v>774</v>
      </c>
      <c r="C40" s="301">
        <f ca="1">ROUND(C39*(1-((1+F42)/(1+F40))^F41)/(F40-F42),0)</f>
        <v>1224407797</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28794</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-124170.5537</v>
      </c>
      <c r="D45" s="3430" t="s">
        <v>3353</v>
      </c>
      <c r="E45" s="1400"/>
      <c r="F45" s="1400"/>
      <c r="O45" s="1403" t="s">
        <v>808</v>
      </c>
      <c r="P45" s="1461"/>
      <c r="Q45" s="1461"/>
      <c r="R45" s="1461"/>
    </row>
    <row r="46" spans="1:18" s="1384" customFormat="1" ht="13.5" thickBot="1">
      <c r="A46" s="1404" t="s">
        <v>809</v>
      </c>
      <c r="C46" s="1405">
        <f ca="1">ROUND(C45,0)</f>
        <v>-124171</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1224407797</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375746423</v>
      </c>
      <c r="R49" s="1420" t="s">
        <v>818</v>
      </c>
    </row>
    <row r="50" spans="1:18" s="1384" customFormat="1" ht="13.5" thickBot="1">
      <c r="A50" s="976"/>
      <c r="B50" s="979"/>
      <c r="C50" s="980"/>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1079798374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20.9</v>
      </c>
      <c r="K53" s="3676" t="s">
        <v>837</v>
      </c>
      <c r="L53" s="3677"/>
      <c r="O53" s="1418" t="s">
        <v>409</v>
      </c>
      <c r="P53" s="1419" t="s">
        <v>838</v>
      </c>
      <c r="Q53" s="1420">
        <f ca="1">Q47+Q48</f>
        <v>1224407797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285567281</v>
      </c>
      <c r="D56" s="1447"/>
      <c r="E56" s="1448"/>
      <c r="F56" s="1440"/>
      <c r="I56" s="1449" t="s">
        <v>842</v>
      </c>
      <c r="J56" s="1450" t="s">
        <v>3380</v>
      </c>
      <c r="K56" s="1421" t="s">
        <v>843</v>
      </c>
      <c r="L56" s="1424" t="str">
        <f ca="1">IF(L48&lt;J51,"——",L48-J51)</f>
        <v>——</v>
      </c>
      <c r="O56" s="1418" t="s">
        <v>403</v>
      </c>
      <c r="P56" s="1419" t="s">
        <v>817</v>
      </c>
      <c r="Q56" s="1420">
        <f ca="1">C40+J29</f>
        <v>1224407797</v>
      </c>
      <c r="R56" s="1420" t="s">
        <v>818</v>
      </c>
    </row>
    <row r="57" spans="1:18" s="1384" customFormat="1" ht="24.75" thickBot="1">
      <c r="A57" s="1451"/>
      <c r="B57" s="950" t="s">
        <v>767</v>
      </c>
      <c r="C57" s="238">
        <f ca="1">C29</f>
        <v>375746423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1412806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1224407797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1127239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285567</v>
      </c>
      <c r="D65" s="964" t="s">
        <v>743</v>
      </c>
      <c r="E65" s="950" t="s">
        <v>744</v>
      </c>
      <c r="F65" s="330">
        <f t="shared" ca="1" si="0"/>
        <v>1E-3</v>
      </c>
      <c r="I65" s="1462" t="s">
        <v>867</v>
      </c>
      <c r="J65" s="1463">
        <v>40</v>
      </c>
      <c r="K65" s="1463">
        <v>30</v>
      </c>
      <c r="L65" s="1463">
        <v>50</v>
      </c>
      <c r="M65" s="1465">
        <v>0.02</v>
      </c>
      <c r="O65" s="1418" t="s">
        <v>403</v>
      </c>
      <c r="P65" s="1419" t="s">
        <v>868</v>
      </c>
      <c r="Q65" s="1420">
        <f ca="1">C40+J29</f>
        <v>1224407797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-1412806</v>
      </c>
      <c r="D67" s="963" t="s">
        <v>753</v>
      </c>
      <c r="E67" s="968"/>
      <c r="F67" s="969"/>
      <c r="O67" s="1428" t="s">
        <v>405</v>
      </c>
      <c r="P67" s="1419" t="s">
        <v>850</v>
      </c>
      <c r="Q67" s="1466">
        <f ca="1">L51</f>
        <v>1079798374</v>
      </c>
      <c r="R67" s="1420" t="s">
        <v>870</v>
      </c>
    </row>
    <row r="68" spans="1:18" s="1384" customFormat="1" ht="16.5" thickBot="1">
      <c r="A68" s="947" t="s">
        <v>395</v>
      </c>
      <c r="B68" s="948" t="s">
        <v>774</v>
      </c>
      <c r="C68" s="301">
        <f ca="1">ROUND(C67*(1-((1+F70)/(1+F68))^F69)/(F68-F70),0)</f>
        <v>-17297740</v>
      </c>
      <c r="D68" s="965" t="s">
        <v>758</v>
      </c>
      <c r="E68" s="950" t="s">
        <v>759</v>
      </c>
      <c r="F68" s="312">
        <f ca="1">F40</f>
        <v>5.5E-2</v>
      </c>
      <c r="O68" s="1428" t="s">
        <v>406</v>
      </c>
      <c r="P68" s="1467" t="s">
        <v>871</v>
      </c>
      <c r="Q68" s="1420">
        <f ca="1">ROUND(Q69-Q70*Q71,0)</f>
        <v>61134135</v>
      </c>
      <c r="R68" s="1420" t="s">
        <v>414</v>
      </c>
    </row>
    <row r="69" spans="1:18" s="1384" customFormat="1" ht="13.5" thickBot="1">
      <c r="A69" s="951"/>
      <c r="B69" s="952"/>
      <c r="C69" s="306"/>
      <c r="D69" s="970" t="s">
        <v>762</v>
      </c>
      <c r="E69" s="950" t="s">
        <v>763</v>
      </c>
      <c r="F69" s="333">
        <f ca="1">F41</f>
        <v>20.9</v>
      </c>
      <c r="O69" s="1428" t="s">
        <v>411</v>
      </c>
      <c r="P69" s="1467" t="s">
        <v>872</v>
      </c>
      <c r="Q69" s="1420">
        <f ca="1">C39</f>
        <v>81123845</v>
      </c>
      <c r="R69" s="1420" t="s">
        <v>818</v>
      </c>
    </row>
    <row r="70" spans="1:18" s="1384" customFormat="1" ht="13.5" thickBot="1">
      <c r="A70" s="954"/>
      <c r="B70" s="955"/>
      <c r="C70" s="310"/>
      <c r="D70" s="966"/>
      <c r="E70" s="950" t="s">
        <v>766</v>
      </c>
      <c r="F70" s="1054"/>
      <c r="O70" s="1428" t="s">
        <v>412</v>
      </c>
      <c r="P70" s="1467" t="s">
        <v>873</v>
      </c>
      <c r="Q70" s="1420">
        <f ca="1">C13</f>
        <v>285567281</v>
      </c>
      <c r="R70" s="1420" t="s">
        <v>818</v>
      </c>
    </row>
    <row r="71" spans="1:18" s="1384" customFormat="1" ht="13.5" thickBot="1">
      <c r="A71" s="971" t="s">
        <v>396</v>
      </c>
      <c r="B71" s="972" t="s">
        <v>776</v>
      </c>
      <c r="C71" s="336">
        <f ca="1">ROUND(C68/F71,0)</f>
        <v>-407</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19989710</v>
      </c>
      <c r="D75" s="1384"/>
      <c r="E75" s="1384"/>
      <c r="F75" s="1384"/>
      <c r="K75" s="1402"/>
      <c r="L75" s="1384"/>
      <c r="O75" s="1418" t="s">
        <v>409</v>
      </c>
      <c r="P75" s="1419" t="s">
        <v>838</v>
      </c>
      <c r="Q75" s="1420">
        <f ca="1">Q65+Q66</f>
        <v>1224407797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3359</v>
      </c>
      <c r="E2" s="3442"/>
      <c r="F2" s="2844"/>
      <c r="G2" s="2845"/>
      <c r="H2" s="2846"/>
      <c r="I2" s="2847"/>
      <c r="J2" s="3687" t="s">
        <v>2319</v>
      </c>
      <c r="K2" s="368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89" t="s">
        <v>2329</v>
      </c>
      <c r="K3" s="369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89" t="s">
        <v>2331</v>
      </c>
      <c r="K4" s="369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95" t="s">
        <v>2335</v>
      </c>
      <c r="B6" s="3696"/>
      <c r="C6" s="3697"/>
      <c r="D6" s="2868"/>
      <c r="E6" s="2869"/>
      <c r="F6" s="2870"/>
      <c r="G6" s="2871"/>
      <c r="H6" s="2846"/>
      <c r="I6" s="2847"/>
      <c r="J6" s="3681">
        <v>1</v>
      </c>
      <c r="K6" s="3682"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81"/>
      <c r="K7" s="3683"/>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98" t="s">
        <v>2349</v>
      </c>
      <c r="C8" s="3699"/>
      <c r="D8" s="2887" t="s">
        <v>2350</v>
      </c>
      <c r="E8" s="2888" t="s">
        <v>2351</v>
      </c>
      <c r="F8" s="2889" t="s">
        <v>2352</v>
      </c>
      <c r="G8" s="2890"/>
      <c r="H8" s="2846"/>
      <c r="I8" s="2847"/>
      <c r="J8" s="3681"/>
      <c r="K8" s="3683"/>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98" t="s">
        <v>2355</v>
      </c>
      <c r="C9" s="3699"/>
      <c r="D9" s="2887">
        <f>ROUND(D6*E9,0)</f>
        <v>0</v>
      </c>
      <c r="E9" s="2891"/>
      <c r="F9" s="2892" t="s">
        <v>2356</v>
      </c>
      <c r="G9" s="2871"/>
      <c r="H9" s="2846"/>
      <c r="I9" s="2847"/>
      <c r="J9" s="3681"/>
      <c r="K9" s="3683"/>
      <c r="L9" s="2881" t="s">
        <v>2357</v>
      </c>
      <c r="M9" s="2882"/>
      <c r="N9" s="2858"/>
      <c r="O9" s="2883"/>
      <c r="P9" s="2883"/>
      <c r="Q9" s="2884">
        <v>365</v>
      </c>
      <c r="R9" s="2885">
        <f t="shared" si="0"/>
        <v>0</v>
      </c>
      <c r="S9" s="2839"/>
      <c r="T9" s="2839"/>
      <c r="U9" s="2839"/>
      <c r="V9" s="2847"/>
    </row>
    <row r="10" spans="1:22" s="2851" customFormat="1" ht="13.15" customHeight="1">
      <c r="A10" s="2886">
        <v>2</v>
      </c>
      <c r="B10" s="3698" t="s">
        <v>2358</v>
      </c>
      <c r="C10" s="3699"/>
      <c r="D10" s="2887">
        <f>ROUND(D6*E10,0)</f>
        <v>0</v>
      </c>
      <c r="E10" s="2891"/>
      <c r="F10" s="2892" t="s">
        <v>2359</v>
      </c>
      <c r="G10" s="2871"/>
      <c r="H10" s="2846"/>
      <c r="I10" s="2847"/>
      <c r="J10" s="3681"/>
      <c r="K10" s="3683"/>
      <c r="L10" s="2881" t="s">
        <v>2360</v>
      </c>
      <c r="M10" s="2882"/>
      <c r="N10" s="2858"/>
      <c r="O10" s="2883"/>
      <c r="P10" s="2883"/>
      <c r="Q10" s="2884">
        <v>365</v>
      </c>
      <c r="R10" s="2885">
        <f t="shared" si="0"/>
        <v>0</v>
      </c>
      <c r="S10" s="2839"/>
      <c r="T10" s="2839"/>
      <c r="U10" s="2839"/>
      <c r="V10" s="2847"/>
    </row>
    <row r="11" spans="1:22" s="2851" customFormat="1" ht="13.15" customHeight="1">
      <c r="A11" s="2886">
        <v>3</v>
      </c>
      <c r="B11" s="3698" t="s">
        <v>2361</v>
      </c>
      <c r="C11" s="3699"/>
      <c r="D11" s="2887">
        <f>D12+D14+D15+D16</f>
        <v>0</v>
      </c>
      <c r="E11" s="2893" t="e">
        <f>D11/D6</f>
        <v>#DIV/0!</v>
      </c>
      <c r="F11" s="2889"/>
      <c r="G11" s="2890"/>
      <c r="H11" s="2846"/>
      <c r="I11" s="2847"/>
      <c r="J11" s="3681"/>
      <c r="K11" s="3683"/>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91" t="s">
        <v>2364</v>
      </c>
      <c r="C12" s="3692"/>
      <c r="D12" s="2895">
        <f>ROUND(D13*1.2%*(1-30%),0)</f>
        <v>0</v>
      </c>
      <c r="E12" s="2896">
        <v>1.2E-2</v>
      </c>
      <c r="F12" s="2889" t="s">
        <v>2365</v>
      </c>
      <c r="G12" s="2890"/>
      <c r="H12" s="2846"/>
      <c r="I12" s="2847"/>
      <c r="J12" s="3681"/>
      <c r="K12" s="3683"/>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81"/>
      <c r="K13" s="3683"/>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91" t="s">
        <v>2370</v>
      </c>
      <c r="C14" s="3692"/>
      <c r="D14" s="2895">
        <f>ROUND(E14*B5/10000,0)</f>
        <v>0</v>
      </c>
      <c r="E14" s="2884"/>
      <c r="F14" s="2889" t="s">
        <v>2371</v>
      </c>
      <c r="G14" s="2890"/>
      <c r="H14" s="2846"/>
      <c r="I14" s="2847"/>
      <c r="J14" s="3681"/>
      <c r="K14" s="3684"/>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91" t="s">
        <v>2374</v>
      </c>
      <c r="C15" s="3692"/>
      <c r="D15" s="2895">
        <f>ROUND(D6*E15,0)</f>
        <v>0</v>
      </c>
      <c r="E15" s="2896">
        <v>5.5E-2</v>
      </c>
      <c r="F15" s="2889" t="s">
        <v>2375</v>
      </c>
      <c r="G15" s="2871"/>
      <c r="H15" s="2846"/>
      <c r="I15" s="2847"/>
      <c r="J15" s="3681">
        <v>2</v>
      </c>
      <c r="K15" s="3682"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91" t="s">
        <v>2383</v>
      </c>
      <c r="C16" s="3692"/>
      <c r="D16" s="2906">
        <f>D6*E16</f>
        <v>0</v>
      </c>
      <c r="E16" s="2907"/>
      <c r="F16" s="2892" t="s">
        <v>2384</v>
      </c>
      <c r="G16" s="2871"/>
      <c r="H16" s="2846"/>
      <c r="I16" s="2847"/>
      <c r="J16" s="3681"/>
      <c r="K16" s="3683"/>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93" t="s">
        <v>2386</v>
      </c>
      <c r="C17" s="3694"/>
      <c r="D17" s="2909">
        <f>ROUND(D6*E17,0)</f>
        <v>0</v>
      </c>
      <c r="E17" s="2910"/>
      <c r="F17" s="2911" t="s">
        <v>2387</v>
      </c>
      <c r="G17" s="2871"/>
      <c r="H17" s="2846"/>
      <c r="I17" s="2847"/>
      <c r="J17" s="3681"/>
      <c r="K17" s="3683"/>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81"/>
      <c r="K18" s="3683"/>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81"/>
      <c r="K19" s="3684"/>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1">
        <v>3</v>
      </c>
      <c r="K20" s="3682"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81"/>
      <c r="K21" s="3683"/>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81"/>
      <c r="K22" s="3683"/>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81"/>
      <c r="K23" s="3683"/>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81"/>
      <c r="K24" s="3684"/>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8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8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87" t="s">
        <v>2319</v>
      </c>
      <c r="K32" s="368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89" t="s">
        <v>2329</v>
      </c>
      <c r="K33" s="369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89" t="s">
        <v>2331</v>
      </c>
      <c r="K34" s="369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81">
        <v>1</v>
      </c>
      <c r="K36" s="3682"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81"/>
      <c r="K37" s="3683"/>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1"/>
      <c r="K38" s="3683"/>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81"/>
      <c r="K39" s="3683"/>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81"/>
      <c r="K40" s="3684"/>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5">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8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1" sqref="L3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1656</v>
      </c>
      <c r="B1" s="1867"/>
      <c r="C1" s="1867"/>
      <c r="D1" s="1867"/>
      <c r="E1" s="1868"/>
      <c r="F1" s="2705"/>
      <c r="G1" s="1489"/>
      <c r="H1" s="1489"/>
      <c r="I1" s="1489"/>
      <c r="J1" s="1489"/>
      <c r="K1" s="1489"/>
      <c r="L1" s="1489"/>
      <c r="M1" s="1489"/>
      <c r="N1" s="1489"/>
      <c r="O1" s="1489"/>
      <c r="P1" s="1489"/>
      <c r="Q1" s="1489"/>
      <c r="R1" s="1489"/>
      <c r="S1" s="1489"/>
    </row>
    <row r="2" spans="1:22" ht="15.75">
      <c r="A2" s="1869" t="s">
        <v>1460</v>
      </c>
      <c r="B2" s="1870">
        <f ca="1">SUMIF(B6:B13,"&lt;&gt;#ref!",B6:B13)</f>
        <v>128952</v>
      </c>
      <c r="C2" s="1871" t="s">
        <v>1649</v>
      </c>
      <c r="D2" s="1872" t="s">
        <v>1650</v>
      </c>
      <c r="E2" s="2606">
        <f>SUM(E6:E13)</f>
        <v>52566.7</v>
      </c>
      <c r="F2" s="2705"/>
      <c r="G2" s="1489"/>
      <c r="H2" s="1489"/>
      <c r="I2" s="1489"/>
      <c r="J2" s="1489"/>
      <c r="K2" s="1489"/>
      <c r="L2" s="1489"/>
      <c r="M2" s="1489"/>
      <c r="N2" s="1489"/>
      <c r="O2" s="1489"/>
      <c r="P2" s="1489"/>
      <c r="Q2" s="1489"/>
      <c r="R2" s="1489"/>
      <c r="S2" s="1489"/>
    </row>
    <row r="3" spans="1:22" ht="15.75">
      <c r="A3" s="1869" t="s">
        <v>686</v>
      </c>
      <c r="B3" s="2600">
        <f ca="1">ROUND(B2*10000/E2,0)</f>
        <v>24531</v>
      </c>
      <c r="C3" s="1871"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1651</v>
      </c>
      <c r="B5" s="3700" t="s">
        <v>1652</v>
      </c>
      <c r="C5" s="3701"/>
      <c r="D5" s="2706"/>
      <c r="E5" s="1873" t="s">
        <v>1653</v>
      </c>
      <c r="F5" s="1874" t="s">
        <v>1654</v>
      </c>
      <c r="G5" s="1489"/>
      <c r="H5" s="1489"/>
      <c r="I5" s="1489"/>
      <c r="J5" s="1489"/>
      <c r="K5" s="1489"/>
      <c r="L5" s="1489"/>
      <c r="M5" s="1489"/>
      <c r="N5" s="1489"/>
      <c r="O5" s="1489"/>
      <c r="P5" s="1489"/>
      <c r="Q5" s="1489"/>
      <c r="R5" s="1489"/>
      <c r="S5" s="1489"/>
    </row>
    <row r="6" spans="1:22">
      <c r="A6" s="2603" t="str">
        <f>'数据-取费表'!AN6</f>
        <v>收益法办公</v>
      </c>
      <c r="B6" s="2601">
        <f ca="1">IF(F6="是",'数据-取费表'!AO6,0)</f>
        <v>125750</v>
      </c>
      <c r="C6" s="1871" t="s">
        <v>1649</v>
      </c>
      <c r="D6" s="2707"/>
      <c r="E6" s="2605">
        <f>IF(OR(A6=0,F6="否"),0,'数据-取费表'!K6+'数据-取费表'!S6)</f>
        <v>42523.619999999995</v>
      </c>
      <c r="F6" s="1875" t="s">
        <v>1655</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3202</v>
      </c>
      <c r="C7" s="1871" t="s">
        <v>1649</v>
      </c>
      <c r="D7" s="2707"/>
      <c r="E7" s="2605">
        <f>IF(OR(A7=0,F7="否"),0,'数据-取费表'!K7+'数据-取费表'!S7)</f>
        <v>10043.08</v>
      </c>
      <c r="F7" s="1875" t="s">
        <v>1655</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1649</v>
      </c>
      <c r="D8" s="2707"/>
      <c r="E8" s="2605">
        <f>IF(OR(A8=0,F8="否"),0,'数据-取费表'!K8+'数据-取费表'!S8)</f>
        <v>0</v>
      </c>
      <c r="F8" s="1875" t="s">
        <v>1655</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1649</v>
      </c>
      <c r="D9" s="2707"/>
      <c r="E9" s="2605">
        <f>IF(OR(A9=0,F9="否"),0,'数据-取费表'!K9+'数据-取费表'!S9)</f>
        <v>0</v>
      </c>
      <c r="F9" s="1875" t="s">
        <v>1655</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1649</v>
      </c>
      <c r="D10" s="2707"/>
      <c r="E10" s="2605">
        <f>IF(OR(A10=0,F10="否"),0,'数据-取费表'!K10+'数据-取费表'!S10)</f>
        <v>0</v>
      </c>
      <c r="F10" s="1875" t="s">
        <v>1655</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1649</v>
      </c>
      <c r="D11" s="2707"/>
      <c r="E11" s="2605">
        <f>IF(OR(A11=0,F11="否"),0,'数据-取费表'!K11+'数据-取费表'!S11)</f>
        <v>0</v>
      </c>
      <c r="F11" s="1875" t="s">
        <v>1655</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1649</v>
      </c>
      <c r="D12" s="2707"/>
      <c r="E12" s="2605">
        <f>IF(OR(A12=0,F12="否"),0,'数据-取费表'!K12+'数据-取费表'!S12)</f>
        <v>0</v>
      </c>
      <c r="F12" s="1875"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1659</v>
      </c>
      <c r="C1" s="1238" t="s">
        <v>1660</v>
      </c>
      <c r="D1" s="1225"/>
      <c r="E1" s="3424"/>
      <c r="F1" s="1878"/>
      <c r="G1" s="1235" t="s">
        <v>1661</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52566.7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720" t="s">
        <v>1665</v>
      </c>
      <c r="D4" s="3721"/>
      <c r="E4" s="3722" t="s">
        <v>1666</v>
      </c>
      <c r="F4" s="3723"/>
      <c r="G4" s="3720" t="s">
        <v>1667</v>
      </c>
      <c r="H4" s="3721"/>
      <c r="I4" s="3720" t="s">
        <v>1668</v>
      </c>
      <c r="J4" s="3721"/>
      <c r="K4" s="1888" t="s">
        <v>1669</v>
      </c>
      <c r="L4" s="2713"/>
      <c r="M4" s="2714"/>
      <c r="N4" s="2714"/>
      <c r="O4" s="2714"/>
      <c r="P4" s="3724" t="s">
        <v>1670</v>
      </c>
      <c r="Q4" s="3725"/>
      <c r="R4" s="3730" t="s">
        <v>1666</v>
      </c>
      <c r="S4" s="3731"/>
      <c r="T4" s="3730" t="s">
        <v>1667</v>
      </c>
      <c r="U4" s="3731"/>
      <c r="V4" s="3736" t="s">
        <v>1668</v>
      </c>
      <c r="W4" s="3736"/>
      <c r="X4" s="1355"/>
      <c r="Y4" s="3730" t="s">
        <v>1670</v>
      </c>
      <c r="Z4" s="3731"/>
      <c r="AA4" s="3717" t="s">
        <v>1666</v>
      </c>
      <c r="AB4" s="3717" t="s">
        <v>1667</v>
      </c>
      <c r="AC4" s="3717" t="s">
        <v>1668</v>
      </c>
    </row>
    <row r="5" spans="1:29" ht="15">
      <c r="A5" s="358"/>
      <c r="B5" s="359"/>
      <c r="C5" s="3739" t="s">
        <v>1671</v>
      </c>
      <c r="D5" s="3740"/>
      <c r="E5" s="3746" t="s">
        <v>1672</v>
      </c>
      <c r="F5" s="3747"/>
      <c r="G5" s="3739" t="s">
        <v>1673</v>
      </c>
      <c r="H5" s="3740"/>
      <c r="I5" s="3739" t="s">
        <v>1674</v>
      </c>
      <c r="J5" s="3740"/>
      <c r="K5" s="1889"/>
      <c r="L5" s="2713"/>
      <c r="M5" s="2714"/>
      <c r="N5" s="2714"/>
      <c r="O5" s="2714"/>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1889" t="s">
        <v>1676</v>
      </c>
      <c r="L6" s="2713"/>
      <c r="M6" s="2714"/>
      <c r="N6" s="2714"/>
      <c r="O6" s="27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41" t="s">
        <v>1678</v>
      </c>
      <c r="Q7" s="3743"/>
      <c r="R7" s="701" t="s">
        <v>20</v>
      </c>
      <c r="S7" s="702">
        <f t="shared" ref="S7:S15" si="0">F7</f>
        <v>0</v>
      </c>
      <c r="T7" s="701" t="s">
        <v>20</v>
      </c>
      <c r="U7" s="702">
        <f t="shared" ref="U7:U15" si="1">H7</f>
        <v>0</v>
      </c>
      <c r="V7" s="701" t="s">
        <v>20</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41" t="s">
        <v>1681</v>
      </c>
      <c r="Q8" s="3742"/>
      <c r="R8" s="701" t="s">
        <v>20</v>
      </c>
      <c r="S8" s="702">
        <f t="shared" si="0"/>
        <v>100</v>
      </c>
      <c r="T8" s="701" t="s">
        <v>20</v>
      </c>
      <c r="U8" s="702">
        <f t="shared" si="1"/>
        <v>100</v>
      </c>
      <c r="V8" s="701" t="s">
        <v>20</v>
      </c>
      <c r="W8" s="702">
        <f t="shared" si="2"/>
        <v>100</v>
      </c>
      <c r="X8" s="703"/>
      <c r="Y8" s="3741" t="s">
        <v>1681</v>
      </c>
      <c r="Z8" s="374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6"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6"/>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6"/>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6"/>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6"/>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85.5">
      <c r="A15" s="391" t="s">
        <v>1688</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4" t="s">
        <v>1689</v>
      </c>
      <c r="Q15" s="1352" t="str">
        <f t="shared" si="6"/>
        <v>居住社区成熟度</v>
      </c>
      <c r="R15" s="705" t="s">
        <v>18</v>
      </c>
      <c r="S15" s="706">
        <f t="shared" si="0"/>
        <v>100</v>
      </c>
      <c r="T15" s="705" t="s">
        <v>18</v>
      </c>
      <c r="U15" s="706">
        <f t="shared" si="1"/>
        <v>100</v>
      </c>
      <c r="V15" s="705" t="s">
        <v>18</v>
      </c>
      <c r="W15" s="706">
        <f t="shared" si="2"/>
        <v>100</v>
      </c>
      <c r="X15" s="1355"/>
      <c r="Y15" s="3707" t="s">
        <v>1689</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15"/>
      <c r="Q16" s="1352"/>
      <c r="R16" s="705"/>
      <c r="S16" s="706"/>
      <c r="T16" s="705"/>
      <c r="U16" s="706"/>
      <c r="V16" s="705"/>
      <c r="W16" s="706"/>
      <c r="X16" s="1355"/>
      <c r="Y16" s="3708"/>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15"/>
      <c r="Q18" s="1352"/>
      <c r="R18" s="705"/>
      <c r="S18" s="706"/>
      <c r="T18" s="705"/>
      <c r="U18" s="706"/>
      <c r="V18" s="705"/>
      <c r="W18" s="706"/>
      <c r="X18" s="1355"/>
      <c r="Y18" s="3708"/>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15"/>
      <c r="Q20" s="1352"/>
      <c r="R20" s="705"/>
      <c r="S20" s="706"/>
      <c r="T20" s="705"/>
      <c r="U20" s="706"/>
      <c r="V20" s="705"/>
      <c r="W20" s="706"/>
      <c r="X20" s="1355"/>
      <c r="Y20" s="3708"/>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15"/>
      <c r="Q22" s="1352"/>
      <c r="R22" s="705"/>
      <c r="S22" s="706"/>
      <c r="T22" s="705"/>
      <c r="U22" s="706"/>
      <c r="V22" s="705"/>
      <c r="W22" s="706"/>
      <c r="X22" s="1355"/>
      <c r="Y22" s="3708"/>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15"/>
      <c r="Q24" s="1352"/>
      <c r="R24" s="705"/>
      <c r="S24" s="706"/>
      <c r="T24" s="705"/>
      <c r="U24" s="706"/>
      <c r="V24" s="705"/>
      <c r="W24" s="706"/>
      <c r="X24" s="1355"/>
      <c r="Y24" s="3708"/>
      <c r="Z24" s="1356"/>
      <c r="AA24" s="1353">
        <v>1</v>
      </c>
      <c r="AB24" s="1353">
        <v>1</v>
      </c>
      <c r="AC24" s="1353">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9" t="s">
        <v>1694</v>
      </c>
      <c r="Q32" s="1352" t="str">
        <f t="shared" si="11"/>
        <v>建筑类型</v>
      </c>
      <c r="R32" s="705" t="s">
        <v>18</v>
      </c>
      <c r="S32" s="706">
        <f t="shared" si="12"/>
        <v>100</v>
      </c>
      <c r="T32" s="705" t="s">
        <v>18</v>
      </c>
      <c r="U32" s="706">
        <f t="shared" si="13"/>
        <v>100</v>
      </c>
      <c r="V32" s="705" t="s">
        <v>18</v>
      </c>
      <c r="W32" s="706">
        <f t="shared" si="14"/>
        <v>100</v>
      </c>
      <c r="X32" s="1355"/>
      <c r="Y32" s="371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10" t="s">
        <v>1694</v>
      </c>
      <c r="Q38" s="1352" t="str">
        <f t="shared" si="11"/>
        <v>物业管理</v>
      </c>
      <c r="R38" s="705" t="s">
        <v>18</v>
      </c>
      <c r="S38" s="706">
        <f t="shared" si="12"/>
        <v>100</v>
      </c>
      <c r="T38" s="705" t="s">
        <v>18</v>
      </c>
      <c r="U38" s="706">
        <f t="shared" si="13"/>
        <v>100</v>
      </c>
      <c r="V38" s="705" t="s">
        <v>18</v>
      </c>
      <c r="W38" s="706">
        <f t="shared" si="14"/>
        <v>100</v>
      </c>
      <c r="X38" s="1355"/>
      <c r="Y38" s="3712" t="s">
        <v>1694</v>
      </c>
      <c r="Z38" s="1356" t="str">
        <f t="shared" si="18"/>
        <v>物业管理</v>
      </c>
      <c r="AA38" s="1353">
        <f t="shared" si="15"/>
        <v>1</v>
      </c>
      <c r="AB38" s="1353">
        <f t="shared" si="16"/>
        <v>1</v>
      </c>
      <c r="AC38" s="1353">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3"/>
      <c r="L47" s="2722"/>
      <c r="M47" s="2723"/>
      <c r="N47" s="2714"/>
      <c r="O47" s="2723"/>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1764</v>
      </c>
      <c r="C1" s="1238" t="s">
        <v>1660</v>
      </c>
      <c r="D1" s="1225"/>
      <c r="E1" s="3424"/>
      <c r="F1" s="1878"/>
      <c r="G1" s="1235" t="s">
        <v>1765</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52566.7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720" t="s">
        <v>1768</v>
      </c>
      <c r="D4" s="3721"/>
      <c r="E4" s="3722" t="s">
        <v>1769</v>
      </c>
      <c r="F4" s="3723"/>
      <c r="G4" s="3720" t="s">
        <v>1770</v>
      </c>
      <c r="H4" s="3721"/>
      <c r="I4" s="3720" t="s">
        <v>1771</v>
      </c>
      <c r="J4" s="3721"/>
      <c r="K4" s="559" t="s">
        <v>1772</v>
      </c>
      <c r="L4" s="2713"/>
      <c r="M4" s="2714"/>
      <c r="N4" s="2714"/>
      <c r="O4" s="2714"/>
      <c r="P4" s="3724" t="s">
        <v>1773</v>
      </c>
      <c r="Q4" s="3725"/>
      <c r="R4" s="3730" t="s">
        <v>1769</v>
      </c>
      <c r="S4" s="3731"/>
      <c r="T4" s="3730" t="s">
        <v>1770</v>
      </c>
      <c r="U4" s="3731"/>
      <c r="V4" s="3736" t="s">
        <v>1771</v>
      </c>
      <c r="W4" s="3736"/>
      <c r="X4" s="1355"/>
      <c r="Y4" s="3730" t="s">
        <v>1773</v>
      </c>
      <c r="Z4" s="3731"/>
      <c r="AA4" s="3717" t="s">
        <v>1769</v>
      </c>
      <c r="AB4" s="3736" t="s">
        <v>1770</v>
      </c>
      <c r="AC4" s="3717" t="s">
        <v>1771</v>
      </c>
    </row>
    <row r="5" spans="1:29" ht="15">
      <c r="A5" s="358"/>
      <c r="B5" s="359"/>
      <c r="C5" s="3739" t="s">
        <v>1671</v>
      </c>
      <c r="D5" s="3740"/>
      <c r="E5" s="3746" t="s">
        <v>1672</v>
      </c>
      <c r="F5" s="3747"/>
      <c r="G5" s="3739" t="s">
        <v>1673</v>
      </c>
      <c r="H5" s="3740"/>
      <c r="I5" s="3739" t="s">
        <v>1674</v>
      </c>
      <c r="J5" s="3740"/>
      <c r="K5" s="559"/>
      <c r="L5" s="2713"/>
      <c r="M5" s="2714"/>
      <c r="N5" s="2714"/>
      <c r="O5" s="2714"/>
      <c r="P5" s="3726"/>
      <c r="Q5" s="3727"/>
      <c r="R5" s="3732"/>
      <c r="S5" s="3733"/>
      <c r="T5" s="3732"/>
      <c r="U5" s="3733"/>
      <c r="V5" s="3736"/>
      <c r="W5" s="3736"/>
      <c r="X5" s="1355"/>
      <c r="Y5" s="3732"/>
      <c r="Z5" s="3733"/>
      <c r="AA5" s="3718"/>
      <c r="AB5" s="3736"/>
      <c r="AC5" s="3718"/>
    </row>
    <row r="6" spans="1:29" ht="15.75" thickBot="1">
      <c r="A6" s="360"/>
      <c r="B6" s="361"/>
      <c r="C6" s="3737" t="s">
        <v>1675</v>
      </c>
      <c r="D6" s="3738"/>
      <c r="E6" s="3744" t="s">
        <v>1675</v>
      </c>
      <c r="F6" s="3745"/>
      <c r="G6" s="3737" t="s">
        <v>1675</v>
      </c>
      <c r="H6" s="3738"/>
      <c r="I6" s="3737" t="s">
        <v>1675</v>
      </c>
      <c r="J6" s="3738"/>
      <c r="K6" s="559" t="s">
        <v>1676</v>
      </c>
      <c r="L6" s="2713"/>
      <c r="M6" s="2714"/>
      <c r="N6" s="2714"/>
      <c r="O6" s="2714"/>
      <c r="P6" s="3728"/>
      <c r="Q6" s="3729"/>
      <c r="R6" s="3732"/>
      <c r="S6" s="3733"/>
      <c r="T6" s="3734"/>
      <c r="U6" s="3735"/>
      <c r="V6" s="3736"/>
      <c r="W6" s="3736"/>
      <c r="X6" s="1355"/>
      <c r="Y6" s="3734"/>
      <c r="Z6" s="3735"/>
      <c r="AA6" s="3719"/>
      <c r="AB6" s="3736"/>
      <c r="AC6" s="3719"/>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1" t="s">
        <v>1681</v>
      </c>
      <c r="Q8" s="3742"/>
      <c r="R8" s="701" t="s">
        <v>14</v>
      </c>
      <c r="S8" s="702">
        <f t="shared" si="0"/>
        <v>100</v>
      </c>
      <c r="T8" s="701" t="s">
        <v>14</v>
      </c>
      <c r="U8" s="702">
        <f t="shared" si="1"/>
        <v>100</v>
      </c>
      <c r="V8" s="701" t="s">
        <v>14</v>
      </c>
      <c r="W8" s="702">
        <f t="shared" si="2"/>
        <v>100</v>
      </c>
      <c r="X8" s="703"/>
      <c r="Y8" s="3741" t="s">
        <v>1681</v>
      </c>
      <c r="Z8" s="374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6"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6"/>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4" t="s">
        <v>1689</v>
      </c>
      <c r="Q15" s="1352" t="str">
        <f t="shared" si="6"/>
        <v>商业繁华度</v>
      </c>
      <c r="R15" s="705" t="s">
        <v>14</v>
      </c>
      <c r="S15" s="706">
        <f t="shared" si="0"/>
        <v>100</v>
      </c>
      <c r="T15" s="705" t="s">
        <v>14</v>
      </c>
      <c r="U15" s="706">
        <f t="shared" si="1"/>
        <v>100</v>
      </c>
      <c r="V15" s="705" t="s">
        <v>14</v>
      </c>
      <c r="W15" s="706">
        <f t="shared" si="2"/>
        <v>100</v>
      </c>
      <c r="X15" s="1355"/>
      <c r="Y15" s="370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5"/>
      <c r="Q16" s="1352"/>
      <c r="R16" s="705"/>
      <c r="S16" s="706"/>
      <c r="T16" s="705"/>
      <c r="U16" s="706"/>
      <c r="V16" s="705"/>
      <c r="W16" s="706"/>
      <c r="X16" s="1355"/>
      <c r="Y16" s="3708"/>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15"/>
      <c r="Q18" s="1352"/>
      <c r="R18" s="705"/>
      <c r="S18" s="706"/>
      <c r="T18" s="705"/>
      <c r="U18" s="706"/>
      <c r="V18" s="705"/>
      <c r="W18" s="706"/>
      <c r="X18" s="1355"/>
      <c r="Y18" s="3708"/>
      <c r="Z18" s="1356"/>
      <c r="AA18" s="1353">
        <v>1</v>
      </c>
      <c r="AB18" s="1353">
        <v>1</v>
      </c>
      <c r="AC18" s="1353">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15"/>
      <c r="Q20" s="1352"/>
      <c r="R20" s="705"/>
      <c r="S20" s="706"/>
      <c r="T20" s="705"/>
      <c r="U20" s="706"/>
      <c r="V20" s="705"/>
      <c r="W20" s="706"/>
      <c r="X20" s="1355"/>
      <c r="Y20" s="3708"/>
      <c r="Z20" s="1356"/>
      <c r="AA20" s="1353">
        <v>1</v>
      </c>
      <c r="AB20" s="1353">
        <v>1</v>
      </c>
      <c r="AC20" s="1353">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15"/>
      <c r="Q22" s="1352"/>
      <c r="R22" s="705"/>
      <c r="S22" s="706"/>
      <c r="T22" s="705"/>
      <c r="U22" s="706"/>
      <c r="V22" s="705"/>
      <c r="W22" s="706"/>
      <c r="X22" s="1355"/>
      <c r="Y22" s="3708"/>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15"/>
      <c r="Q24" s="1352"/>
      <c r="R24" s="705"/>
      <c r="S24" s="706"/>
      <c r="T24" s="705"/>
      <c r="U24" s="706"/>
      <c r="V24" s="705"/>
      <c r="W24" s="706"/>
      <c r="X24" s="1355"/>
      <c r="Y24" s="370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9" t="s">
        <v>1694</v>
      </c>
      <c r="Q32" s="1352" t="str">
        <f t="shared" si="11"/>
        <v>商业类型</v>
      </c>
      <c r="R32" s="705" t="s">
        <v>14</v>
      </c>
      <c r="S32" s="706">
        <f t="shared" si="12"/>
        <v>100</v>
      </c>
      <c r="T32" s="705" t="s">
        <v>14</v>
      </c>
      <c r="U32" s="706">
        <f t="shared" si="13"/>
        <v>100</v>
      </c>
      <c r="V32" s="705" t="s">
        <v>14</v>
      </c>
      <c r="W32" s="706">
        <f t="shared" si="14"/>
        <v>100</v>
      </c>
      <c r="X32" s="1355"/>
      <c r="Y32" s="371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10" t="s">
        <v>1694</v>
      </c>
      <c r="Q38" s="1352" t="str">
        <f t="shared" si="11"/>
        <v>业态</v>
      </c>
      <c r="R38" s="705" t="s">
        <v>14</v>
      </c>
      <c r="S38" s="706">
        <f t="shared" si="12"/>
        <v>100</v>
      </c>
      <c r="T38" s="705" t="s">
        <v>14</v>
      </c>
      <c r="U38" s="706">
        <f t="shared" si="13"/>
        <v>100</v>
      </c>
      <c r="V38" s="705" t="s">
        <v>14</v>
      </c>
      <c r="W38" s="706">
        <f t="shared" si="14"/>
        <v>100</v>
      </c>
      <c r="X38" s="1355"/>
      <c r="Y38" s="3712" t="s">
        <v>1694</v>
      </c>
      <c r="Z38" s="1356" t="str">
        <f t="shared" si="15"/>
        <v>业态</v>
      </c>
      <c r="AA38" s="1353">
        <f t="shared" si="3"/>
        <v>1</v>
      </c>
      <c r="AB38" s="1353">
        <f t="shared" si="4"/>
        <v>1</v>
      </c>
      <c r="AC38" s="1353">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2"/>
      <c r="M47" s="2723"/>
      <c r="N47" s="2714"/>
      <c r="O47" s="2723"/>
      <c r="P47" s="3705" t="str">
        <f>A47</f>
        <v>成交单价（元/平方米）</v>
      </c>
      <c r="Q47" s="3705"/>
      <c r="R47" s="3736">
        <f>E47</f>
        <v>0</v>
      </c>
      <c r="S47" s="3736"/>
      <c r="T47" s="3736">
        <f>G47</f>
        <v>0</v>
      </c>
      <c r="U47" s="3736"/>
      <c r="V47" s="3736">
        <f>I47</f>
        <v>0</v>
      </c>
      <c r="W47" s="3736"/>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受贵公司委托，我公司对北京市朝阳区朝外大街22号房地产抵押价值进行了预评估。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估价对象为北京市朝阳区朝外大街22号房地产，为所有。根据《国有土地使用证》[]，估价对象（分摊）出让国有建设用地使用权面积为0平方米，建筑面积为52566.7平方米。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估价对象为北京市朝阳区朝外大街22号房地产,属开发建设的，该项目尚在开发建设中。根据《国有土地使用证》[]，估价对象（分摊）出让国有建设用地使用权面积为0平方米，规划建筑面积为52566.7平方米。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1808</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52566.7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20" t="s">
        <v>1768</v>
      </c>
      <c r="D4" s="3721"/>
      <c r="E4" s="3722" t="s">
        <v>1769</v>
      </c>
      <c r="F4" s="3723"/>
      <c r="G4" s="3720" t="s">
        <v>1770</v>
      </c>
      <c r="H4" s="3721"/>
      <c r="I4" s="3720" t="s">
        <v>1771</v>
      </c>
      <c r="J4" s="3721"/>
      <c r="K4" s="559" t="s">
        <v>1772</v>
      </c>
      <c r="L4" s="2713"/>
      <c r="M4" s="2714"/>
      <c r="N4" s="2714"/>
      <c r="O4" s="2714"/>
      <c r="P4" s="3754" t="s">
        <v>1773</v>
      </c>
      <c r="Q4" s="3755"/>
      <c r="R4" s="3758" t="s">
        <v>1769</v>
      </c>
      <c r="S4" s="3759"/>
      <c r="T4" s="3758" t="s">
        <v>1770</v>
      </c>
      <c r="U4" s="3759"/>
      <c r="V4" s="3760" t="s">
        <v>1771</v>
      </c>
      <c r="W4" s="3760"/>
      <c r="X4" s="1957"/>
      <c r="Y4" s="3758" t="s">
        <v>1773</v>
      </c>
      <c r="Z4" s="3759"/>
      <c r="AA4" s="3762" t="s">
        <v>1769</v>
      </c>
      <c r="AB4" s="3762" t="s">
        <v>1770</v>
      </c>
      <c r="AC4" s="3751" t="s">
        <v>1771</v>
      </c>
    </row>
    <row r="5" spans="1:29" ht="15">
      <c r="A5" s="358"/>
      <c r="B5" s="359"/>
      <c r="C5" s="3739" t="s">
        <v>1671</v>
      </c>
      <c r="D5" s="3740"/>
      <c r="E5" s="3746" t="s">
        <v>1672</v>
      </c>
      <c r="F5" s="3747"/>
      <c r="G5" s="3739" t="s">
        <v>1673</v>
      </c>
      <c r="H5" s="3740"/>
      <c r="I5" s="3739" t="s">
        <v>1674</v>
      </c>
      <c r="J5" s="3740"/>
      <c r="K5" s="559"/>
      <c r="L5" s="2713"/>
      <c r="M5" s="2714"/>
      <c r="N5" s="2714"/>
      <c r="O5" s="2714"/>
      <c r="P5" s="3756"/>
      <c r="Q5" s="3727"/>
      <c r="R5" s="3732"/>
      <c r="S5" s="3733"/>
      <c r="T5" s="3732"/>
      <c r="U5" s="3733"/>
      <c r="V5" s="3736"/>
      <c r="W5" s="3736"/>
      <c r="X5" s="1355"/>
      <c r="Y5" s="3732"/>
      <c r="Z5" s="3733"/>
      <c r="AA5" s="3718"/>
      <c r="AB5" s="3718"/>
      <c r="AC5" s="3752"/>
    </row>
    <row r="6" spans="1:29" ht="15.75" thickBot="1">
      <c r="A6" s="360"/>
      <c r="B6" s="361"/>
      <c r="C6" s="3737" t="s">
        <v>1675</v>
      </c>
      <c r="D6" s="3738"/>
      <c r="E6" s="3744" t="s">
        <v>1675</v>
      </c>
      <c r="F6" s="3745"/>
      <c r="G6" s="3737" t="s">
        <v>1675</v>
      </c>
      <c r="H6" s="3738"/>
      <c r="I6" s="3737" t="s">
        <v>1675</v>
      </c>
      <c r="J6" s="3738"/>
      <c r="K6" s="559" t="s">
        <v>1676</v>
      </c>
      <c r="L6" s="2713"/>
      <c r="M6" s="2714"/>
      <c r="N6" s="2714"/>
      <c r="O6" s="2714"/>
      <c r="P6" s="3757"/>
      <c r="Q6" s="3729"/>
      <c r="R6" s="3732"/>
      <c r="S6" s="3733"/>
      <c r="T6" s="3734"/>
      <c r="U6" s="3735"/>
      <c r="V6" s="3736"/>
      <c r="W6" s="3736"/>
      <c r="X6" s="1355"/>
      <c r="Y6" s="3734"/>
      <c r="Z6" s="3735"/>
      <c r="AA6" s="3719"/>
      <c r="AB6" s="3719"/>
      <c r="AC6" s="3753"/>
    </row>
    <row r="7" spans="1:29" s="108" customFormat="1" ht="15.75" thickBot="1">
      <c r="A7" s="362" t="s">
        <v>1677</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1" t="s">
        <v>1681</v>
      </c>
      <c r="Q8" s="3742"/>
      <c r="R8" s="701" t="s">
        <v>14</v>
      </c>
      <c r="S8" s="702">
        <f t="shared" si="0"/>
        <v>100</v>
      </c>
      <c r="T8" s="701" t="s">
        <v>14</v>
      </c>
      <c r="U8" s="702">
        <f t="shared" si="1"/>
        <v>100</v>
      </c>
      <c r="V8" s="701" t="s">
        <v>14</v>
      </c>
      <c r="W8" s="702">
        <f t="shared" si="2"/>
        <v>100</v>
      </c>
      <c r="X8" s="703"/>
      <c r="Y8" s="3741" t="s">
        <v>1681</v>
      </c>
      <c r="Z8" s="3742"/>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6"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6"/>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6"/>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6"/>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6"/>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16"/>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4" t="s">
        <v>1689</v>
      </c>
      <c r="Q15" s="1352" t="str">
        <f t="shared" si="6"/>
        <v>办公集聚程度</v>
      </c>
      <c r="R15" s="705" t="s">
        <v>14</v>
      </c>
      <c r="S15" s="706">
        <f t="shared" si="0"/>
        <v>100</v>
      </c>
      <c r="T15" s="705" t="s">
        <v>14</v>
      </c>
      <c r="U15" s="706">
        <f t="shared" si="1"/>
        <v>100</v>
      </c>
      <c r="V15" s="705" t="s">
        <v>14</v>
      </c>
      <c r="W15" s="706">
        <f t="shared" si="2"/>
        <v>100</v>
      </c>
      <c r="X15" s="1355"/>
      <c r="Y15" s="3707" t="s">
        <v>1689</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15"/>
      <c r="Q16" s="1352"/>
      <c r="R16" s="705"/>
      <c r="S16" s="706"/>
      <c r="T16" s="705"/>
      <c r="U16" s="706"/>
      <c r="V16" s="705"/>
      <c r="W16" s="706"/>
      <c r="X16" s="1355"/>
      <c r="Y16" s="3708"/>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15"/>
      <c r="Q18" s="1352"/>
      <c r="R18" s="705"/>
      <c r="S18" s="706"/>
      <c r="T18" s="705"/>
      <c r="U18" s="706"/>
      <c r="V18" s="705"/>
      <c r="W18" s="706"/>
      <c r="X18" s="1355"/>
      <c r="Y18" s="3708"/>
      <c r="Z18" s="1356"/>
      <c r="AA18" s="1353">
        <v>1</v>
      </c>
      <c r="AB18" s="1353">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15"/>
      <c r="Q20" s="1352"/>
      <c r="R20" s="705"/>
      <c r="S20" s="706"/>
      <c r="T20" s="705"/>
      <c r="U20" s="706"/>
      <c r="V20" s="705"/>
      <c r="W20" s="706"/>
      <c r="X20" s="1355"/>
      <c r="Y20" s="3708"/>
      <c r="Z20" s="1356"/>
      <c r="AA20" s="1353">
        <v>1</v>
      </c>
      <c r="AB20" s="1353">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15"/>
      <c r="Q22" s="1352"/>
      <c r="R22" s="705"/>
      <c r="S22" s="706"/>
      <c r="T22" s="705"/>
      <c r="U22" s="706"/>
      <c r="V22" s="705"/>
      <c r="W22" s="706"/>
      <c r="X22" s="1355"/>
      <c r="Y22" s="3708"/>
      <c r="Z22" s="1356"/>
      <c r="AA22" s="1353">
        <v>1</v>
      </c>
      <c r="AB22" s="1353">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15"/>
      <c r="Q24" s="1352"/>
      <c r="R24" s="705"/>
      <c r="S24" s="706"/>
      <c r="T24" s="705"/>
      <c r="U24" s="706"/>
      <c r="V24" s="705"/>
      <c r="W24" s="706"/>
      <c r="X24" s="1355"/>
      <c r="Y24" s="3708"/>
      <c r="Z24" s="1356"/>
      <c r="AA24" s="1353">
        <v>1</v>
      </c>
      <c r="AB24" s="1353">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15"/>
      <c r="Q26" s="1352"/>
      <c r="R26" s="705"/>
      <c r="S26" s="706"/>
      <c r="T26" s="705"/>
      <c r="U26" s="706"/>
      <c r="V26" s="705"/>
      <c r="W26" s="706"/>
      <c r="X26" s="1355"/>
      <c r="Y26" s="3708"/>
      <c r="Z26" s="1356"/>
      <c r="AA26" s="1353">
        <v>1</v>
      </c>
      <c r="AB26" s="1353">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09" t="s">
        <v>1694</v>
      </c>
      <c r="Q33" s="1352" t="str">
        <f t="shared" si="11"/>
        <v>建筑类型</v>
      </c>
      <c r="R33" s="705" t="s">
        <v>14</v>
      </c>
      <c r="S33" s="706">
        <f t="shared" si="12"/>
        <v>100</v>
      </c>
      <c r="T33" s="705" t="s">
        <v>14</v>
      </c>
      <c r="U33" s="706">
        <f t="shared" si="13"/>
        <v>100</v>
      </c>
      <c r="V33" s="705" t="s">
        <v>14</v>
      </c>
      <c r="W33" s="706">
        <f t="shared" si="14"/>
        <v>100</v>
      </c>
      <c r="X33" s="1355"/>
      <c r="Y33" s="3712" t="s">
        <v>1694</v>
      </c>
      <c r="Z33" s="1356" t="str">
        <f t="shared" si="15"/>
        <v>建筑类型</v>
      </c>
      <c r="AA33" s="1353">
        <f t="shared" si="3"/>
        <v>1</v>
      </c>
      <c r="AB33" s="1353">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0" t="s">
        <v>1694</v>
      </c>
      <c r="Q39" s="1352" t="str">
        <f t="shared" si="11"/>
        <v>物业管理</v>
      </c>
      <c r="R39" s="705" t="s">
        <v>14</v>
      </c>
      <c r="S39" s="706">
        <f t="shared" si="12"/>
        <v>100</v>
      </c>
      <c r="T39" s="705" t="s">
        <v>14</v>
      </c>
      <c r="U39" s="706">
        <f t="shared" si="13"/>
        <v>100</v>
      </c>
      <c r="V39" s="705" t="s">
        <v>14</v>
      </c>
      <c r="W39" s="706">
        <f t="shared" si="14"/>
        <v>100</v>
      </c>
      <c r="X39" s="1355"/>
      <c r="Y39" s="3712" t="s">
        <v>1694</v>
      </c>
      <c r="Z39" s="1356" t="str">
        <f t="shared" si="15"/>
        <v>物业管理</v>
      </c>
      <c r="AA39" s="1353">
        <f t="shared" si="3"/>
        <v>1</v>
      </c>
      <c r="AB39" s="1353">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1">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16"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1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1824</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52566.7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913"/>
      <c r="M4" s="914"/>
      <c r="N4" s="914"/>
      <c r="O4" s="9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913"/>
      <c r="M5" s="914"/>
      <c r="N5" s="914"/>
      <c r="O5" s="914"/>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913"/>
      <c r="M6" s="914"/>
      <c r="N6" s="914"/>
      <c r="O6" s="9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1" t="s">
        <v>1681</v>
      </c>
      <c r="Q8" s="3742"/>
      <c r="R8" s="701" t="s">
        <v>14</v>
      </c>
      <c r="S8" s="702">
        <f t="shared" si="0"/>
        <v>100</v>
      </c>
      <c r="T8" s="701" t="s">
        <v>14</v>
      </c>
      <c r="U8" s="702">
        <f t="shared" si="1"/>
        <v>100</v>
      </c>
      <c r="V8" s="701" t="s">
        <v>14</v>
      </c>
      <c r="W8" s="702">
        <f t="shared" si="2"/>
        <v>100</v>
      </c>
      <c r="X8" s="703"/>
      <c r="Y8" s="3741" t="s">
        <v>1681</v>
      </c>
      <c r="Z8" s="374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3" t="s">
        <v>1694</v>
      </c>
      <c r="Q29" s="1352" t="str">
        <f t="shared" si="11"/>
        <v>建筑类型</v>
      </c>
      <c r="R29" s="705" t="s">
        <v>14</v>
      </c>
      <c r="S29" s="706">
        <f t="shared" si="12"/>
        <v>100</v>
      </c>
      <c r="T29" s="705" t="s">
        <v>14</v>
      </c>
      <c r="U29" s="706">
        <f t="shared" si="13"/>
        <v>100</v>
      </c>
      <c r="V29" s="705" t="s">
        <v>14</v>
      </c>
      <c r="W29" s="706">
        <f t="shared" si="14"/>
        <v>100</v>
      </c>
      <c r="X29" s="1355"/>
      <c r="Y29" s="371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1694</v>
      </c>
      <c r="Q35" s="1352" t="str">
        <f t="shared" si="11"/>
        <v>市政基础设施</v>
      </c>
      <c r="R35" s="705" t="s">
        <v>14</v>
      </c>
      <c r="S35" s="706">
        <f t="shared" si="12"/>
        <v>100</v>
      </c>
      <c r="T35" s="705" t="s">
        <v>14</v>
      </c>
      <c r="U35" s="706">
        <f t="shared" si="13"/>
        <v>100</v>
      </c>
      <c r="V35" s="705" t="s">
        <v>14</v>
      </c>
      <c r="W35" s="706">
        <f t="shared" si="14"/>
        <v>100</v>
      </c>
      <c r="X35" s="1355"/>
      <c r="Y35" s="371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1"/>
      <c r="F1" s="1878"/>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13"/>
      <c r="M4" s="2714"/>
      <c r="N4" s="2714"/>
      <c r="O4" s="27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13"/>
      <c r="M5" s="2714"/>
      <c r="N5" s="2714"/>
      <c r="O5" s="2714"/>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2713"/>
      <c r="M6" s="2714"/>
      <c r="N6" s="2714"/>
      <c r="O6" s="27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1" t="s">
        <v>1681</v>
      </c>
      <c r="Q8" s="3742"/>
      <c r="R8" s="701" t="s">
        <v>14</v>
      </c>
      <c r="S8" s="702">
        <f t="shared" si="0"/>
        <v>100</v>
      </c>
      <c r="T8" s="701" t="s">
        <v>14</v>
      </c>
      <c r="U8" s="702">
        <f t="shared" si="1"/>
        <v>100</v>
      </c>
      <c r="V8" s="701" t="s">
        <v>14</v>
      </c>
      <c r="W8" s="702">
        <f t="shared" si="2"/>
        <v>100</v>
      </c>
      <c r="X8" s="703"/>
      <c r="Y8" s="3741" t="s">
        <v>1681</v>
      </c>
      <c r="Z8" s="374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1684</v>
      </c>
      <c r="Q9" s="1343" t="str">
        <f t="shared" ref="Q9:Q14" si="6">B9</f>
        <v>用途</v>
      </c>
      <c r="R9" s="701" t="s">
        <v>14</v>
      </c>
      <c r="S9" s="702">
        <f t="shared" si="0"/>
        <v>100</v>
      </c>
      <c r="T9" s="701" t="s">
        <v>14</v>
      </c>
      <c r="U9" s="702">
        <f t="shared" si="1"/>
        <v>100</v>
      </c>
      <c r="V9" s="701" t="s">
        <v>14</v>
      </c>
      <c r="W9" s="702">
        <f t="shared" si="2"/>
        <v>100</v>
      </c>
      <c r="X9" s="703"/>
      <c r="Y9" s="3580"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8"/>
      <c r="Q15" s="1352"/>
      <c r="R15" s="705"/>
      <c r="S15" s="706"/>
      <c r="T15" s="705"/>
      <c r="U15" s="706"/>
      <c r="V15" s="705"/>
      <c r="W15" s="706"/>
      <c r="X15" s="1355"/>
      <c r="Y15" s="3708"/>
      <c r="Z15" s="1356"/>
      <c r="AA15" s="1353">
        <v>1</v>
      </c>
      <c r="AB15" s="1353">
        <v>1</v>
      </c>
      <c r="AC15" s="1353">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08"/>
      <c r="Q17" s="1352"/>
      <c r="R17" s="705"/>
      <c r="S17" s="706"/>
      <c r="T17" s="705"/>
      <c r="U17" s="706"/>
      <c r="V17" s="705"/>
      <c r="W17" s="706"/>
      <c r="X17" s="1355"/>
      <c r="Y17" s="3708"/>
      <c r="Z17" s="1356"/>
      <c r="AA17" s="1353">
        <v>1</v>
      </c>
      <c r="AB17" s="1353">
        <v>1</v>
      </c>
      <c r="AC17" s="1353">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08"/>
      <c r="Q19" s="1352"/>
      <c r="R19" s="705"/>
      <c r="S19" s="706"/>
      <c r="T19" s="705"/>
      <c r="U19" s="706"/>
      <c r="V19" s="705"/>
      <c r="W19" s="706"/>
      <c r="X19" s="1355"/>
      <c r="Y19" s="3708"/>
      <c r="Z19" s="1356"/>
      <c r="AA19" s="1353">
        <v>1</v>
      </c>
      <c r="AB19" s="1353">
        <v>1</v>
      </c>
      <c r="AC19" s="1353">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8"/>
      <c r="Q21" s="1352"/>
      <c r="R21" s="705"/>
      <c r="S21" s="706"/>
      <c r="T21" s="705"/>
      <c r="U21" s="706"/>
      <c r="V21" s="705"/>
      <c r="W21" s="706"/>
      <c r="X21" s="1355"/>
      <c r="Y21" s="370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2" t="s">
        <v>1694</v>
      </c>
      <c r="Q32" s="1352" t="str">
        <f t="shared" si="11"/>
        <v>车位类型</v>
      </c>
      <c r="R32" s="705" t="s">
        <v>14</v>
      </c>
      <c r="S32" s="706">
        <f t="shared" si="12"/>
        <v>100</v>
      </c>
      <c r="T32" s="705" t="s">
        <v>14</v>
      </c>
      <c r="U32" s="706">
        <f t="shared" si="13"/>
        <v>100</v>
      </c>
      <c r="V32" s="705" t="s">
        <v>14</v>
      </c>
      <c r="W32" s="706">
        <f t="shared" si="14"/>
        <v>100</v>
      </c>
      <c r="X32" s="1355"/>
      <c r="Y32" s="371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1842</v>
      </c>
      <c r="B37" s="1972" t="s">
        <v>3354</v>
      </c>
      <c r="C37" s="1154" t="s">
        <v>0</v>
      </c>
      <c r="D37" s="1155"/>
      <c r="E37" s="1156"/>
      <c r="F37" s="1157"/>
      <c r="G37" s="1158"/>
      <c r="H37" s="1159"/>
      <c r="I37" s="1156"/>
      <c r="J37" s="1159"/>
      <c r="K37" s="568"/>
      <c r="L37" s="2722"/>
      <c r="M37" s="2723"/>
      <c r="N37" s="2714"/>
      <c r="O37" s="2723"/>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02" t="str">
        <f>A39</f>
        <v>估价对象XX用房的比较价值（楼面单价，元/平方米）</v>
      </c>
      <c r="Q39" s="3703"/>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3335</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13"/>
      <c r="M4" s="2714"/>
      <c r="N4" s="2714"/>
      <c r="O4" s="27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13"/>
      <c r="M5" s="2714"/>
      <c r="N5" s="2714"/>
      <c r="O5" s="2714"/>
      <c r="P5" s="3726"/>
      <c r="Q5" s="3727"/>
      <c r="R5" s="3732"/>
      <c r="S5" s="3733"/>
      <c r="T5" s="3732"/>
      <c r="U5" s="3733"/>
      <c r="V5" s="3736"/>
      <c r="W5" s="3736"/>
      <c r="X5" s="1355"/>
      <c r="Y5" s="3732"/>
      <c r="Z5" s="3733"/>
      <c r="AA5" s="3718"/>
      <c r="AB5" s="3718"/>
      <c r="AC5" s="3718"/>
    </row>
    <row r="6" spans="1:29" ht="15.75" thickBot="1">
      <c r="A6" s="360"/>
      <c r="B6" s="361"/>
      <c r="C6" s="3737" t="s">
        <v>1675</v>
      </c>
      <c r="D6" s="3738"/>
      <c r="E6" s="3744" t="s">
        <v>1675</v>
      </c>
      <c r="F6" s="3745"/>
      <c r="G6" s="3737" t="s">
        <v>1675</v>
      </c>
      <c r="H6" s="3738"/>
      <c r="I6" s="3737" t="s">
        <v>1675</v>
      </c>
      <c r="J6" s="3738"/>
      <c r="K6" s="559" t="s">
        <v>1676</v>
      </c>
      <c r="L6" s="2713"/>
      <c r="M6" s="2714"/>
      <c r="N6" s="2714"/>
      <c r="O6" s="27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41" t="s">
        <v>1678</v>
      </c>
      <c r="Q7" s="3743"/>
      <c r="R7" s="701" t="s">
        <v>14</v>
      </c>
      <c r="S7" s="702">
        <f t="shared" ref="S7:S14" si="0">F7</f>
        <v>0</v>
      </c>
      <c r="T7" s="701" t="s">
        <v>14</v>
      </c>
      <c r="U7" s="702">
        <f t="shared" ref="U7:U14" si="1">H7</f>
        <v>0</v>
      </c>
      <c r="V7" s="701" t="s">
        <v>14</v>
      </c>
      <c r="W7" s="702">
        <f t="shared" ref="W7:W14" si="2">J7</f>
        <v>0</v>
      </c>
      <c r="X7" s="703"/>
      <c r="Y7" s="3741" t="s">
        <v>1678</v>
      </c>
      <c r="Z7" s="374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1" t="s">
        <v>1681</v>
      </c>
      <c r="Q8" s="3742"/>
      <c r="R8" s="701" t="s">
        <v>14</v>
      </c>
      <c r="S8" s="702">
        <f t="shared" si="0"/>
        <v>100</v>
      </c>
      <c r="T8" s="701" t="s">
        <v>14</v>
      </c>
      <c r="U8" s="702">
        <f t="shared" si="1"/>
        <v>100</v>
      </c>
      <c r="V8" s="701" t="s">
        <v>14</v>
      </c>
      <c r="W8" s="702">
        <f t="shared" si="2"/>
        <v>100</v>
      </c>
      <c r="X8" s="703"/>
      <c r="Y8" s="3741" t="s">
        <v>1681</v>
      </c>
      <c r="Z8" s="374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1684</v>
      </c>
      <c r="Q9" s="1343" t="str">
        <f t="shared" ref="Q9:Q14" si="6">B9</f>
        <v>用途</v>
      </c>
      <c r="R9" s="701" t="s">
        <v>14</v>
      </c>
      <c r="S9" s="702">
        <f t="shared" si="0"/>
        <v>100</v>
      </c>
      <c r="T9" s="701" t="s">
        <v>14</v>
      </c>
      <c r="U9" s="702">
        <f t="shared" si="1"/>
        <v>100</v>
      </c>
      <c r="V9" s="701" t="s">
        <v>14</v>
      </c>
      <c r="W9" s="702">
        <f t="shared" si="2"/>
        <v>100</v>
      </c>
      <c r="X9" s="703"/>
      <c r="Y9" s="3580"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8"/>
      <c r="Q15" s="1352"/>
      <c r="R15" s="705"/>
      <c r="S15" s="706"/>
      <c r="T15" s="705"/>
      <c r="U15" s="706"/>
      <c r="V15" s="705"/>
      <c r="W15" s="706"/>
      <c r="X15" s="1355"/>
      <c r="Y15" s="3708"/>
      <c r="Z15" s="1356"/>
      <c r="AA15" s="1353">
        <v>1</v>
      </c>
      <c r="AB15" s="1353">
        <v>1</v>
      </c>
      <c r="AC15" s="1353">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08"/>
      <c r="Q17" s="1352"/>
      <c r="R17" s="705"/>
      <c r="S17" s="706"/>
      <c r="T17" s="705"/>
      <c r="U17" s="706"/>
      <c r="V17" s="705"/>
      <c r="W17" s="706"/>
      <c r="X17" s="1355"/>
      <c r="Y17" s="3708"/>
      <c r="Z17" s="1356"/>
      <c r="AA17" s="1353">
        <v>1</v>
      </c>
      <c r="AB17" s="1353">
        <v>1</v>
      </c>
      <c r="AC17" s="1353">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08"/>
      <c r="Q19" s="1352"/>
      <c r="R19" s="705"/>
      <c r="S19" s="706"/>
      <c r="T19" s="705"/>
      <c r="U19" s="706"/>
      <c r="V19" s="705"/>
      <c r="W19" s="706"/>
      <c r="X19" s="1355"/>
      <c r="Y19" s="3708"/>
      <c r="Z19" s="1356"/>
      <c r="AA19" s="1353">
        <v>1</v>
      </c>
      <c r="AB19" s="1353">
        <v>1</v>
      </c>
      <c r="AC19" s="1353">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8"/>
      <c r="Q21" s="1352"/>
      <c r="R21" s="705"/>
      <c r="S21" s="706"/>
      <c r="T21" s="705"/>
      <c r="U21" s="706"/>
      <c r="V21" s="705"/>
      <c r="W21" s="706"/>
      <c r="X21" s="1355"/>
      <c r="Y21" s="370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6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2" t="s">
        <v>1694</v>
      </c>
      <c r="Q32" s="1352">
        <f t="shared" si="11"/>
        <v>111</v>
      </c>
      <c r="R32" s="705" t="s">
        <v>14</v>
      </c>
      <c r="S32" s="706">
        <f t="shared" si="12"/>
        <v>100</v>
      </c>
      <c r="T32" s="705" t="s">
        <v>14</v>
      </c>
      <c r="U32" s="706">
        <f t="shared" si="13"/>
        <v>100</v>
      </c>
      <c r="V32" s="705" t="s">
        <v>14</v>
      </c>
      <c r="W32" s="706">
        <f t="shared" si="14"/>
        <v>100</v>
      </c>
      <c r="X32" s="1355"/>
      <c r="Y32" s="3712" t="s">
        <v>1694</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02" t="str">
        <f>A37</f>
        <v>估价对象XX用房的比较价值（楼面单价，元/平方米）</v>
      </c>
      <c r="Q37" s="3703"/>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20" t="s">
        <v>1768</v>
      </c>
      <c r="D4" s="3721"/>
      <c r="E4" s="3722" t="s">
        <v>1769</v>
      </c>
      <c r="F4" s="3723"/>
      <c r="G4" s="3720" t="s">
        <v>1770</v>
      </c>
      <c r="H4" s="3721"/>
      <c r="I4" s="3720" t="s">
        <v>1771</v>
      </c>
      <c r="J4" s="3721"/>
      <c r="K4" s="559" t="s">
        <v>1772</v>
      </c>
      <c r="L4" s="2713"/>
      <c r="M4" s="2714"/>
      <c r="N4" s="2714"/>
      <c r="O4" s="27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30" ht="15">
      <c r="A5" s="358"/>
      <c r="B5" s="359"/>
      <c r="C5" s="3739" t="s">
        <v>1671</v>
      </c>
      <c r="D5" s="3740"/>
      <c r="E5" s="3746" t="s">
        <v>1672</v>
      </c>
      <c r="F5" s="3747"/>
      <c r="G5" s="3739" t="s">
        <v>1673</v>
      </c>
      <c r="H5" s="3740"/>
      <c r="I5" s="3739" t="s">
        <v>1674</v>
      </c>
      <c r="J5" s="3740"/>
      <c r="K5" s="559"/>
      <c r="L5" s="2713"/>
      <c r="M5" s="2714"/>
      <c r="N5" s="2714"/>
      <c r="O5" s="2714"/>
      <c r="P5" s="3726"/>
      <c r="Q5" s="3727"/>
      <c r="R5" s="3732"/>
      <c r="S5" s="3733"/>
      <c r="T5" s="3732"/>
      <c r="U5" s="3733"/>
      <c r="V5" s="3736"/>
      <c r="W5" s="3736"/>
      <c r="X5" s="1355"/>
      <c r="Y5" s="3732"/>
      <c r="Z5" s="3733"/>
      <c r="AA5" s="3718"/>
      <c r="AB5" s="3718"/>
      <c r="AC5" s="3718"/>
    </row>
    <row r="6" spans="1:30" ht="15.75" thickBot="1">
      <c r="A6" s="360"/>
      <c r="B6" s="361"/>
      <c r="C6" s="3737" t="s">
        <v>1675</v>
      </c>
      <c r="D6" s="3738"/>
      <c r="E6" s="3744" t="s">
        <v>1675</v>
      </c>
      <c r="F6" s="3745"/>
      <c r="G6" s="3737" t="s">
        <v>1675</v>
      </c>
      <c r="H6" s="3738"/>
      <c r="I6" s="3737" t="s">
        <v>1675</v>
      </c>
      <c r="J6" s="3738"/>
      <c r="K6" s="559" t="s">
        <v>1676</v>
      </c>
      <c r="L6" s="2713"/>
      <c r="M6" s="2714"/>
      <c r="N6" s="2714"/>
      <c r="O6" s="2714"/>
      <c r="P6" s="3728"/>
      <c r="Q6" s="3729"/>
      <c r="R6" s="3732"/>
      <c r="S6" s="3733"/>
      <c r="T6" s="3734"/>
      <c r="U6" s="3735"/>
      <c r="V6" s="3736"/>
      <c r="W6" s="3736"/>
      <c r="X6" s="1355"/>
      <c r="Y6" s="3734"/>
      <c r="Z6" s="3735"/>
      <c r="AA6" s="3719"/>
      <c r="AB6" s="3719"/>
      <c r="AC6" s="3719"/>
    </row>
    <row r="7" spans="1:30" s="108" customFormat="1" ht="15.75" thickBot="1">
      <c r="A7" s="362" t="s">
        <v>1677</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1" t="s">
        <v>1681</v>
      </c>
      <c r="Q8" s="3742"/>
      <c r="R8" s="701" t="s">
        <v>14</v>
      </c>
      <c r="S8" s="702">
        <f t="shared" si="0"/>
        <v>0</v>
      </c>
      <c r="T8" s="701" t="s">
        <v>14</v>
      </c>
      <c r="U8" s="702">
        <f t="shared" si="1"/>
        <v>0</v>
      </c>
      <c r="V8" s="701" t="s">
        <v>14</v>
      </c>
      <c r="W8" s="702">
        <f t="shared" si="2"/>
        <v>0</v>
      </c>
      <c r="X8" s="703"/>
      <c r="Y8" s="3741" t="s">
        <v>1681</v>
      </c>
      <c r="Z8" s="3742"/>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5"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144</v>
      </c>
      <c r="G10" s="414"/>
      <c r="H10" s="127">
        <f>ROUND(100/'数据-取费表'!G16,0)</f>
        <v>144</v>
      </c>
      <c r="I10" s="414"/>
      <c r="J10" s="127">
        <f>ROUND(100/'数据-取费表'!G16,0)</f>
        <v>144</v>
      </c>
      <c r="K10" s="620"/>
      <c r="L10" s="2717"/>
      <c r="M10" s="2718"/>
      <c r="N10" s="2718"/>
      <c r="O10" s="2771"/>
      <c r="P10" s="3705"/>
      <c r="Q10" s="1343" t="str">
        <f t="shared" si="6"/>
        <v>土地使用年限（年）</v>
      </c>
      <c r="R10" s="701" t="s">
        <v>14</v>
      </c>
      <c r="S10" s="702">
        <f t="shared" si="0"/>
        <v>144</v>
      </c>
      <c r="T10" s="701" t="s">
        <v>14</v>
      </c>
      <c r="U10" s="702">
        <f t="shared" si="1"/>
        <v>144</v>
      </c>
      <c r="V10" s="701" t="s">
        <v>14</v>
      </c>
      <c r="W10" s="702">
        <f t="shared" si="2"/>
        <v>144</v>
      </c>
      <c r="X10" s="703"/>
      <c r="Y10" s="3580"/>
      <c r="Z10" s="52" t="str">
        <f t="shared" si="7"/>
        <v>土地使用年限（年）</v>
      </c>
      <c r="AA10" s="704">
        <f t="shared" si="3"/>
        <v>0.69444444444444442</v>
      </c>
      <c r="AB10" s="704">
        <f t="shared" si="4"/>
        <v>0.69444444444444442</v>
      </c>
      <c r="AC10" s="704">
        <f t="shared" si="5"/>
        <v>0.69444444444444442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99.75">
      <c r="A15" s="391" t="s">
        <v>1688</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7" t="s">
        <v>1689</v>
      </c>
      <c r="Q15" s="1352" t="str">
        <f t="shared" si="6"/>
        <v>居住社区成熟度</v>
      </c>
      <c r="R15" s="705" t="s">
        <v>14</v>
      </c>
      <c r="S15" s="706">
        <f t="shared" si="0"/>
        <v>100</v>
      </c>
      <c r="T15" s="705" t="s">
        <v>14</v>
      </c>
      <c r="U15" s="706">
        <f t="shared" si="1"/>
        <v>100</v>
      </c>
      <c r="V15" s="705" t="s">
        <v>14</v>
      </c>
      <c r="W15" s="706">
        <f t="shared" si="2"/>
        <v>100</v>
      </c>
      <c r="X15" s="1355"/>
      <c r="Y15" s="3707" t="s">
        <v>1689</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08"/>
      <c r="Q20" s="1352"/>
      <c r="R20" s="705"/>
      <c r="S20" s="706"/>
      <c r="T20" s="705"/>
      <c r="U20" s="706"/>
      <c r="V20" s="705"/>
      <c r="W20" s="706"/>
      <c r="X20" s="1355"/>
      <c r="Y20" s="3708"/>
      <c r="Z20" s="1356"/>
      <c r="AA20" s="1353">
        <v>1</v>
      </c>
      <c r="AB20" s="1353">
        <v>1</v>
      </c>
      <c r="AC20" s="1353">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08"/>
      <c r="Q24" s="1352"/>
      <c r="R24" s="705"/>
      <c r="S24" s="706"/>
      <c r="T24" s="705"/>
      <c r="U24" s="706"/>
      <c r="V24" s="705"/>
      <c r="W24" s="706"/>
      <c r="X24" s="1355"/>
      <c r="Y24" s="3708"/>
      <c r="Z24" s="1356"/>
      <c r="AA24" s="1353"/>
      <c r="AB24" s="1353"/>
      <c r="AC24" s="1353"/>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08"/>
      <c r="Q26" s="1352"/>
      <c r="R26" s="705"/>
      <c r="S26" s="706"/>
      <c r="T26" s="705"/>
      <c r="U26" s="706"/>
      <c r="V26" s="705"/>
      <c r="W26" s="706"/>
      <c r="X26" s="1355"/>
      <c r="Y26" s="3708"/>
      <c r="Z26" s="1356"/>
      <c r="AA26" s="1353">
        <v>1</v>
      </c>
      <c r="AB26" s="1353">
        <v>1</v>
      </c>
      <c r="AC26" s="1353">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08"/>
      <c r="Q28" s="1343"/>
      <c r="R28" s="701"/>
      <c r="S28" s="702"/>
      <c r="T28" s="701"/>
      <c r="U28" s="702"/>
      <c r="V28" s="701"/>
      <c r="W28" s="702"/>
      <c r="X28" s="703"/>
      <c r="Y28" s="3708"/>
      <c r="Z28" s="52"/>
      <c r="AA28" s="1353">
        <v>1</v>
      </c>
      <c r="AB28" s="1353">
        <v>1</v>
      </c>
      <c r="AC28" s="1353">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08"/>
      <c r="Q30" s="1343"/>
      <c r="R30" s="701"/>
      <c r="S30" s="702"/>
      <c r="T30" s="701"/>
      <c r="U30" s="702"/>
      <c r="V30" s="701"/>
      <c r="W30" s="702"/>
      <c r="X30" s="703"/>
      <c r="Y30" s="370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08"/>
      <c r="Q33" s="1352"/>
      <c r="R33" s="705"/>
      <c r="S33" s="706"/>
      <c r="T33" s="705"/>
      <c r="U33" s="706"/>
      <c r="V33" s="705"/>
      <c r="W33" s="706"/>
      <c r="X33" s="1355"/>
      <c r="Y33" s="370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63" t="s">
        <v>1694</v>
      </c>
      <c r="Q36" s="1352">
        <f t="shared" si="8"/>
        <v>111</v>
      </c>
      <c r="R36" s="705" t="s">
        <v>14</v>
      </c>
      <c r="S36" s="706">
        <f t="shared" si="10"/>
        <v>100</v>
      </c>
      <c r="T36" s="705" t="s">
        <v>14</v>
      </c>
      <c r="U36" s="706">
        <f t="shared" si="11"/>
        <v>100</v>
      </c>
      <c r="V36" s="705" t="s">
        <v>14</v>
      </c>
      <c r="W36" s="706">
        <f t="shared" si="12"/>
        <v>100</v>
      </c>
      <c r="X36" s="1355"/>
      <c r="Y36" s="371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2" t="s">
        <v>1694</v>
      </c>
      <c r="Q42" s="1352" t="str">
        <f t="shared" si="14"/>
        <v>工程地质条件</v>
      </c>
      <c r="R42" s="705" t="s">
        <v>14</v>
      </c>
      <c r="S42" s="706">
        <f t="shared" si="10"/>
        <v>100</v>
      </c>
      <c r="T42" s="705" t="s">
        <v>14</v>
      </c>
      <c r="U42" s="706">
        <f t="shared" si="11"/>
        <v>100</v>
      </c>
      <c r="V42" s="705" t="s">
        <v>14</v>
      </c>
      <c r="W42" s="706">
        <f t="shared" si="12"/>
        <v>100</v>
      </c>
      <c r="X42" s="1355"/>
      <c r="Y42" s="371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1842</v>
      </c>
      <c r="B46" s="1981" t="s">
        <v>1877</v>
      </c>
      <c r="C46" s="630" t="s">
        <v>0</v>
      </c>
      <c r="D46" s="432"/>
      <c r="E46" s="433"/>
      <c r="F46" s="434"/>
      <c r="G46" s="435"/>
      <c r="H46" s="436"/>
      <c r="I46" s="433"/>
      <c r="J46" s="436"/>
      <c r="K46" s="714"/>
      <c r="L46" s="2722"/>
      <c r="M46" s="2723"/>
      <c r="N46" s="2714"/>
      <c r="O46" s="2723"/>
      <c r="P46" s="3705" t="str">
        <f>A46</f>
        <v>成交单价</v>
      </c>
      <c r="Q46" s="3705"/>
      <c r="R46" s="3736">
        <f>E46</f>
        <v>0</v>
      </c>
      <c r="S46" s="3736"/>
      <c r="T46" s="3736">
        <f>G46</f>
        <v>0</v>
      </c>
      <c r="U46" s="3736"/>
      <c r="V46" s="3736">
        <f>I46</f>
        <v>0</v>
      </c>
      <c r="W46" s="3736"/>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22"/>
      <c r="M47" s="2723"/>
      <c r="N47" s="2723"/>
      <c r="O47" s="2723"/>
      <c r="P47" s="3705" t="str">
        <f>A47</f>
        <v>比较价值（元/平方米）</v>
      </c>
      <c r="Q47" s="3705"/>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02" t="str">
        <f>A48</f>
        <v>估价对象XX用房的比较价值（楼面单价，元/平方米）</v>
      </c>
      <c r="Q48" s="3703"/>
      <c r="R48" s="3766" t="e">
        <f>ROUND(IF(D47="简单平均",AVERAGE(R47:W47),R47*F47+T47*H47+V47*J47),0)</f>
        <v>#DIV/0!</v>
      </c>
      <c r="S48" s="3766"/>
      <c r="T48" s="3766"/>
      <c r="U48" s="3766"/>
      <c r="V48" s="3766"/>
      <c r="W48" s="376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720" t="s">
        <v>1885</v>
      </c>
      <c r="H55" s="3767"/>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39427.439999999995</v>
      </c>
      <c r="F56" s="886" t="e">
        <f t="shared" ref="F56:F64" si="15">ROUND(B56*E56/10000,0)</f>
        <v>#DIV/0!</v>
      </c>
      <c r="G56" s="3716"/>
      <c r="H56" s="370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5">
        <v>0.25</v>
      </c>
      <c r="E57" s="642"/>
      <c r="F57" s="886" t="e">
        <f t="shared" si="15"/>
        <v>#DIV/0!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0.3</v>
      </c>
      <c r="D60" s="945">
        <v>0.25</v>
      </c>
      <c r="E60" s="217">
        <f>'数据-汇总表'!E11</f>
        <v>3096.18</v>
      </c>
      <c r="F60" s="886" t="e">
        <f t="shared" si="15"/>
        <v>#DIV/0!</v>
      </c>
      <c r="G60" s="1986" t="s">
        <v>1894</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10043.08</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0.2</v>
      </c>
      <c r="D64" s="945">
        <v>0.25</v>
      </c>
      <c r="E64" s="217">
        <f>'数据-汇总表'!E15</f>
        <v>0</v>
      </c>
      <c r="F64" s="886" t="e">
        <f t="shared" si="15"/>
        <v>#DIV/0!</v>
      </c>
      <c r="G64" s="1987" t="s">
        <v>1894</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52566.7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20" t="s">
        <v>1768</v>
      </c>
      <c r="D4" s="3721"/>
      <c r="E4" s="3722" t="s">
        <v>1769</v>
      </c>
      <c r="F4" s="3723"/>
      <c r="G4" s="3720" t="s">
        <v>1770</v>
      </c>
      <c r="H4" s="3721"/>
      <c r="I4" s="3720" t="s">
        <v>1771</v>
      </c>
      <c r="J4" s="3721"/>
      <c r="K4" s="559" t="s">
        <v>1772</v>
      </c>
      <c r="L4" s="2713"/>
      <c r="M4" s="2714"/>
      <c r="N4" s="2714"/>
      <c r="O4" s="2714"/>
      <c r="P4" s="3724" t="s">
        <v>1773</v>
      </c>
      <c r="Q4" s="3725"/>
      <c r="R4" s="3730" t="s">
        <v>1769</v>
      </c>
      <c r="S4" s="3731"/>
      <c r="T4" s="3730" t="s">
        <v>1770</v>
      </c>
      <c r="U4" s="3731"/>
      <c r="V4" s="3736" t="s">
        <v>1771</v>
      </c>
      <c r="W4" s="3736"/>
      <c r="X4" s="1355"/>
      <c r="Y4" s="3730" t="s">
        <v>1773</v>
      </c>
      <c r="Z4" s="3731"/>
      <c r="AA4" s="3717" t="s">
        <v>1769</v>
      </c>
      <c r="AB4" s="3718" t="s">
        <v>1770</v>
      </c>
      <c r="AC4" s="3717" t="s">
        <v>1771</v>
      </c>
    </row>
    <row r="5" spans="1:29" ht="15">
      <c r="A5" s="358"/>
      <c r="B5" s="359"/>
      <c r="C5" s="3739" t="s">
        <v>1671</v>
      </c>
      <c r="D5" s="3740"/>
      <c r="E5" s="3746" t="s">
        <v>1672</v>
      </c>
      <c r="F5" s="3747"/>
      <c r="G5" s="3739" t="s">
        <v>1673</v>
      </c>
      <c r="H5" s="3740"/>
      <c r="I5" s="3739" t="s">
        <v>1674</v>
      </c>
      <c r="J5" s="3740"/>
      <c r="K5" s="559"/>
      <c r="L5" s="2713"/>
      <c r="M5" s="2714"/>
      <c r="N5" s="2714"/>
      <c r="O5" s="2714"/>
      <c r="P5" s="3726"/>
      <c r="Q5" s="3727"/>
      <c r="R5" s="3732"/>
      <c r="S5" s="3733"/>
      <c r="T5" s="3732"/>
      <c r="U5" s="3733"/>
      <c r="V5" s="3736"/>
      <c r="W5" s="3736"/>
      <c r="X5" s="1355"/>
      <c r="Y5" s="3732"/>
      <c r="Z5" s="3733"/>
      <c r="AA5" s="3718"/>
      <c r="AB5" s="3718"/>
      <c r="AC5" s="3718"/>
    </row>
    <row r="6" spans="1:29" ht="15.75" thickBot="1">
      <c r="A6" s="360"/>
      <c r="B6" s="361"/>
      <c r="C6" s="3768" t="s">
        <v>1917</v>
      </c>
      <c r="D6" s="3769"/>
      <c r="E6" s="3770" t="s">
        <v>1917</v>
      </c>
      <c r="F6" s="3771"/>
      <c r="G6" s="3768" t="s">
        <v>1917</v>
      </c>
      <c r="H6" s="3769"/>
      <c r="I6" s="3768" t="s">
        <v>1917</v>
      </c>
      <c r="J6" s="3769"/>
      <c r="K6" s="559" t="s">
        <v>1676</v>
      </c>
      <c r="L6" s="2713"/>
      <c r="M6" s="2714"/>
      <c r="N6" s="2714"/>
      <c r="O6" s="2714"/>
      <c r="P6" s="3728"/>
      <c r="Q6" s="3729"/>
      <c r="R6" s="3732"/>
      <c r="S6" s="3733"/>
      <c r="T6" s="3734"/>
      <c r="U6" s="3735"/>
      <c r="V6" s="3736"/>
      <c r="W6" s="3736"/>
      <c r="X6" s="1355"/>
      <c r="Y6" s="3734"/>
      <c r="Z6" s="3735"/>
      <c r="AA6" s="3719"/>
      <c r="AB6" s="3719"/>
      <c r="AC6" s="3719"/>
    </row>
    <row r="7" spans="1:29" s="108" customFormat="1" ht="15.75" thickBot="1">
      <c r="A7" s="362" t="s">
        <v>1677</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41" t="s">
        <v>1678</v>
      </c>
      <c r="Q7" s="3743"/>
      <c r="R7" s="701" t="s">
        <v>14</v>
      </c>
      <c r="S7" s="702">
        <f t="shared" ref="S7:S15" si="0">F7</f>
        <v>0</v>
      </c>
      <c r="T7" s="701" t="s">
        <v>14</v>
      </c>
      <c r="U7" s="702">
        <f t="shared" ref="U7:U15" si="1">H7</f>
        <v>0</v>
      </c>
      <c r="V7" s="701" t="s">
        <v>14</v>
      </c>
      <c r="W7" s="702">
        <f t="shared" ref="W7:W15" si="2">J7</f>
        <v>0</v>
      </c>
      <c r="X7" s="703"/>
      <c r="Y7" s="3741" t="s">
        <v>1678</v>
      </c>
      <c r="Z7" s="374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1" t="s">
        <v>1681</v>
      </c>
      <c r="Q8" s="3742"/>
      <c r="R8" s="701" t="s">
        <v>14</v>
      </c>
      <c r="S8" s="702">
        <f t="shared" si="0"/>
        <v>0</v>
      </c>
      <c r="T8" s="701" t="s">
        <v>14</v>
      </c>
      <c r="U8" s="702">
        <f t="shared" si="1"/>
        <v>0</v>
      </c>
      <c r="V8" s="701" t="s">
        <v>14</v>
      </c>
      <c r="W8" s="702">
        <f t="shared" si="2"/>
        <v>0</v>
      </c>
      <c r="X8" s="703"/>
      <c r="Y8" s="3741" t="s">
        <v>1681</v>
      </c>
      <c r="Z8" s="3742"/>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5" t="s">
        <v>1684</v>
      </c>
      <c r="Q9" s="1343" t="str">
        <f t="shared" ref="Q9:Q15" si="6">B9</f>
        <v>用途</v>
      </c>
      <c r="R9" s="701" t="s">
        <v>14</v>
      </c>
      <c r="S9" s="702">
        <f t="shared" si="0"/>
        <v>100</v>
      </c>
      <c r="T9" s="701" t="s">
        <v>14</v>
      </c>
      <c r="U9" s="702">
        <f t="shared" si="1"/>
        <v>100</v>
      </c>
      <c r="V9" s="701" t="s">
        <v>14</v>
      </c>
      <c r="W9" s="702">
        <f t="shared" si="2"/>
        <v>100</v>
      </c>
      <c r="X9" s="703"/>
      <c r="Y9" s="358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144</v>
      </c>
      <c r="G10" s="383"/>
      <c r="H10" s="127">
        <f>ROUND(100/'数据-取费表'!G16,0)</f>
        <v>144</v>
      </c>
      <c r="I10" s="383"/>
      <c r="J10" s="127">
        <f>ROUND(100/'数据-取费表'!G16,0)</f>
        <v>144</v>
      </c>
      <c r="K10" s="620"/>
      <c r="L10" s="2717"/>
      <c r="M10" s="2718"/>
      <c r="N10" s="2718"/>
      <c r="O10" s="2771"/>
      <c r="P10" s="3705"/>
      <c r="Q10" s="1343" t="str">
        <f t="shared" si="6"/>
        <v>土地使用年限（年）</v>
      </c>
      <c r="R10" s="701" t="s">
        <v>14</v>
      </c>
      <c r="S10" s="702">
        <f t="shared" si="0"/>
        <v>144</v>
      </c>
      <c r="T10" s="701" t="s">
        <v>14</v>
      </c>
      <c r="U10" s="702">
        <f t="shared" si="1"/>
        <v>144</v>
      </c>
      <c r="V10" s="701" t="s">
        <v>14</v>
      </c>
      <c r="W10" s="702">
        <f t="shared" si="2"/>
        <v>144</v>
      </c>
      <c r="X10" s="703"/>
      <c r="Y10" s="3580"/>
      <c r="Z10" s="52" t="str">
        <f t="shared" si="7"/>
        <v>土地使用年限（年）</v>
      </c>
      <c r="AA10" s="704">
        <f t="shared" si="3"/>
        <v>0.69444444444444442</v>
      </c>
      <c r="AB10" s="704">
        <f t="shared" si="4"/>
        <v>0.69444444444444442</v>
      </c>
      <c r="AC10" s="704">
        <f t="shared" si="5"/>
        <v>0.69444444444444442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08"/>
      <c r="Q20" s="1352"/>
      <c r="R20" s="705"/>
      <c r="S20" s="706"/>
      <c r="T20" s="705"/>
      <c r="U20" s="706"/>
      <c r="V20" s="705"/>
      <c r="W20" s="706"/>
      <c r="X20" s="1355"/>
      <c r="Y20" s="3708"/>
      <c r="Z20" s="1356"/>
      <c r="AA20" s="1353"/>
      <c r="AB20" s="1353"/>
      <c r="AC20" s="1353"/>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08"/>
      <c r="Q24" s="1343"/>
      <c r="R24" s="701"/>
      <c r="S24" s="702"/>
      <c r="T24" s="701"/>
      <c r="U24" s="702"/>
      <c r="V24" s="701"/>
      <c r="W24" s="702"/>
      <c r="X24" s="703"/>
      <c r="Y24" s="3708"/>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08"/>
      <c r="Q26" s="1343"/>
      <c r="R26" s="701"/>
      <c r="S26" s="702"/>
      <c r="T26" s="701"/>
      <c r="U26" s="702"/>
      <c r="V26" s="701"/>
      <c r="W26" s="702"/>
      <c r="X26" s="703"/>
      <c r="Y26" s="370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08"/>
      <c r="Q29" s="1352"/>
      <c r="R29" s="705"/>
      <c r="S29" s="706"/>
      <c r="T29" s="705"/>
      <c r="U29" s="706"/>
      <c r="V29" s="705"/>
      <c r="W29" s="706"/>
      <c r="X29" s="1355"/>
      <c r="Y29" s="370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63" t="s">
        <v>1694</v>
      </c>
      <c r="Q32" s="1352">
        <f t="shared" si="8"/>
        <v>111</v>
      </c>
      <c r="R32" s="705" t="s">
        <v>14</v>
      </c>
      <c r="S32" s="706">
        <f t="shared" si="10"/>
        <v>100</v>
      </c>
      <c r="T32" s="705" t="s">
        <v>14</v>
      </c>
      <c r="U32" s="706">
        <f t="shared" si="11"/>
        <v>100</v>
      </c>
      <c r="V32" s="705" t="s">
        <v>14</v>
      </c>
      <c r="W32" s="706">
        <f t="shared" si="12"/>
        <v>100</v>
      </c>
      <c r="X32" s="1355"/>
      <c r="Y32" s="3712" t="s">
        <v>1694</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2" t="s">
        <v>1694</v>
      </c>
      <c r="Q37" s="1352" t="str">
        <f t="shared" si="14"/>
        <v>工程地质条件</v>
      </c>
      <c r="R37" s="705" t="s">
        <v>14</v>
      </c>
      <c r="S37" s="706">
        <f t="shared" si="10"/>
        <v>100</v>
      </c>
      <c r="T37" s="705" t="s">
        <v>14</v>
      </c>
      <c r="U37" s="706">
        <f t="shared" si="11"/>
        <v>100</v>
      </c>
      <c r="V37" s="705" t="s">
        <v>14</v>
      </c>
      <c r="W37" s="706">
        <f t="shared" si="12"/>
        <v>100</v>
      </c>
      <c r="X37" s="1355"/>
      <c r="Y37" s="371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1842</v>
      </c>
      <c r="B41" s="1981" t="s">
        <v>1920</v>
      </c>
      <c r="C41" s="630" t="s">
        <v>0</v>
      </c>
      <c r="D41" s="432"/>
      <c r="E41" s="433"/>
      <c r="F41" s="434"/>
      <c r="G41" s="435"/>
      <c r="H41" s="436"/>
      <c r="I41" s="433"/>
      <c r="J41" s="436"/>
      <c r="K41" s="714"/>
      <c r="L41" s="2722"/>
      <c r="M41" s="2714"/>
      <c r="N41" s="2714"/>
      <c r="O41" s="2723"/>
      <c r="P41" s="3705" t="str">
        <f>A41</f>
        <v>成交单价</v>
      </c>
      <c r="Q41" s="3705"/>
      <c r="R41" s="3736">
        <f>E41</f>
        <v>0</v>
      </c>
      <c r="S41" s="3736"/>
      <c r="T41" s="3736">
        <f>G41</f>
        <v>0</v>
      </c>
      <c r="U41" s="3736"/>
      <c r="V41" s="3736">
        <f>I41</f>
        <v>0</v>
      </c>
      <c r="W41" s="3736"/>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705" t="str">
        <f>A42</f>
        <v>比较价值（元/平方米）</v>
      </c>
      <c r="Q42" s="3705"/>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02" t="str">
        <f>A43</f>
        <v>估价对象XX用房的比较价值（楼面单价，元/平方米）</v>
      </c>
      <c r="Q43" s="3703"/>
      <c r="R43" s="3766" t="e">
        <f>ROUND(IF(D42="简单平均",AVERAGE(R42:W42),R42*F42+T42*H42+V42*J42),0)</f>
        <v>#DIV/0!</v>
      </c>
      <c r="S43" s="3766"/>
      <c r="T43" s="3766"/>
      <c r="U43" s="3766"/>
      <c r="V43" s="3766"/>
      <c r="W43" s="376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20" t="s">
        <v>1885</v>
      </c>
      <c r="H50" s="3767"/>
      <c r="I50" s="1356" t="s">
        <v>1921</v>
      </c>
      <c r="J50" s="1356">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39427.439999999995</v>
      </c>
      <c r="F51" s="639" t="e">
        <f t="shared" ref="F51:F60" si="15">ROUND(B51*E51/10000,0)</f>
        <v>#DIV/0!</v>
      </c>
      <c r="G51" s="3716"/>
      <c r="H51" s="370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0.3</v>
      </c>
      <c r="D56" s="945">
        <v>0.25</v>
      </c>
      <c r="E56" s="217">
        <f>'数据-汇总表'!E11</f>
        <v>3096.18</v>
      </c>
      <c r="F56" s="639" t="e">
        <f t="shared" si="15"/>
        <v>#DIV/0!</v>
      </c>
      <c r="G56" s="1986" t="s">
        <v>1894</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10043.08</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0.2</v>
      </c>
      <c r="D60" s="945">
        <v>0.25</v>
      </c>
      <c r="E60" s="217">
        <f>'数据-汇总表'!E15</f>
        <v>0</v>
      </c>
      <c r="F60" s="639" t="e">
        <f t="shared" si="15"/>
        <v>#DIV/0!</v>
      </c>
      <c r="G60" s="1987" t="s">
        <v>1894</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5" t="s">
        <v>2082</v>
      </c>
      <c r="D1" s="3776"/>
      <c r="E1" s="3776"/>
      <c r="F1" s="3776"/>
      <c r="G1" s="3776"/>
      <c r="H1" s="3776"/>
      <c r="I1" s="3776"/>
      <c r="J1" s="3776"/>
      <c r="K1" s="3776"/>
      <c r="L1" s="3776"/>
      <c r="M1" s="3776"/>
      <c r="N1" s="3776"/>
      <c r="O1" s="3776"/>
      <c r="P1" s="3776"/>
      <c r="Q1" s="3776"/>
      <c r="R1" s="3776"/>
      <c r="S1" s="377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139588</v>
      </c>
      <c r="C2" s="2144" t="s">
        <v>2072</v>
      </c>
      <c r="D2" s="2144" t="s">
        <v>2073</v>
      </c>
      <c r="E2" s="2611">
        <f ca="1">SUMIF(E6:E13,"&lt;&gt;#ref!",E6:E13)</f>
        <v>65705.959999999992</v>
      </c>
      <c r="F2" s="2791"/>
      <c r="G2" s="2791"/>
      <c r="H2" s="2791"/>
      <c r="I2" s="2791"/>
      <c r="J2" s="2791"/>
      <c r="K2" s="2791"/>
      <c r="L2" s="2791"/>
      <c r="M2" s="2791"/>
      <c r="N2" s="2791"/>
      <c r="O2" s="2791"/>
      <c r="P2" s="2791"/>
    </row>
    <row r="3" spans="1:16" ht="15.75">
      <c r="A3" s="2144" t="s">
        <v>2074</v>
      </c>
      <c r="B3" s="2601">
        <f ca="1">ROUND(B2*10000/E2,0)</f>
        <v>21244</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139588</v>
      </c>
      <c r="C6" s="2144" t="s">
        <v>2072</v>
      </c>
      <c r="D6" s="2791"/>
      <c r="E6" s="2611">
        <f ca="1">SUMIF(INDIRECT("'"&amp;A6&amp;"'"&amp;"!C:C"),"建筑面积",INDIRECT("'"&amp;A6&amp;"'"&amp;"!D:D"))</f>
        <v>65705.959999999992</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C25" sqref="C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65705.959999999992</v>
      </c>
      <c r="E1" s="1994"/>
      <c r="F1" s="1994"/>
      <c r="G1" s="1994"/>
      <c r="H1" s="1994"/>
      <c r="I1" s="1994"/>
      <c r="J1" s="1994"/>
      <c r="K1" s="1119"/>
      <c r="L1" s="1995" t="s">
        <v>1926</v>
      </c>
      <c r="M1" s="863">
        <f>SUMPRODUCT((区片价!B5:B9=I2)*(区片价!C3:G3=E2)*(区片价!C5:G9))</f>
        <v>32510</v>
      </c>
      <c r="N1" s="866">
        <f>SUMPRODUCT((因素修正幅度!B5:B9=I2)*(因素修正幅度!C3:G3=E2)*(因素修正幅度!C5:G9))</f>
        <v>8.2000000000000003E-2</v>
      </c>
      <c r="O1" s="1996"/>
      <c r="P1" s="1996"/>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139588</v>
      </c>
      <c r="C2" s="1998" t="s">
        <v>1933</v>
      </c>
      <c r="D2" s="1999" t="s">
        <v>1934</v>
      </c>
      <c r="E2" s="3420" t="s">
        <v>21</v>
      </c>
      <c r="F2" s="1999" t="s">
        <v>1935</v>
      </c>
      <c r="G2" s="2000" t="str">
        <f>IF(E2="商业",项目基本情况!B37,IF(E2="办公",项目基本情况!C37,IF(E2="住宅",项目基本情况!D37,IF(E2="工业",项目基本情况!E37,项目基本情况!F37))))</f>
        <v>一级</v>
      </c>
      <c r="H2" s="1999" t="s">
        <v>1936</v>
      </c>
      <c r="I2" s="2000" t="str">
        <f>IF(E2="商业",项目基本情况!B38,IF(E2="办公",项目基本情况!C38,IF(E2="住宅",项目基本情况!D38,IF(E2="工业",项目基本情况!E38,项目基本情况!F38))))</f>
        <v>Ⅰ—04</v>
      </c>
      <c r="J2" s="2001"/>
      <c r="K2" s="1119"/>
      <c r="L2" s="2002"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38242</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21244</v>
      </c>
      <c r="C3" s="1998" t="s">
        <v>1939</v>
      </c>
      <c r="D3" s="1999" t="s">
        <v>1940</v>
      </c>
      <c r="E3" s="3418" t="s">
        <v>3401</v>
      </c>
      <c r="F3" s="2003" t="s">
        <v>3384</v>
      </c>
      <c r="G3" s="752">
        <f>IF(F3="宗地容积率",'数据-汇总表'!I4,IF(F3="估价对象容积率",'数据-汇总表'!I6,'数据-汇总表'!I7))</f>
        <v>3.5</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30360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85"/>
      <c r="B4" s="3786"/>
      <c r="C4" s="3786"/>
      <c r="D4" s="3787"/>
      <c r="E4" s="3787"/>
      <c r="F4" s="3787"/>
      <c r="G4" s="3787"/>
      <c r="H4" s="3787"/>
      <c r="I4" s="3787"/>
      <c r="J4" s="3788"/>
      <c r="K4" s="1119"/>
      <c r="L4" s="2002"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26233</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1945</v>
      </c>
      <c r="C5" s="753">
        <f>ROUND(IF(E2="商业",C6*C7*C17+C20,(IF(E2="住宅",C6*C13*C17+C20,IF(E2="办公",C6*C12*C17+C20,C6+C20)))),0)</f>
        <v>32510</v>
      </c>
      <c r="D5" s="1339">
        <f>ROUND(C6*C17+C20,0)</f>
        <v>32510</v>
      </c>
      <c r="E5" s="1339"/>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23738</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1947</v>
      </c>
      <c r="B6" s="2015" t="s">
        <v>1948</v>
      </c>
      <c r="C6" s="754">
        <f>SUMIF(L1:L12,G2,M1:M12)</f>
        <v>32510</v>
      </c>
      <c r="D6" s="2016"/>
      <c r="E6" s="2017"/>
      <c r="F6" s="2017"/>
      <c r="G6" s="2018"/>
      <c r="H6" s="2018"/>
      <c r="I6" s="2018"/>
      <c r="J6" s="2019"/>
      <c r="K6" s="1384"/>
      <c r="L6" s="2002"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22624</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3239</v>
      </c>
      <c r="B7" s="2020" t="s">
        <v>1950</v>
      </c>
      <c r="C7" s="755">
        <f>IF(C8="不临65条商业街",1,ROUND(1+(1.6*E8+1.2*E9+0.8*E10+0.4*E11)*C9,4))</f>
        <v>1</v>
      </c>
      <c r="D7" s="2021" t="s">
        <v>1951</v>
      </c>
      <c r="E7" s="776"/>
      <c r="F7" s="2022"/>
      <c r="G7" s="2023"/>
      <c r="H7" s="2023"/>
      <c r="I7" s="2023"/>
      <c r="J7" s="2024"/>
      <c r="K7" s="1384"/>
      <c r="L7" s="2002"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一级</v>
      </c>
      <c r="Y7" s="1214" t="s">
        <v>1954</v>
      </c>
      <c r="Z7" s="1215">
        <f>G3</f>
        <v>3.5</v>
      </c>
      <c r="AA7" s="1216"/>
      <c r="AB7" s="1216"/>
      <c r="AC7" s="1217"/>
      <c r="AD7" s="1218"/>
      <c r="AE7" s="1218"/>
      <c r="AF7" s="1218"/>
      <c r="AG7" s="1218"/>
      <c r="AH7" s="1218"/>
      <c r="AI7" s="1218"/>
      <c r="AJ7" s="1219"/>
    </row>
    <row r="8" spans="1:36" ht="25.5">
      <c r="A8" s="3297"/>
      <c r="B8" s="170" t="s">
        <v>1955</v>
      </c>
      <c r="C8" s="2025" t="s">
        <v>3385</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82" t="s">
        <v>1958</v>
      </c>
      <c r="X8" s="378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84"/>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8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3244</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1983</v>
      </c>
      <c r="C14" s="2040" t="s">
        <v>1984</v>
      </c>
      <c r="D14" s="1350" t="s">
        <v>1985</v>
      </c>
      <c r="E14" s="27" t="s">
        <v>1986</v>
      </c>
      <c r="F14" s="3310" t="s">
        <v>3245</v>
      </c>
      <c r="G14" s="3310" t="s">
        <v>3245</v>
      </c>
      <c r="H14" s="3310" t="s">
        <v>3245</v>
      </c>
      <c r="I14" s="3310" t="s">
        <v>3245</v>
      </c>
      <c r="J14" s="3310" t="s">
        <v>3245</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89" t="s">
        <v>3256</v>
      </c>
      <c r="B20" s="167" t="s">
        <v>1992</v>
      </c>
      <c r="C20" s="3323">
        <f>ROUND(IF(F21="与级别开发程度一致",0,(G21-E21)/C21),0)</f>
        <v>0</v>
      </c>
      <c r="D20" s="3339" t="s">
        <v>1996</v>
      </c>
      <c r="E20" s="3340"/>
      <c r="F20" s="3795" t="s">
        <v>1993</v>
      </c>
      <c r="G20" s="3796"/>
      <c r="H20" s="3324" t="s">
        <v>3386</v>
      </c>
      <c r="I20" s="3324" t="s">
        <v>3387</v>
      </c>
      <c r="J20" s="3325" t="s">
        <v>3388</v>
      </c>
      <c r="K20" s="2046" t="s">
        <v>3389</v>
      </c>
      <c r="L20" s="2046" t="s">
        <v>3390</v>
      </c>
      <c r="M20" s="2046" t="s">
        <v>3434</v>
      </c>
      <c r="N20" s="2046" t="s">
        <v>3435</v>
      </c>
      <c r="O20" s="2047" t="s">
        <v>3391</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90"/>
      <c r="B21" s="2163" t="s">
        <v>1995</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2000</v>
      </c>
      <c r="E23" s="761">
        <v>44197</v>
      </c>
      <c r="F23" s="2053" t="s">
        <v>2001</v>
      </c>
      <c r="G23" s="762">
        <f>'数据-取费表'!B2</f>
        <v>45348</v>
      </c>
      <c r="H23" s="3341" t="s">
        <v>3257</v>
      </c>
      <c r="I23" s="3342" t="str">
        <f>IF(H23="季度增幅（自定义）",SUMIF(N25:N28,E2,O25:O28),"")</f>
        <v/>
      </c>
      <c r="J23" s="3444" t="s">
        <v>3408</v>
      </c>
      <c r="K23" s="1125"/>
      <c r="L23" s="2054" t="s">
        <v>2002</v>
      </c>
      <c r="M23" s="1328">
        <f>ROUND(SUMIF(地价!B2:G2,E2,地价!B16:G16),0)</f>
        <v>350</v>
      </c>
      <c r="N23" s="2055" t="s">
        <v>2003</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0.72309999999999997</v>
      </c>
      <c r="D24" s="2059" t="s">
        <v>2005</v>
      </c>
      <c r="E24" s="1335">
        <f>存贷款利率!E24/100</f>
        <v>4.3499999999999997E-2</v>
      </c>
      <c r="F24" s="2059" t="s">
        <v>1997</v>
      </c>
      <c r="G24" s="768">
        <f>SUMIF(M30:Q30,E2,M33:Q33)</f>
        <v>5.5E-2</v>
      </c>
      <c r="H24" s="2059" t="s">
        <v>2006</v>
      </c>
      <c r="I24" s="769">
        <f>SUMIF('数据-取费表'!C6:C15,E2,'数据-取费表'!F6:F15)/COUNTIF('数据-取费表'!C6:C15,E2)</f>
        <v>20.9</v>
      </c>
      <c r="J24" s="770">
        <f>IF(E2="住宅",70,IF(E2="商业",40,50))</f>
        <v>50</v>
      </c>
      <c r="K24" s="1125"/>
      <c r="L24" s="2060" t="s">
        <v>2007</v>
      </c>
      <c r="M24" s="1329">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3400</v>
      </c>
      <c r="C25" s="771">
        <f>IF(B25="容积率修正",IF(G3&lt;10,D26,J26),C27)</f>
        <v>1</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3259</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1.0421</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139588</v>
      </c>
      <c r="D30" s="2082"/>
      <c r="E30" s="2045"/>
      <c r="F30" s="2083"/>
      <c r="G30" s="2045"/>
      <c r="H30" s="2045"/>
      <c r="I30" s="2045"/>
      <c r="J30" s="2084"/>
      <c r="K30" s="1119"/>
      <c r="L30" s="3349" t="s">
        <v>1934</v>
      </c>
      <c r="M30" s="3350" t="s">
        <v>1988</v>
      </c>
      <c r="N30" s="3350" t="s">
        <v>1989</v>
      </c>
      <c r="O30" s="3350" t="s">
        <v>1990</v>
      </c>
      <c r="P30" s="3350" t="s">
        <v>1991</v>
      </c>
      <c r="Q30" s="3353" t="s">
        <v>3263</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1847</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25149</v>
      </c>
      <c r="D33" s="2097">
        <f>'数据-汇总表'!E3</f>
        <v>52566.7</v>
      </c>
      <c r="E33" s="773">
        <f>ROUND(C33*D33/10000,0)</f>
        <v>132200</v>
      </c>
      <c r="F33" s="3344" t="s">
        <v>3261</v>
      </c>
      <c r="G33" s="2098"/>
      <c r="H33" s="2098"/>
      <c r="I33" s="2098"/>
      <c r="J33" s="2099"/>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6287</v>
      </c>
      <c r="D34" s="2102"/>
      <c r="E34" s="773">
        <f>ROUND(IF(B25="楼层修正",SUM(V2:V16)*M40,C34*D34/10000),0)</f>
        <v>0</v>
      </c>
      <c r="F34" s="2103" t="s">
        <v>2030</v>
      </c>
      <c r="G34" s="2104"/>
      <c r="H34" s="2104"/>
      <c r="I34" s="2104"/>
      <c r="J34" s="2105"/>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3262</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3266</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3"/>
      <c r="B37" s="2112" t="s">
        <v>2034</v>
      </c>
      <c r="C37" s="175">
        <f>ROUND(D5*C22*C23*C24*C28*F37,0)</f>
        <v>17605</v>
      </c>
      <c r="D37" s="2097"/>
      <c r="E37" s="171">
        <f>ROUND(C37*D37/10000,0)</f>
        <v>0</v>
      </c>
      <c r="F37" s="171">
        <f>SUMIF(修正!A57:A68,G2,修正!B57:B68)</f>
        <v>0.7</v>
      </c>
      <c r="G37" s="171">
        <f>ROUND(IF(E2="工业",C37*$M$42,C37*$M$41),0)</f>
        <v>4401</v>
      </c>
      <c r="H37" s="171">
        <f>D37</f>
        <v>0</v>
      </c>
      <c r="I37" s="171">
        <f>ROUND(G37*H37/10000,0)</f>
        <v>0</v>
      </c>
      <c r="J37" s="3010"/>
      <c r="K37" s="3357" t="s">
        <v>3267</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94"/>
      <c r="B38" s="2040" t="s">
        <v>2035</v>
      </c>
      <c r="C38" s="175">
        <f>ROUND(D5*C22*C23*C24*C28*F38,0)</f>
        <v>10060</v>
      </c>
      <c r="D38" s="2097"/>
      <c r="E38" s="171">
        <f t="shared" ref="E38:E42" si="4">ROUND(C38*D38/10000,0)</f>
        <v>0</v>
      </c>
      <c r="F38" s="171">
        <f>SUMIF(修正!A57:A68,G2,修正!C57:C68)</f>
        <v>0.4</v>
      </c>
      <c r="G38" s="171">
        <f>ROUND(IF(E2="工业",C38*$M$42,C38*$M$41),0)</f>
        <v>2515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94"/>
      <c r="B39" s="2040" t="s">
        <v>3260</v>
      </c>
      <c r="C39" s="175">
        <f>ROUND(D5*C22*C23*C24*C28*F39,0)</f>
        <v>7545</v>
      </c>
      <c r="D39" s="2097"/>
      <c r="E39" s="171">
        <f t="shared" si="4"/>
        <v>0</v>
      </c>
      <c r="F39" s="171">
        <f>SUMIF(修正!A57:A68,G2,修正!D57:D68)</f>
        <v>0.3</v>
      </c>
      <c r="G39" s="171">
        <f>ROUND(IF(E2="工业",C39*$M$42,C39*$M$41),0)</f>
        <v>1886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7545</v>
      </c>
      <c r="D40" s="2097">
        <f>抵押物清单!I8</f>
        <v>3096.18</v>
      </c>
      <c r="E40" s="171">
        <f t="shared" si="4"/>
        <v>2336</v>
      </c>
      <c r="F40" s="175">
        <f>SUMIF(修正!A57:A68,G2,修正!E57:E68)</f>
        <v>0.3</v>
      </c>
      <c r="G40" s="171">
        <f>ROUND(IF(E2="工业",C40*$M$42,C40*$M$41),0)</f>
        <v>1886</v>
      </c>
      <c r="H40" s="171">
        <f t="shared" si="5"/>
        <v>3096.18</v>
      </c>
      <c r="I40" s="171">
        <f t="shared" si="6"/>
        <v>584</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7545</v>
      </c>
      <c r="D41" s="2097"/>
      <c r="E41" s="171">
        <f t="shared" si="4"/>
        <v>0</v>
      </c>
      <c r="F41" s="175">
        <f>SUMIF(修正!A57:A68,G2,修正!F57:F68)</f>
        <v>0.3</v>
      </c>
      <c r="G41" s="171">
        <f>ROUND(IF(E2="工业",C41*$M$42,C41*$M$41),0)</f>
        <v>1886</v>
      </c>
      <c r="H41" s="171">
        <f t="shared" si="5"/>
        <v>0</v>
      </c>
      <c r="I41" s="171">
        <f t="shared" si="6"/>
        <v>0</v>
      </c>
      <c r="J41" s="2113"/>
      <c r="L41" s="3358" t="s">
        <v>3268</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5030</v>
      </c>
      <c r="D42" s="2102">
        <f>抵押物清单!I9</f>
        <v>10043.08</v>
      </c>
      <c r="E42" s="187">
        <f t="shared" si="4"/>
        <v>5052</v>
      </c>
      <c r="F42" s="767">
        <f>SUMIF(修正!A57:A68,G2,修正!G57:G68)</f>
        <v>0.2</v>
      </c>
      <c r="G42" s="187">
        <f>ROUND(IF(E2="工业",C42*$M$42,C42*$M$41),0)</f>
        <v>1258</v>
      </c>
      <c r="H42" s="187">
        <f t="shared" si="5"/>
        <v>10043.08</v>
      </c>
      <c r="I42" s="187">
        <f t="shared" si="6"/>
        <v>1263</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0.72309999999999997</v>
      </c>
      <c r="D44" s="171" t="s">
        <v>1997</v>
      </c>
      <c r="E44" s="2152">
        <f>G24</f>
        <v>5.5E-2</v>
      </c>
      <c r="F44" s="171" t="s">
        <v>2006</v>
      </c>
      <c r="G44" s="183">
        <f>I24</f>
        <v>20.9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1.0421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3392</v>
      </c>
      <c r="D61" s="1065">
        <f t="shared" ref="D61:D69" si="12">SUMIF($J$60:$N$60,C61,J61:N61)</f>
        <v>1.0200000000000001E-2</v>
      </c>
      <c r="E61" s="744">
        <f>ROUND(SUM(D61:D69),4)</f>
        <v>4.2099999999999999E-2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3392</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3270</v>
      </c>
      <c r="B63" s="2133">
        <f>估价对象房地状况!C19</f>
        <v>0</v>
      </c>
      <c r="C63" s="2043" t="s">
        <v>3392</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2052</v>
      </c>
      <c r="B64" s="2134" t="s">
        <v>2053</v>
      </c>
      <c r="C64" s="2043" t="s">
        <v>3392</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3709</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2055</v>
      </c>
      <c r="B66" s="2135" t="s">
        <v>2056</v>
      </c>
      <c r="C66" s="2043" t="s">
        <v>3392</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2057</v>
      </c>
      <c r="B67" s="1326" t="str">
        <f>估价对象房地状况!C21</f>
        <v>估价对象所在区域公共配套设施齐备情况</v>
      </c>
      <c r="C67" s="2043" t="s">
        <v>3392</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2058</v>
      </c>
      <c r="B68" s="1326" t="str">
        <f>估价对象房地状况!C22</f>
        <v>估价对象所在区域基础设施水平</v>
      </c>
      <c r="C68" s="2043" t="s">
        <v>3393</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3392</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3270</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3271</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91" t="s">
        <v>3295</v>
      </c>
      <c r="B103" s="3791"/>
      <c r="C103" s="3791"/>
      <c r="D103" s="3791"/>
      <c r="E103" s="3791"/>
      <c r="F103" s="3791"/>
      <c r="G103" s="3791"/>
      <c r="H103" s="3791"/>
      <c r="I103" s="3791"/>
      <c r="J103" s="3791"/>
      <c r="K103" s="3388"/>
      <c r="L103" s="3388"/>
      <c r="M103" s="3388"/>
      <c r="N103" s="3388"/>
    </row>
    <row r="104" spans="1:14">
      <c r="A104" s="3792" t="s">
        <v>3296</v>
      </c>
      <c r="B104" s="3792" t="s">
        <v>3297</v>
      </c>
      <c r="C104" s="3389" t="s">
        <v>3298</v>
      </c>
      <c r="D104" s="3390"/>
      <c r="E104" s="3390"/>
      <c r="F104" s="3390"/>
      <c r="G104" s="3390"/>
      <c r="H104" s="3390"/>
      <c r="I104" s="3390"/>
      <c r="J104" s="3391"/>
      <c r="K104" s="3392"/>
      <c r="L104" s="3392"/>
      <c r="M104" s="3392"/>
      <c r="N104" s="3392"/>
    </row>
    <row r="105" spans="1:14">
      <c r="A105" s="3792"/>
      <c r="B105" s="3792"/>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78"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9"/>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8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81" t="s">
        <v>3312</v>
      </c>
      <c r="B113" s="3781"/>
      <c r="C113" s="3781"/>
      <c r="D113" s="3781"/>
      <c r="E113" s="3781"/>
      <c r="F113" s="3781"/>
      <c r="G113" s="3781"/>
      <c r="H113" s="3781"/>
      <c r="I113" s="3781"/>
      <c r="J113" s="378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3.5</v>
      </c>
      <c r="C116" s="3398" t="s">
        <v>3314</v>
      </c>
      <c r="D116" s="3399">
        <f>SUMPRODUCT((A118:A122=F116)*(B117:M117=H116)*B118:M122)</f>
        <v>0.95379999999999998</v>
      </c>
      <c r="E116" s="1999" t="s">
        <v>3315</v>
      </c>
      <c r="F116" s="3400" t="str">
        <f>E2</f>
        <v>办公</v>
      </c>
      <c r="G116" s="1999" t="s">
        <v>3316</v>
      </c>
      <c r="H116" s="3400" t="str">
        <f>G2</f>
        <v>一级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3330</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3331</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3332</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2614</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06" t="s">
        <v>2609</v>
      </c>
      <c r="B20" s="3801" t="s">
        <v>2630</v>
      </c>
      <c r="C20" s="3101" t="s">
        <v>2441</v>
      </c>
      <c r="D20" s="3102"/>
      <c r="E20" s="3103">
        <v>1</v>
      </c>
      <c r="F20" s="3104" t="s">
        <v>2442</v>
      </c>
      <c r="G20" s="3104"/>
    </row>
    <row r="21" spans="1:13" ht="19.5" customHeight="1">
      <c r="A21" s="3807"/>
      <c r="B21" s="3800"/>
      <c r="C21" s="3105" t="s">
        <v>2443</v>
      </c>
      <c r="D21" s="3106"/>
      <c r="E21" s="3107">
        <v>1</v>
      </c>
      <c r="F21" s="3104" t="s">
        <v>2444</v>
      </c>
      <c r="G21" s="3104"/>
    </row>
    <row r="22" spans="1:13" ht="19.5" customHeight="1">
      <c r="A22" s="3807"/>
      <c r="B22" s="3800"/>
      <c r="C22" s="3105" t="s">
        <v>2445</v>
      </c>
      <c r="D22" s="3106"/>
      <c r="E22" s="3107">
        <v>0.9</v>
      </c>
      <c r="F22" s="3104" t="s">
        <v>2446</v>
      </c>
      <c r="G22" s="3104"/>
    </row>
    <row r="23" spans="1:13" ht="19.5" customHeight="1">
      <c r="A23" s="3807"/>
      <c r="B23" s="3800"/>
      <c r="C23" s="3105" t="s">
        <v>2447</v>
      </c>
      <c r="D23" s="3106"/>
      <c r="E23" s="3107">
        <v>0.9</v>
      </c>
      <c r="F23" s="3104" t="s">
        <v>2448</v>
      </c>
      <c r="G23" s="3104"/>
    </row>
    <row r="24" spans="1:13" ht="19.5" customHeight="1">
      <c r="A24" s="3807"/>
      <c r="B24" s="3800"/>
      <c r="C24" s="3105" t="s">
        <v>2449</v>
      </c>
      <c r="D24" s="3106"/>
      <c r="E24" s="3107">
        <v>0.8</v>
      </c>
      <c r="F24" s="3104" t="s">
        <v>2450</v>
      </c>
      <c r="G24" s="3104"/>
    </row>
    <row r="25" spans="1:13" ht="19.5" customHeight="1" thickBot="1">
      <c r="A25" s="3808"/>
      <c r="B25" s="380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03" t="s">
        <v>2633</v>
      </c>
      <c r="B27" s="3801" t="s">
        <v>2614</v>
      </c>
      <c r="C27" s="3101" t="s">
        <v>2454</v>
      </c>
      <c r="D27" s="3102"/>
      <c r="E27" s="3103">
        <v>1</v>
      </c>
      <c r="F27" s="3104" t="s">
        <v>2455</v>
      </c>
      <c r="G27" s="3104"/>
    </row>
    <row r="28" spans="1:13" ht="19.5" customHeight="1">
      <c r="A28" s="3804"/>
      <c r="B28" s="3800"/>
      <c r="C28" s="3105" t="s">
        <v>2456</v>
      </c>
      <c r="D28" s="3106"/>
      <c r="E28" s="3107">
        <v>1</v>
      </c>
      <c r="F28" s="3104" t="s">
        <v>2457</v>
      </c>
      <c r="G28" s="3104"/>
    </row>
    <row r="29" spans="1:13" ht="19.5" customHeight="1">
      <c r="A29" s="3804"/>
      <c r="B29" s="3800"/>
      <c r="C29" s="3105" t="s">
        <v>2458</v>
      </c>
      <c r="D29" s="3106"/>
      <c r="E29" s="3107">
        <v>0.8</v>
      </c>
      <c r="F29" s="3104" t="s">
        <v>2459</v>
      </c>
      <c r="G29" s="3104"/>
    </row>
    <row r="30" spans="1:13" ht="19.5" customHeight="1">
      <c r="A30" s="3804"/>
      <c r="B30" s="3800"/>
      <c r="C30" s="3105" t="s">
        <v>2460</v>
      </c>
      <c r="D30" s="3106"/>
      <c r="E30" s="3107">
        <v>0.8</v>
      </c>
      <c r="F30" s="3104" t="s">
        <v>2461</v>
      </c>
      <c r="G30" s="3104"/>
    </row>
    <row r="31" spans="1:13" ht="19.5" customHeight="1">
      <c r="A31" s="3804"/>
      <c r="B31" s="3800"/>
      <c r="C31" s="3105" t="s">
        <v>2462</v>
      </c>
      <c r="D31" s="3106"/>
      <c r="E31" s="3107">
        <v>0.8</v>
      </c>
      <c r="F31" s="3104" t="s">
        <v>2463</v>
      </c>
      <c r="G31" s="3104"/>
    </row>
    <row r="32" spans="1:13" ht="19.5" customHeight="1">
      <c r="A32" s="3804"/>
      <c r="B32" s="3800"/>
      <c r="C32" s="3105" t="s">
        <v>2464</v>
      </c>
      <c r="D32" s="3106"/>
      <c r="E32" s="3107">
        <v>0.7</v>
      </c>
      <c r="F32" s="3104" t="s">
        <v>2465</v>
      </c>
      <c r="G32" s="3104"/>
    </row>
    <row r="33" spans="1:7" ht="19.5" customHeight="1">
      <c r="A33" s="3804"/>
      <c r="B33" s="3800"/>
      <c r="C33" s="3105" t="s">
        <v>2466</v>
      </c>
      <c r="D33" s="3106"/>
      <c r="E33" s="3107">
        <v>0.8</v>
      </c>
      <c r="F33" s="3104" t="s">
        <v>2467</v>
      </c>
      <c r="G33" s="3104"/>
    </row>
    <row r="34" spans="1:7" ht="19.5" customHeight="1">
      <c r="A34" s="3804"/>
      <c r="B34" s="3800"/>
      <c r="C34" s="3105" t="s">
        <v>2468</v>
      </c>
      <c r="D34" s="3106"/>
      <c r="E34" s="3107">
        <v>0.6</v>
      </c>
      <c r="F34" s="3104" t="s">
        <v>2469</v>
      </c>
      <c r="G34" s="3104"/>
    </row>
    <row r="35" spans="1:7" ht="19.5" customHeight="1">
      <c r="A35" s="3804"/>
      <c r="B35" s="3800"/>
      <c r="C35" s="3105" t="s">
        <v>2470</v>
      </c>
      <c r="D35" s="3106"/>
      <c r="E35" s="3107">
        <v>0.2</v>
      </c>
      <c r="F35" s="3104" t="s">
        <v>2471</v>
      </c>
      <c r="G35" s="3104"/>
    </row>
    <row r="36" spans="1:7" ht="19.5" customHeight="1">
      <c r="A36" s="3804"/>
      <c r="B36" s="3800"/>
      <c r="C36" s="3105" t="s">
        <v>2472</v>
      </c>
      <c r="D36" s="3106"/>
      <c r="E36" s="3107">
        <v>0.2</v>
      </c>
      <c r="F36" s="3104" t="s">
        <v>2473</v>
      </c>
      <c r="G36" s="3104"/>
    </row>
    <row r="37" spans="1:7" ht="19.5" customHeight="1">
      <c r="A37" s="3804"/>
      <c r="B37" s="3798" t="s">
        <v>2634</v>
      </c>
      <c r="C37" s="3105" t="s">
        <v>2474</v>
      </c>
      <c r="D37" s="3106"/>
      <c r="E37" s="3107">
        <v>0.6</v>
      </c>
      <c r="F37" s="3104" t="s">
        <v>2475</v>
      </c>
      <c r="G37" s="3104"/>
    </row>
    <row r="38" spans="1:7" ht="19.5" customHeight="1">
      <c r="A38" s="3804"/>
      <c r="B38" s="3800"/>
      <c r="C38" s="3105" t="s">
        <v>2476</v>
      </c>
      <c r="D38" s="3106"/>
      <c r="E38" s="3107">
        <v>0.6</v>
      </c>
      <c r="F38" s="3104" t="s">
        <v>2477</v>
      </c>
      <c r="G38" s="3104"/>
    </row>
    <row r="39" spans="1:7" ht="19.5" customHeight="1" thickBot="1">
      <c r="A39" s="3805"/>
      <c r="B39" s="380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06" t="s">
        <v>2612</v>
      </c>
      <c r="B41" s="3801" t="s">
        <v>2636</v>
      </c>
      <c r="C41" s="3101" t="s">
        <v>2481</v>
      </c>
      <c r="D41" s="3102"/>
      <c r="E41" s="3103">
        <v>1</v>
      </c>
      <c r="F41" s="3104" t="s">
        <v>2482</v>
      </c>
      <c r="G41" s="3104"/>
    </row>
    <row r="42" spans="1:7" ht="19.5" customHeight="1">
      <c r="A42" s="3807"/>
      <c r="B42" s="3800"/>
      <c r="C42" s="3105" t="s">
        <v>2483</v>
      </c>
      <c r="D42" s="3106"/>
      <c r="E42" s="3107">
        <v>1</v>
      </c>
      <c r="F42" s="3104" t="s">
        <v>2484</v>
      </c>
      <c r="G42" s="3104"/>
    </row>
    <row r="43" spans="1:7" ht="19.5" customHeight="1">
      <c r="A43" s="3807"/>
      <c r="B43" s="3799"/>
      <c r="C43" s="3105" t="s">
        <v>2485</v>
      </c>
      <c r="D43" s="3106"/>
      <c r="E43" s="3107">
        <v>1.5</v>
      </c>
      <c r="F43" s="3104" t="s">
        <v>2486</v>
      </c>
      <c r="G43" s="3104"/>
    </row>
    <row r="44" spans="1:7" ht="19.5" customHeight="1">
      <c r="A44" s="3807"/>
      <c r="B44" s="3116" t="s">
        <v>2637</v>
      </c>
      <c r="C44" s="3105" t="s">
        <v>2638</v>
      </c>
      <c r="D44" s="3106"/>
      <c r="E44" s="3107">
        <v>2</v>
      </c>
      <c r="F44" s="3104" t="s">
        <v>2487</v>
      </c>
      <c r="G44" s="3104"/>
    </row>
    <row r="45" spans="1:7" ht="19.5" customHeight="1">
      <c r="A45" s="3807"/>
      <c r="B45" s="3798" t="s">
        <v>2639</v>
      </c>
      <c r="C45" s="3105" t="s">
        <v>2488</v>
      </c>
      <c r="D45" s="3106"/>
      <c r="E45" s="3107">
        <v>1</v>
      </c>
      <c r="F45" s="3104" t="s">
        <v>2489</v>
      </c>
      <c r="G45" s="3104"/>
    </row>
    <row r="46" spans="1:7" ht="19.5" customHeight="1">
      <c r="A46" s="3807"/>
      <c r="B46" s="3800"/>
      <c r="C46" s="3105" t="s">
        <v>2490</v>
      </c>
      <c r="D46" s="3106"/>
      <c r="E46" s="3107">
        <v>1</v>
      </c>
      <c r="F46" s="3104" t="s">
        <v>2491</v>
      </c>
      <c r="G46" s="3104"/>
    </row>
    <row r="47" spans="1:7" ht="19.5" customHeight="1">
      <c r="A47" s="3807"/>
      <c r="B47" s="3800"/>
      <c r="C47" s="3105" t="s">
        <v>2492</v>
      </c>
      <c r="D47" s="3106"/>
      <c r="E47" s="3107">
        <v>1</v>
      </c>
      <c r="F47" s="3104" t="s">
        <v>2493</v>
      </c>
      <c r="G47" s="3104"/>
    </row>
    <row r="48" spans="1:7" ht="19.5" customHeight="1">
      <c r="A48" s="3807"/>
      <c r="B48" s="3800"/>
      <c r="C48" s="3105" t="s">
        <v>2494</v>
      </c>
      <c r="D48" s="3106"/>
      <c r="E48" s="3107">
        <v>1</v>
      </c>
      <c r="F48" s="3104" t="s">
        <v>2495</v>
      </c>
      <c r="G48" s="3104"/>
    </row>
    <row r="49" spans="1:7" ht="19.5" customHeight="1">
      <c r="A49" s="3807"/>
      <c r="B49" s="3800"/>
      <c r="C49" s="3105" t="s">
        <v>2496</v>
      </c>
      <c r="D49" s="3106"/>
      <c r="E49" s="3107">
        <v>1</v>
      </c>
      <c r="F49" s="3104" t="s">
        <v>2497</v>
      </c>
      <c r="G49" s="3104"/>
    </row>
    <row r="50" spans="1:7" ht="19.5" customHeight="1">
      <c r="A50" s="3807"/>
      <c r="B50" s="3800"/>
      <c r="C50" s="3105" t="s">
        <v>2498</v>
      </c>
      <c r="D50" s="3106"/>
      <c r="E50" s="3107">
        <v>1</v>
      </c>
      <c r="F50" s="3104" t="s">
        <v>2499</v>
      </c>
      <c r="G50" s="3104"/>
    </row>
    <row r="51" spans="1:7" ht="19.5" customHeight="1" thickBot="1">
      <c r="A51" s="3808"/>
      <c r="B51" s="380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98" t="s">
        <v>2653</v>
      </c>
      <c r="C73" s="3090" t="s">
        <v>2654</v>
      </c>
      <c r="D73" s="3090" t="s">
        <v>2655</v>
      </c>
      <c r="E73" s="3116">
        <v>0.2</v>
      </c>
      <c r="F73" s="3116">
        <v>25</v>
      </c>
    </row>
    <row r="74" spans="1:7" ht="24">
      <c r="A74" s="3116">
        <v>2</v>
      </c>
      <c r="B74" s="3800"/>
      <c r="C74" s="3090" t="s">
        <v>2656</v>
      </c>
      <c r="D74" s="3090" t="s">
        <v>2657</v>
      </c>
      <c r="E74" s="3116">
        <v>0.2</v>
      </c>
      <c r="F74" s="3116">
        <v>25</v>
      </c>
    </row>
    <row r="75" spans="1:7" ht="24">
      <c r="A75" s="3116">
        <v>3</v>
      </c>
      <c r="B75" s="3800"/>
      <c r="C75" s="3090" t="s">
        <v>2658</v>
      </c>
      <c r="D75" s="3090" t="s">
        <v>2659</v>
      </c>
      <c r="E75" s="3116">
        <v>0.2</v>
      </c>
      <c r="F75" s="3116">
        <v>25</v>
      </c>
    </row>
    <row r="76" spans="1:7" ht="13.5">
      <c r="A76" s="3116">
        <v>4</v>
      </c>
      <c r="B76" s="3800"/>
      <c r="C76" s="3090" t="s">
        <v>2660</v>
      </c>
      <c r="D76" s="3090" t="s">
        <v>2661</v>
      </c>
      <c r="E76" s="3116">
        <v>0.15</v>
      </c>
      <c r="F76" s="3116">
        <v>20</v>
      </c>
    </row>
    <row r="77" spans="1:7" ht="24">
      <c r="A77" s="3116">
        <v>5</v>
      </c>
      <c r="B77" s="3800"/>
      <c r="C77" s="3090" t="s">
        <v>2662</v>
      </c>
      <c r="D77" s="3090" t="s">
        <v>2663</v>
      </c>
      <c r="E77" s="3116">
        <v>0.15</v>
      </c>
      <c r="F77" s="3116">
        <v>20</v>
      </c>
    </row>
    <row r="78" spans="1:7" ht="24">
      <c r="A78" s="3116">
        <v>6</v>
      </c>
      <c r="B78" s="3800"/>
      <c r="C78" s="3090" t="s">
        <v>2664</v>
      </c>
      <c r="D78" s="3090" t="s">
        <v>2665</v>
      </c>
      <c r="E78" s="3116">
        <v>0.15</v>
      </c>
      <c r="F78" s="3116">
        <v>20</v>
      </c>
    </row>
    <row r="79" spans="1:7" ht="24">
      <c r="A79" s="3116">
        <v>7</v>
      </c>
      <c r="B79" s="3800"/>
      <c r="C79" s="3090" t="s">
        <v>2666</v>
      </c>
      <c r="D79" s="3090" t="s">
        <v>2667</v>
      </c>
      <c r="E79" s="3116">
        <v>0.15</v>
      </c>
      <c r="F79" s="3116">
        <v>20</v>
      </c>
    </row>
    <row r="80" spans="1:7" ht="24">
      <c r="A80" s="3116">
        <v>8</v>
      </c>
      <c r="B80" s="3800"/>
      <c r="C80" s="3090" t="s">
        <v>2668</v>
      </c>
      <c r="D80" s="3090" t="s">
        <v>2669</v>
      </c>
      <c r="E80" s="3116">
        <v>0.1</v>
      </c>
      <c r="F80" s="3116">
        <v>15</v>
      </c>
    </row>
    <row r="81" spans="1:6" ht="24">
      <c r="A81" s="3116">
        <v>9</v>
      </c>
      <c r="B81" s="3800"/>
      <c r="C81" s="3090" t="s">
        <v>2670</v>
      </c>
      <c r="D81" s="3090" t="s">
        <v>2671</v>
      </c>
      <c r="E81" s="3116">
        <v>0.1</v>
      </c>
      <c r="F81" s="3116">
        <v>15</v>
      </c>
    </row>
    <row r="82" spans="1:6" ht="24">
      <c r="A82" s="3116">
        <v>10</v>
      </c>
      <c r="B82" s="3800"/>
      <c r="C82" s="3090" t="s">
        <v>2672</v>
      </c>
      <c r="D82" s="3090" t="s">
        <v>2673</v>
      </c>
      <c r="E82" s="3116">
        <v>0.1</v>
      </c>
      <c r="F82" s="3116">
        <v>15</v>
      </c>
    </row>
    <row r="83" spans="1:6" ht="24">
      <c r="A83" s="3116">
        <v>11</v>
      </c>
      <c r="B83" s="3800"/>
      <c r="C83" s="3090" t="s">
        <v>2674</v>
      </c>
      <c r="D83" s="3090" t="s">
        <v>2675</v>
      </c>
      <c r="E83" s="3116">
        <v>0.1</v>
      </c>
      <c r="F83" s="3116">
        <v>15</v>
      </c>
    </row>
    <row r="84" spans="1:6" ht="24">
      <c r="A84" s="3116">
        <v>12</v>
      </c>
      <c r="B84" s="3800"/>
      <c r="C84" s="3090" t="s">
        <v>2676</v>
      </c>
      <c r="D84" s="3090" t="s">
        <v>2677</v>
      </c>
      <c r="E84" s="3116">
        <v>0.1</v>
      </c>
      <c r="F84" s="3116">
        <v>15</v>
      </c>
    </row>
    <row r="85" spans="1:6" ht="13.5">
      <c r="A85" s="3116">
        <v>13</v>
      </c>
      <c r="B85" s="3800"/>
      <c r="C85" s="3090" t="s">
        <v>2678</v>
      </c>
      <c r="D85" s="3090" t="s">
        <v>2679</v>
      </c>
      <c r="E85" s="3116">
        <v>0.1</v>
      </c>
      <c r="F85" s="3116">
        <v>15</v>
      </c>
    </row>
    <row r="86" spans="1:6" ht="13.5">
      <c r="A86" s="3116">
        <v>14</v>
      </c>
      <c r="B86" s="3800"/>
      <c r="C86" s="3090" t="s">
        <v>2680</v>
      </c>
      <c r="D86" s="3090" t="s">
        <v>2681</v>
      </c>
      <c r="E86" s="3116">
        <v>0.1</v>
      </c>
      <c r="F86" s="3116">
        <v>15</v>
      </c>
    </row>
    <row r="87" spans="1:6" ht="13.5">
      <c r="A87" s="3116">
        <v>15</v>
      </c>
      <c r="B87" s="3800"/>
      <c r="C87" s="3090" t="s">
        <v>2682</v>
      </c>
      <c r="D87" s="3090" t="s">
        <v>2683</v>
      </c>
      <c r="E87" s="3116">
        <v>0.1</v>
      </c>
      <c r="F87" s="3116">
        <v>15</v>
      </c>
    </row>
    <row r="88" spans="1:6" ht="24">
      <c r="A88" s="3116">
        <v>16</v>
      </c>
      <c r="B88" s="3800"/>
      <c r="C88" s="3090" t="s">
        <v>2684</v>
      </c>
      <c r="D88" s="3090" t="s">
        <v>2685</v>
      </c>
      <c r="E88" s="3116">
        <v>0.1</v>
      </c>
      <c r="F88" s="3116">
        <v>15</v>
      </c>
    </row>
    <row r="89" spans="1:6" ht="24">
      <c r="A89" s="3116">
        <v>17</v>
      </c>
      <c r="B89" s="3799"/>
      <c r="C89" s="3090" t="s">
        <v>2686</v>
      </c>
      <c r="D89" s="3090" t="s">
        <v>2687</v>
      </c>
      <c r="E89" s="3116">
        <v>0.1</v>
      </c>
      <c r="F89" s="3116">
        <v>15</v>
      </c>
    </row>
    <row r="90" spans="1:6" ht="13.5">
      <c r="A90" s="3116">
        <v>18</v>
      </c>
      <c r="B90" s="3798" t="s">
        <v>2688</v>
      </c>
      <c r="C90" s="3090" t="s">
        <v>2689</v>
      </c>
      <c r="D90" s="3090" t="s">
        <v>2690</v>
      </c>
      <c r="E90" s="3116">
        <v>0.2</v>
      </c>
      <c r="F90" s="3116">
        <v>25</v>
      </c>
    </row>
    <row r="91" spans="1:6" ht="24">
      <c r="A91" s="3116">
        <v>19</v>
      </c>
      <c r="B91" s="3800"/>
      <c r="C91" s="3090" t="s">
        <v>2691</v>
      </c>
      <c r="D91" s="3090" t="s">
        <v>2692</v>
      </c>
      <c r="E91" s="3116">
        <v>0.2</v>
      </c>
      <c r="F91" s="3116">
        <v>25</v>
      </c>
    </row>
    <row r="92" spans="1:6" ht="13.5">
      <c r="A92" s="3116">
        <v>20</v>
      </c>
      <c r="B92" s="3800"/>
      <c r="C92" s="3090" t="s">
        <v>2693</v>
      </c>
      <c r="D92" s="3090" t="s">
        <v>2694</v>
      </c>
      <c r="E92" s="3116">
        <v>0.15</v>
      </c>
      <c r="F92" s="3116">
        <v>20</v>
      </c>
    </row>
    <row r="93" spans="1:6" ht="13.5">
      <c r="A93" s="3116">
        <v>21</v>
      </c>
      <c r="B93" s="3800"/>
      <c r="C93" s="3090" t="s">
        <v>2695</v>
      </c>
      <c r="D93" s="3090" t="s">
        <v>2696</v>
      </c>
      <c r="E93" s="3116">
        <v>0.15</v>
      </c>
      <c r="F93" s="3116">
        <v>20</v>
      </c>
    </row>
    <row r="94" spans="1:6" ht="13.5">
      <c r="A94" s="3116">
        <v>22</v>
      </c>
      <c r="B94" s="3800"/>
      <c r="C94" s="3090" t="s">
        <v>2697</v>
      </c>
      <c r="D94" s="3090" t="s">
        <v>2698</v>
      </c>
      <c r="E94" s="3116">
        <v>0.15</v>
      </c>
      <c r="F94" s="3116">
        <v>20</v>
      </c>
    </row>
    <row r="95" spans="1:6" ht="36">
      <c r="A95" s="3116">
        <v>23</v>
      </c>
      <c r="B95" s="3800"/>
      <c r="C95" s="3090" t="s">
        <v>2699</v>
      </c>
      <c r="D95" s="3090" t="s">
        <v>2700</v>
      </c>
      <c r="E95" s="3116">
        <v>0.15</v>
      </c>
      <c r="F95" s="3116">
        <v>20</v>
      </c>
    </row>
    <row r="96" spans="1:6" ht="13.5">
      <c r="A96" s="3116">
        <v>24</v>
      </c>
      <c r="B96" s="3800"/>
      <c r="C96" s="3090" t="s">
        <v>2701</v>
      </c>
      <c r="D96" s="3090" t="s">
        <v>2702</v>
      </c>
      <c r="E96" s="3116">
        <v>0.1</v>
      </c>
      <c r="F96" s="3116">
        <v>15</v>
      </c>
    </row>
    <row r="97" spans="1:6" ht="13.5">
      <c r="A97" s="3116">
        <v>25</v>
      </c>
      <c r="B97" s="3800"/>
      <c r="C97" s="3090" t="s">
        <v>2703</v>
      </c>
      <c r="D97" s="3090" t="s">
        <v>2704</v>
      </c>
      <c r="E97" s="3116">
        <v>0.1</v>
      </c>
      <c r="F97" s="3116">
        <v>15</v>
      </c>
    </row>
    <row r="98" spans="1:6" ht="24">
      <c r="A98" s="3116">
        <v>26</v>
      </c>
      <c r="B98" s="3800"/>
      <c r="C98" s="3090" t="s">
        <v>2705</v>
      </c>
      <c r="D98" s="3090" t="s">
        <v>2706</v>
      </c>
      <c r="E98" s="3116">
        <v>0.1</v>
      </c>
      <c r="F98" s="3116">
        <v>15</v>
      </c>
    </row>
    <row r="99" spans="1:6" ht="24">
      <c r="A99" s="3116">
        <v>27</v>
      </c>
      <c r="B99" s="3800"/>
      <c r="C99" s="3090" t="s">
        <v>2707</v>
      </c>
      <c r="D99" s="3090" t="s">
        <v>2708</v>
      </c>
      <c r="E99" s="3116">
        <v>0.1</v>
      </c>
      <c r="F99" s="3116">
        <v>15</v>
      </c>
    </row>
    <row r="100" spans="1:6" ht="13.5">
      <c r="A100" s="3116">
        <v>28</v>
      </c>
      <c r="B100" s="3800"/>
      <c r="C100" s="3090" t="s">
        <v>2709</v>
      </c>
      <c r="D100" s="3090" t="s">
        <v>2710</v>
      </c>
      <c r="E100" s="3116">
        <v>0.1</v>
      </c>
      <c r="F100" s="3116">
        <v>15</v>
      </c>
    </row>
    <row r="101" spans="1:6" ht="13.5">
      <c r="A101" s="3116">
        <v>29</v>
      </c>
      <c r="B101" s="3800"/>
      <c r="C101" s="3090" t="s">
        <v>2711</v>
      </c>
      <c r="D101" s="3090" t="s">
        <v>2712</v>
      </c>
      <c r="E101" s="3116">
        <v>0.1</v>
      </c>
      <c r="F101" s="3116">
        <v>15</v>
      </c>
    </row>
    <row r="102" spans="1:6" ht="13.5">
      <c r="A102" s="3116">
        <v>30</v>
      </c>
      <c r="B102" s="3800"/>
      <c r="C102" s="3090" t="s">
        <v>2713</v>
      </c>
      <c r="D102" s="3090" t="s">
        <v>2714</v>
      </c>
      <c r="E102" s="3116">
        <v>0.1</v>
      </c>
      <c r="F102" s="3116">
        <v>15</v>
      </c>
    </row>
    <row r="103" spans="1:6" ht="24">
      <c r="A103" s="3116">
        <v>31</v>
      </c>
      <c r="B103" s="3800"/>
      <c r="C103" s="3090" t="s">
        <v>2715</v>
      </c>
      <c r="D103" s="3090" t="s">
        <v>2716</v>
      </c>
      <c r="E103" s="3116">
        <v>0.1</v>
      </c>
      <c r="F103" s="3116">
        <v>15</v>
      </c>
    </row>
    <row r="104" spans="1:6" ht="24">
      <c r="A104" s="3116">
        <v>32</v>
      </c>
      <c r="B104" s="3800"/>
      <c r="C104" s="3090" t="s">
        <v>2717</v>
      </c>
      <c r="D104" s="3090" t="s">
        <v>2718</v>
      </c>
      <c r="E104" s="3116">
        <v>0.1</v>
      </c>
      <c r="F104" s="3116">
        <v>15</v>
      </c>
    </row>
    <row r="105" spans="1:6" ht="24">
      <c r="A105" s="3116">
        <v>33</v>
      </c>
      <c r="B105" s="3800"/>
      <c r="C105" s="3090" t="s">
        <v>2719</v>
      </c>
      <c r="D105" s="3090" t="s">
        <v>2720</v>
      </c>
      <c r="E105" s="3116">
        <v>0.1</v>
      </c>
      <c r="F105" s="3116">
        <v>15</v>
      </c>
    </row>
    <row r="106" spans="1:6" ht="24">
      <c r="A106" s="3116">
        <v>34</v>
      </c>
      <c r="B106" s="3799"/>
      <c r="C106" s="3090" t="s">
        <v>2721</v>
      </c>
      <c r="D106" s="3090" t="s">
        <v>2722</v>
      </c>
      <c r="E106" s="3116">
        <v>0.1</v>
      </c>
      <c r="F106" s="3116">
        <v>15</v>
      </c>
    </row>
    <row r="107" spans="1:6" ht="24">
      <c r="A107" s="3116">
        <v>35</v>
      </c>
      <c r="B107" s="3798" t="s">
        <v>2723</v>
      </c>
      <c r="C107" s="3116" t="s">
        <v>2724</v>
      </c>
      <c r="D107" s="3090" t="s">
        <v>2725</v>
      </c>
      <c r="E107" s="3116">
        <v>0.15</v>
      </c>
      <c r="F107" s="3116">
        <v>20</v>
      </c>
    </row>
    <row r="108" spans="1:6" ht="13.5">
      <c r="A108" s="3116">
        <v>36</v>
      </c>
      <c r="B108" s="3800"/>
      <c r="C108" s="3116" t="s">
        <v>2726</v>
      </c>
      <c r="D108" s="3090" t="s">
        <v>2727</v>
      </c>
      <c r="E108" s="3116">
        <v>0.15</v>
      </c>
      <c r="F108" s="3116">
        <v>20</v>
      </c>
    </row>
    <row r="109" spans="1:6" ht="13.5">
      <c r="A109" s="3116">
        <v>37</v>
      </c>
      <c r="B109" s="3800"/>
      <c r="C109" s="3116" t="s">
        <v>2728</v>
      </c>
      <c r="D109" s="3090" t="s">
        <v>2729</v>
      </c>
      <c r="E109" s="3116">
        <v>0.15</v>
      </c>
      <c r="F109" s="3116">
        <v>20</v>
      </c>
    </row>
    <row r="110" spans="1:6" ht="13.5">
      <c r="A110" s="3116">
        <v>38</v>
      </c>
      <c r="B110" s="3800"/>
      <c r="C110" s="3116" t="s">
        <v>2730</v>
      </c>
      <c r="D110" s="3090" t="s">
        <v>2731</v>
      </c>
      <c r="E110" s="3116">
        <v>0.1</v>
      </c>
      <c r="F110" s="3116">
        <v>15</v>
      </c>
    </row>
    <row r="111" spans="1:6" ht="24">
      <c r="A111" s="3116">
        <v>39</v>
      </c>
      <c r="B111" s="3800"/>
      <c r="C111" s="3116" t="s">
        <v>2732</v>
      </c>
      <c r="D111" s="3090" t="s">
        <v>2733</v>
      </c>
      <c r="E111" s="3116">
        <v>0.1</v>
      </c>
      <c r="F111" s="3116">
        <v>15</v>
      </c>
    </row>
    <row r="112" spans="1:6" ht="24">
      <c r="A112" s="3116">
        <v>40</v>
      </c>
      <c r="B112" s="3799"/>
      <c r="C112" s="3116" t="s">
        <v>2734</v>
      </c>
      <c r="D112" s="3090" t="s">
        <v>2735</v>
      </c>
      <c r="E112" s="3116">
        <v>0.1</v>
      </c>
      <c r="F112" s="3116">
        <v>15</v>
      </c>
    </row>
    <row r="113" spans="1:6" ht="13.5">
      <c r="A113" s="3116">
        <v>41</v>
      </c>
      <c r="B113" s="3797" t="s">
        <v>2736</v>
      </c>
      <c r="C113" s="3116" t="s">
        <v>2737</v>
      </c>
      <c r="D113" s="3090" t="s">
        <v>2738</v>
      </c>
      <c r="E113" s="3116">
        <v>0.1</v>
      </c>
      <c r="F113" s="3116">
        <v>15</v>
      </c>
    </row>
    <row r="114" spans="1:6" ht="13.5">
      <c r="A114" s="3116">
        <v>42</v>
      </c>
      <c r="B114" s="3797"/>
      <c r="C114" s="3116" t="s">
        <v>2739</v>
      </c>
      <c r="D114" s="3090" t="s">
        <v>2740</v>
      </c>
      <c r="E114" s="3116">
        <v>0.1</v>
      </c>
      <c r="F114" s="3116">
        <v>15</v>
      </c>
    </row>
    <row r="115" spans="1:6" ht="24">
      <c r="A115" s="3116">
        <v>43</v>
      </c>
      <c r="B115" s="3797"/>
      <c r="C115" s="3116" t="s">
        <v>2741</v>
      </c>
      <c r="D115" s="3090" t="s">
        <v>2742</v>
      </c>
      <c r="E115" s="3116">
        <v>0.1</v>
      </c>
      <c r="F115" s="3116">
        <v>15</v>
      </c>
    </row>
    <row r="116" spans="1:6" ht="13.5">
      <c r="A116" s="3116">
        <v>44</v>
      </c>
      <c r="B116" s="3798" t="s">
        <v>2743</v>
      </c>
      <c r="C116" s="3116" t="s">
        <v>2744</v>
      </c>
      <c r="D116" s="3090" t="s">
        <v>2745</v>
      </c>
      <c r="E116" s="3116">
        <v>0.1</v>
      </c>
      <c r="F116" s="3116">
        <v>15</v>
      </c>
    </row>
    <row r="117" spans="1:6" ht="24">
      <c r="A117" s="3116">
        <v>45</v>
      </c>
      <c r="B117" s="3799"/>
      <c r="C117" s="3090" t="s">
        <v>2746</v>
      </c>
      <c r="D117" s="3090" t="s">
        <v>2747</v>
      </c>
      <c r="E117" s="3116">
        <v>0.1</v>
      </c>
      <c r="F117" s="3116">
        <v>15</v>
      </c>
    </row>
    <row r="118" spans="1:6" ht="24">
      <c r="A118" s="3116">
        <v>46</v>
      </c>
      <c r="B118" s="3798" t="s">
        <v>2748</v>
      </c>
      <c r="C118" s="3116" t="s">
        <v>2749</v>
      </c>
      <c r="D118" s="3090" t="s">
        <v>2750</v>
      </c>
      <c r="E118" s="3116">
        <v>0.1</v>
      </c>
      <c r="F118" s="3116">
        <v>15</v>
      </c>
    </row>
    <row r="119" spans="1:6" ht="24">
      <c r="A119" s="3116">
        <v>47</v>
      </c>
      <c r="B119" s="3799"/>
      <c r="C119" s="3116" t="s">
        <v>2751</v>
      </c>
      <c r="D119" s="3090" t="s">
        <v>2752</v>
      </c>
      <c r="E119" s="3116">
        <v>0.1</v>
      </c>
      <c r="F119" s="3116">
        <v>15</v>
      </c>
    </row>
    <row r="120" spans="1:6" ht="13.5">
      <c r="A120" s="3116">
        <v>48</v>
      </c>
      <c r="B120" s="3798" t="s">
        <v>2753</v>
      </c>
      <c r="C120" s="3116" t="s">
        <v>2754</v>
      </c>
      <c r="D120" s="3090" t="s">
        <v>2755</v>
      </c>
      <c r="E120" s="3116">
        <v>0.1</v>
      </c>
      <c r="F120" s="3116">
        <v>15</v>
      </c>
    </row>
    <row r="121" spans="1:6" ht="13.5">
      <c r="A121" s="3116">
        <v>49</v>
      </c>
      <c r="B121" s="3799"/>
      <c r="C121" s="3116" t="s">
        <v>2756</v>
      </c>
      <c r="D121" s="3090" t="s">
        <v>2757</v>
      </c>
      <c r="E121" s="3116">
        <v>0.1</v>
      </c>
      <c r="F121" s="3116">
        <v>15</v>
      </c>
    </row>
    <row r="122" spans="1:6" ht="24">
      <c r="A122" s="3116">
        <v>50</v>
      </c>
      <c r="B122" s="3797" t="s">
        <v>2758</v>
      </c>
      <c r="C122" s="3116" t="s">
        <v>2759</v>
      </c>
      <c r="D122" s="3090" t="s">
        <v>2760</v>
      </c>
      <c r="E122" s="3116">
        <v>0.1</v>
      </c>
      <c r="F122" s="3116">
        <v>15</v>
      </c>
    </row>
    <row r="123" spans="1:6" ht="24">
      <c r="A123" s="3116">
        <v>51</v>
      </c>
      <c r="B123" s="3797"/>
      <c r="C123" s="3116" t="s">
        <v>2761</v>
      </c>
      <c r="D123" s="3090" t="s">
        <v>2762</v>
      </c>
      <c r="E123" s="3116">
        <v>0.1</v>
      </c>
      <c r="F123" s="3116">
        <v>15</v>
      </c>
    </row>
    <row r="124" spans="1:6" ht="24">
      <c r="A124" s="3116">
        <v>52</v>
      </c>
      <c r="B124" s="3797" t="s">
        <v>2763</v>
      </c>
      <c r="C124" s="3116" t="s">
        <v>2764</v>
      </c>
      <c r="D124" s="3090" t="s">
        <v>2765</v>
      </c>
      <c r="E124" s="3116">
        <v>0.1</v>
      </c>
      <c r="F124" s="3116">
        <v>15</v>
      </c>
    </row>
    <row r="125" spans="1:6" ht="24">
      <c r="A125" s="3116">
        <v>53</v>
      </c>
      <c r="B125" s="3797"/>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97" t="s">
        <v>2771</v>
      </c>
      <c r="C127" s="3116" t="s">
        <v>2772</v>
      </c>
      <c r="D127" s="3090" t="s">
        <v>2773</v>
      </c>
      <c r="E127" s="3116">
        <v>0.1</v>
      </c>
      <c r="F127" s="3116">
        <v>15</v>
      </c>
    </row>
    <row r="128" spans="1:6" ht="13.5">
      <c r="A128" s="3116">
        <v>56</v>
      </c>
      <c r="B128" s="3797"/>
      <c r="C128" s="3116" t="s">
        <v>2774</v>
      </c>
      <c r="D128" s="3090" t="s">
        <v>2775</v>
      </c>
      <c r="E128" s="3116">
        <v>0.1</v>
      </c>
      <c r="F128" s="3116">
        <v>15</v>
      </c>
    </row>
    <row r="129" spans="1:6" ht="24">
      <c r="A129" s="3116">
        <v>57</v>
      </c>
      <c r="B129" s="3797"/>
      <c r="C129" s="3116" t="s">
        <v>2776</v>
      </c>
      <c r="D129" s="3090" t="s">
        <v>2777</v>
      </c>
      <c r="E129" s="3116">
        <v>0.1</v>
      </c>
      <c r="F129" s="3116">
        <v>15</v>
      </c>
    </row>
    <row r="130" spans="1:6" ht="24">
      <c r="A130" s="3116">
        <v>58</v>
      </c>
      <c r="B130" s="3797" t="s">
        <v>2778</v>
      </c>
      <c r="C130" s="3116" t="s">
        <v>2779</v>
      </c>
      <c r="D130" s="3090" t="s">
        <v>2780</v>
      </c>
      <c r="E130" s="3116">
        <v>0.1</v>
      </c>
      <c r="F130" s="3116">
        <v>15</v>
      </c>
    </row>
    <row r="131" spans="1:6" ht="13.5">
      <c r="A131" s="3116">
        <v>59</v>
      </c>
      <c r="B131" s="3797"/>
      <c r="C131" s="3116" t="s">
        <v>2781</v>
      </c>
      <c r="D131" s="3090" t="s">
        <v>2782</v>
      </c>
      <c r="E131" s="3116">
        <v>0.1</v>
      </c>
      <c r="F131" s="3116">
        <v>15</v>
      </c>
    </row>
    <row r="132" spans="1:6" ht="13.5">
      <c r="A132" s="3116">
        <v>60</v>
      </c>
      <c r="B132" s="3798" t="s">
        <v>2783</v>
      </c>
      <c r="C132" s="3116" t="s">
        <v>2784</v>
      </c>
      <c r="D132" s="3090" t="s">
        <v>2785</v>
      </c>
      <c r="E132" s="3116">
        <v>0.1</v>
      </c>
      <c r="F132" s="3116">
        <v>15</v>
      </c>
    </row>
    <row r="133" spans="1:6" ht="13.5">
      <c r="A133" s="3116">
        <v>61</v>
      </c>
      <c r="B133" s="3799"/>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97" t="s">
        <v>2791</v>
      </c>
      <c r="C135" s="3116" t="s">
        <v>2792</v>
      </c>
      <c r="D135" s="3090" t="s">
        <v>2793</v>
      </c>
      <c r="E135" s="3116">
        <v>0.1</v>
      </c>
      <c r="F135" s="3116">
        <v>15</v>
      </c>
    </row>
    <row r="136" spans="1:6" ht="13.5">
      <c r="A136" s="3116">
        <v>64</v>
      </c>
      <c r="B136" s="3797"/>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93"/>
      <c r="B4" s="3493" t="s">
        <v>917</v>
      </c>
      <c r="C4" s="3493"/>
      <c r="D4" s="3493"/>
      <c r="E4" s="1493"/>
    </row>
    <row r="5" spans="1:5" ht="16.5" thickTop="1">
      <c r="A5" s="1491"/>
      <c r="B5" s="3491" t="s">
        <v>909</v>
      </c>
      <c r="C5" s="1494" t="s">
        <v>910</v>
      </c>
      <c r="D5" s="850">
        <f ca="1">结果表!H101</f>
        <v>167130</v>
      </c>
      <c r="E5" s="1491"/>
    </row>
    <row r="6" spans="1:5" ht="15.75">
      <c r="A6" s="1491"/>
      <c r="B6" s="3491"/>
      <c r="C6" s="1494" t="s">
        <v>911</v>
      </c>
      <c r="D6" s="850" t="str">
        <f ca="1">NUMBERSTRING(INT(D5*10000),2)&amp;"元整"</f>
        <v>壹拾陆亿柒仟壹佰叁拾万元整</v>
      </c>
      <c r="E6" s="1491"/>
    </row>
    <row r="7" spans="1:5" ht="15.75">
      <c r="A7" s="1491"/>
      <c r="B7" s="3496"/>
      <c r="C7" s="1495" t="s">
        <v>912</v>
      </c>
      <c r="D7" s="851">
        <f ca="1">结果表!H102</f>
        <v>31794</v>
      </c>
      <c r="E7" s="1491"/>
    </row>
    <row r="8" spans="1:5" ht="15.75">
      <c r="A8" s="1491"/>
      <c r="B8" s="3497" t="str">
        <f>结果表!E103</f>
        <v>2.估价师知悉的法定优先受偿款</v>
      </c>
      <c r="C8" s="1496" t="s">
        <v>913</v>
      </c>
      <c r="D8" s="851">
        <f>结果表!H103</f>
        <v>0</v>
      </c>
      <c r="E8" s="1491"/>
    </row>
    <row r="9" spans="1:5" ht="15.75">
      <c r="A9" s="1491"/>
      <c r="B9" s="349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0" t="str">
        <f>结果表!E107</f>
        <v>3.房地产抵押价值</v>
      </c>
      <c r="C13" s="1499" t="s">
        <v>910</v>
      </c>
      <c r="D13" s="853">
        <f ca="1">结果表!H107</f>
        <v>167130</v>
      </c>
      <c r="E13" s="1491"/>
    </row>
    <row r="14" spans="1:5" ht="15.75">
      <c r="A14" s="1491"/>
      <c r="B14" s="3491"/>
      <c r="C14" s="1494" t="s">
        <v>911</v>
      </c>
      <c r="D14" s="850" t="str">
        <f ca="1">NUMBERSTRING(INT(D13*10000),2)&amp;"元整"</f>
        <v>壹拾陆亿柒仟壹佰叁拾万元整</v>
      </c>
      <c r="E14" s="1491"/>
    </row>
    <row r="15" spans="1:5" ht="15">
      <c r="A15" s="1491"/>
      <c r="B15" s="3496"/>
      <c r="C15" s="1495" t="s">
        <v>921</v>
      </c>
      <c r="D15" s="859">
        <f ca="1">结果表!H108</f>
        <v>31794</v>
      </c>
      <c r="E15" s="1491"/>
    </row>
    <row r="16" spans="1:5" ht="15">
      <c r="A16" s="1491"/>
      <c r="B16" s="3497" t="str">
        <f>结果表!E109</f>
        <v>——</v>
      </c>
      <c r="C16" s="1499" t="s">
        <v>922</v>
      </c>
      <c r="D16" s="1500" t="str">
        <f>结果表!H109</f>
        <v>——</v>
      </c>
      <c r="E16" s="1491"/>
    </row>
    <row r="17" spans="1:5" ht="15.75">
      <c r="A17" s="1491"/>
      <c r="B17" s="3498"/>
      <c r="C17" s="1494" t="s">
        <v>923</v>
      </c>
      <c r="D17" s="850" t="e">
        <f>NUMBERSTRING(INT(D16*10000),2)&amp;"元整"</f>
        <v>#VALUE!</v>
      </c>
      <c r="E17" s="1491"/>
    </row>
    <row r="18" spans="1:5" ht="15">
      <c r="A18" s="1491"/>
      <c r="B18" s="3499"/>
      <c r="C18" s="1495" t="s">
        <v>912</v>
      </c>
      <c r="D18" s="859" t="str">
        <f>结果表!H110</f>
        <v>——</v>
      </c>
      <c r="E18" s="1491"/>
    </row>
    <row r="19" spans="1:5" ht="15.75">
      <c r="A19" s="1491"/>
      <c r="B19" s="3490" t="str">
        <f>结果表!E111</f>
        <v>4.抵押净值</v>
      </c>
      <c r="C19" s="1499" t="s">
        <v>910</v>
      </c>
      <c r="D19" s="851">
        <f ca="1">结果表!H111</f>
        <v>150207</v>
      </c>
      <c r="E19" s="1491"/>
    </row>
    <row r="20" spans="1:5" ht="15.75">
      <c r="A20" s="1491"/>
      <c r="B20" s="3491"/>
      <c r="C20" s="1494" t="s">
        <v>923</v>
      </c>
      <c r="D20" s="850" t="str">
        <f ca="1">NUMBERSTRING(INT(D19*10000),2)&amp;"元整"</f>
        <v>壹拾伍亿零贰佰零柒万元整</v>
      </c>
      <c r="E20" s="1491"/>
    </row>
    <row r="21" spans="1:5" ht="15.75" thickBot="1">
      <c r="A21" s="1491"/>
      <c r="B21" s="3492"/>
      <c r="C21" s="1501" t="s">
        <v>921</v>
      </c>
      <c r="D21" s="860">
        <f ca="1">结果表!H112</f>
        <v>28575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0.94710000000000005</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64645</v>
      </c>
      <c r="C2" s="2" t="s">
        <v>106</v>
      </c>
      <c r="D2" s="199"/>
      <c r="E2" s="199"/>
      <c r="F2" s="199"/>
      <c r="G2" s="199"/>
    </row>
    <row r="3" spans="1:7" s="200" customFormat="1" ht="18" customHeight="1" thickBot="1">
      <c r="A3" s="203" t="s">
        <v>58</v>
      </c>
      <c r="B3" s="204">
        <f ca="1">ROUND(B2*10000/'数据-汇总表'!E3,0)</f>
        <v>12298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1051</v>
      </c>
      <c r="D10" s="845">
        <f>'数据-汇总表'!E6</f>
        <v>52566.7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1051</v>
      </c>
      <c r="D19" s="849">
        <f>'数据-汇总表'!E3</f>
        <v>52566.7</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3977</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3977</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34010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31540</v>
      </c>
      <c r="D34" s="217"/>
      <c r="E34" s="220"/>
      <c r="F34" s="257">
        <f>IF('数据-取费表'!B24=0,1,'数据-取费表'!N16)</f>
        <v>1</v>
      </c>
      <c r="G34" s="219" t="s">
        <v>89</v>
      </c>
    </row>
    <row r="35" spans="1:7" ht="13.5" customHeight="1">
      <c r="A35" s="780" t="s">
        <v>351</v>
      </c>
      <c r="B35" s="215" t="s">
        <v>33</v>
      </c>
      <c r="C35" s="220">
        <f>ROUND(C34*F35,0)</f>
        <v>946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1051</v>
      </c>
      <c r="D37" s="217">
        <f>'数据-汇总表'!E3</f>
        <v>52566.7</v>
      </c>
      <c r="E37" s="249">
        <f>'数据-取费表'!B35</f>
        <v>200</v>
      </c>
      <c r="F37" s="259"/>
      <c r="G37" s="261" t="s">
        <v>92</v>
      </c>
    </row>
    <row r="38" spans="1:7" ht="13.5" customHeight="1">
      <c r="A38" s="780" t="s">
        <v>354</v>
      </c>
      <c r="B38" s="215" t="s">
        <v>36</v>
      </c>
      <c r="C38" s="220">
        <f>ROUND(C34*F38,0)</f>
        <v>473</v>
      </c>
      <c r="D38" s="220"/>
      <c r="E38" s="220"/>
      <c r="F38" s="259">
        <f>'数据-取费表'!B36</f>
        <v>1.4999999999999999E-2</v>
      </c>
      <c r="G38" s="219" t="s">
        <v>90</v>
      </c>
    </row>
    <row r="39" spans="1:7" s="214" customFormat="1" ht="13.5" customHeight="1">
      <c r="A39" s="777" t="s">
        <v>338</v>
      </c>
      <c r="B39" s="210" t="s">
        <v>77</v>
      </c>
      <c r="C39" s="232">
        <f>ROUND(C33*F20,0)</f>
        <v>680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1196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1173</v>
      </c>
      <c r="D42" s="238"/>
      <c r="E42" s="238"/>
      <c r="F42" s="239"/>
      <c r="G42" s="3673" t="s">
        <v>94</v>
      </c>
    </row>
    <row r="43" spans="1:7" ht="13.5" customHeight="1">
      <c r="A43" s="780" t="s">
        <v>347</v>
      </c>
      <c r="B43" s="215" t="s">
        <v>426</v>
      </c>
      <c r="C43" s="238">
        <f ca="1">ROUND(IF('数据-取费表'!B22&lt;=1,C39*F22*'数据-取费表'!B21/2,C39*(POWER((1+F22),'数据-取费表'!B21/2)-1)),0)</f>
        <v>23</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6244</v>
      </c>
      <c r="D45" s="235">
        <f>C47</f>
        <v>3.5999999999999999E-3</v>
      </c>
      <c r="E45" s="236" t="s">
        <v>102</v>
      </c>
      <c r="F45" s="246"/>
      <c r="G45" s="247" t="s">
        <v>434</v>
      </c>
    </row>
    <row r="46" spans="1:7" s="214" customFormat="1" ht="13.5" customHeight="1">
      <c r="A46" s="780" t="s">
        <v>349</v>
      </c>
      <c r="B46" s="248" t="s">
        <v>427</v>
      </c>
      <c r="C46" s="249">
        <f>ROUND((C33+C39)*F27,0)</f>
        <v>6244</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45676</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34714</v>
      </c>
      <c r="D51" s="232"/>
      <c r="E51" s="232"/>
      <c r="F51" s="264"/>
      <c r="G51" s="234" t="s">
        <v>37</v>
      </c>
    </row>
    <row r="52" spans="1:7" s="208" customFormat="1" ht="16.5" thickBot="1">
      <c r="A52" s="265" t="s">
        <v>38</v>
      </c>
      <c r="B52" s="266"/>
      <c r="C52" s="267">
        <f ca="1">C31+C51</f>
        <v>64645</v>
      </c>
      <c r="D52" s="266"/>
      <c r="E52" s="266"/>
      <c r="F52" s="266"/>
      <c r="G52" s="268"/>
    </row>
    <row r="55" spans="1:7" ht="15">
      <c r="B55" s="270" t="s">
        <v>39</v>
      </c>
      <c r="C55" s="271"/>
    </row>
    <row r="56" spans="1:7">
      <c r="B56" s="273" t="s">
        <v>40</v>
      </c>
      <c r="C56" s="274">
        <f ca="1">ROUND(C51/C52,3)</f>
        <v>0.53700000000000003</v>
      </c>
    </row>
    <row r="57" spans="1:7">
      <c r="B57" s="273" t="s">
        <v>41</v>
      </c>
      <c r="C57" s="275">
        <f ca="1">1-C56</f>
        <v>0.46299999999999997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11" t="s">
        <v>2841</v>
      </c>
      <c r="B1" s="3811"/>
      <c r="C1" s="3811"/>
      <c r="D1" s="3811"/>
      <c r="E1" s="3811"/>
      <c r="F1" s="3811"/>
      <c r="G1" s="381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0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81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3" t="s">
        <v>3183</v>
      </c>
      <c r="B1" s="3813"/>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4" t="s">
        <v>3234</v>
      </c>
      <c r="B1" s="3814"/>
      <c r="C1" s="3814"/>
      <c r="D1" s="3814"/>
      <c r="E1" s="3814"/>
      <c r="F1" s="381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3372</v>
      </c>
      <c r="C1" s="3209"/>
      <c r="D1" s="3209"/>
      <c r="E1" s="3209"/>
      <c r="F1" s="3209"/>
      <c r="G1" s="3209"/>
      <c r="H1" s="3209"/>
      <c r="I1" s="3209"/>
      <c r="J1" s="3163"/>
      <c r="K1" s="3209" t="s">
        <v>454</v>
      </c>
      <c r="L1" s="3209"/>
      <c r="M1" s="3209"/>
      <c r="N1" s="3209"/>
      <c r="O1" s="3209"/>
      <c r="P1" s="3209"/>
      <c r="Q1" s="3163"/>
      <c r="R1" s="3816" t="s">
        <v>456</v>
      </c>
      <c r="S1" s="3817"/>
      <c r="T1" s="3817"/>
      <c r="U1" s="3817"/>
      <c r="V1" s="3817"/>
      <c r="W1" s="3817"/>
      <c r="X1" s="3163"/>
      <c r="Y1" s="3816" t="s">
        <v>457</v>
      </c>
      <c r="Z1" s="3817"/>
      <c r="AA1" s="3817"/>
      <c r="AB1" s="3817"/>
      <c r="AC1" s="3817"/>
      <c r="AD1" s="381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3376</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3377</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3415</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3370</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816" t="s">
        <v>2829</v>
      </c>
      <c r="S23" s="3817"/>
      <c r="T23" s="3817"/>
      <c r="U23" s="3817"/>
      <c r="V23" s="3817"/>
      <c r="W23" s="3817"/>
      <c r="X23" s="3163"/>
      <c r="Y23" s="3816" t="s">
        <v>2830</v>
      </c>
      <c r="Z23" s="3817"/>
      <c r="AA23" s="3817"/>
      <c r="AB23" s="3817"/>
      <c r="AC23" s="3817"/>
      <c r="AD23" s="3817"/>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3376</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3377</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3416</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3374</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3375</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3365</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3355</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2837</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2838</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2839</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2826</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3367</v>
      </c>
    </row>
  </sheetData>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2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92"/>
  <sheetViews>
    <sheetView topLeftCell="A71" workbookViewId="0">
      <selection activeCell="L83" sqref="L83"/>
    </sheetView>
  </sheetViews>
  <sheetFormatPr defaultColWidth="9" defaultRowHeight="13.5"/>
  <cols>
    <col min="1" max="1" width="15.875" style="3891" customWidth="1"/>
    <col min="2" max="3" width="17.25" style="3892" customWidth="1"/>
    <col min="4" max="4" width="19" style="3893" customWidth="1"/>
    <col min="5" max="5" width="16.875" style="3898" customWidth="1"/>
    <col min="6" max="6" width="14.75" style="3894" hidden="1" customWidth="1"/>
    <col min="7" max="7" width="0.125" style="3894" hidden="1" customWidth="1"/>
    <col min="8" max="8" width="28.25" style="3895" customWidth="1"/>
    <col min="9" max="16384" width="9" style="3834"/>
  </cols>
  <sheetData>
    <row r="1" spans="1:8" ht="22.5">
      <c r="A1" s="3833" t="s">
        <v>3480</v>
      </c>
      <c r="B1" s="3833"/>
      <c r="C1" s="3833"/>
      <c r="D1" s="3833"/>
      <c r="E1" s="3833"/>
      <c r="F1" s="3833"/>
      <c r="G1" s="3833"/>
      <c r="H1" s="3833"/>
    </row>
    <row r="2" spans="1:8" ht="36">
      <c r="A2" s="3835" t="s">
        <v>3481</v>
      </c>
      <c r="B2" s="3836" t="s">
        <v>3482</v>
      </c>
      <c r="C2" s="3836"/>
      <c r="D2" s="3837" t="s">
        <v>3483</v>
      </c>
      <c r="E2" s="3896" t="s">
        <v>3484</v>
      </c>
      <c r="F2" s="3837" t="s">
        <v>3485</v>
      </c>
      <c r="G2" s="3837" t="s">
        <v>3486</v>
      </c>
      <c r="H2" s="3838" t="s">
        <v>3487</v>
      </c>
    </row>
    <row r="3" spans="1:8" ht="36">
      <c r="A3" s="3839" t="s">
        <v>3488</v>
      </c>
      <c r="B3" s="3840" t="s">
        <v>3489</v>
      </c>
      <c r="C3" s="3841">
        <v>524.78</v>
      </c>
      <c r="D3" s="3842">
        <v>5.8</v>
      </c>
      <c r="E3" s="3842">
        <v>92579.94</v>
      </c>
      <c r="F3" s="3843" t="s">
        <v>3490</v>
      </c>
      <c r="G3" s="3843">
        <f>E3*12</f>
        <v>1110959.28</v>
      </c>
      <c r="H3" s="3844" t="s">
        <v>3491</v>
      </c>
    </row>
    <row r="4" spans="1:8" ht="60">
      <c r="A4" s="3839" t="s">
        <v>3492</v>
      </c>
      <c r="B4" s="3840" t="s">
        <v>3493</v>
      </c>
      <c r="C4" s="3841">
        <v>385.25</v>
      </c>
      <c r="D4" s="3842">
        <v>6.54</v>
      </c>
      <c r="E4" s="3842">
        <v>76635.86</v>
      </c>
      <c r="F4" s="3843" t="s">
        <v>3494</v>
      </c>
      <c r="G4" s="3843">
        <f>E4*12</f>
        <v>919630.32000000007</v>
      </c>
      <c r="H4" s="3840" t="s">
        <v>3495</v>
      </c>
    </row>
    <row r="5" spans="1:8" ht="36">
      <c r="A5" s="3839" t="s">
        <v>3496</v>
      </c>
      <c r="B5" s="3840" t="s">
        <v>3497</v>
      </c>
      <c r="C5" s="3841">
        <v>218.48</v>
      </c>
      <c r="D5" s="3842">
        <v>6.84</v>
      </c>
      <c r="E5" s="3842">
        <v>45454.76</v>
      </c>
      <c r="F5" s="3843" t="s">
        <v>3490</v>
      </c>
      <c r="G5" s="3843">
        <f>E5*12</f>
        <v>545457.12</v>
      </c>
      <c r="H5" s="3845" t="s">
        <v>3498</v>
      </c>
    </row>
    <row r="6" spans="1:8" ht="36">
      <c r="A6" s="3840" t="s">
        <v>3499</v>
      </c>
      <c r="B6" s="3844" t="s">
        <v>3500</v>
      </c>
      <c r="C6" s="3841">
        <v>172</v>
      </c>
      <c r="D6" s="3842">
        <v>6.84</v>
      </c>
      <c r="E6" s="3842">
        <v>35784.6</v>
      </c>
      <c r="F6" s="3843" t="s">
        <v>3501</v>
      </c>
      <c r="G6" s="3843">
        <f>E6*12</f>
        <v>429415.19999999995</v>
      </c>
      <c r="H6" s="3845" t="s">
        <v>3498</v>
      </c>
    </row>
    <row r="7" spans="1:8">
      <c r="A7" s="3839" t="s">
        <v>3502</v>
      </c>
      <c r="B7" s="3846" t="s">
        <v>3500</v>
      </c>
      <c r="C7" s="3841">
        <v>1426.74</v>
      </c>
      <c r="D7" s="3842">
        <v>6.84</v>
      </c>
      <c r="E7" s="3842">
        <v>296833.26</v>
      </c>
      <c r="F7" s="3843" t="s">
        <v>3501</v>
      </c>
      <c r="G7" s="3843">
        <f>E7*12</f>
        <v>3561999.12</v>
      </c>
      <c r="H7" s="3845" t="s">
        <v>3503</v>
      </c>
    </row>
    <row r="8" spans="1:8" ht="24">
      <c r="A8" s="3839" t="s">
        <v>3453</v>
      </c>
      <c r="B8" s="3846" t="s">
        <v>3421</v>
      </c>
      <c r="C8" s="3841">
        <v>77.56</v>
      </c>
      <c r="D8" s="3842">
        <v>5.5</v>
      </c>
      <c r="E8" s="3842">
        <v>12975.14</v>
      </c>
      <c r="F8" s="3843"/>
      <c r="G8" s="3843"/>
      <c r="H8" s="3845" t="s">
        <v>3504</v>
      </c>
    </row>
    <row r="9" spans="1:8">
      <c r="A9" s="3840" t="s">
        <v>3505</v>
      </c>
      <c r="B9" s="3846" t="s">
        <v>3500</v>
      </c>
      <c r="C9" s="3841">
        <v>196.8</v>
      </c>
      <c r="D9" s="3842">
        <v>5.54</v>
      </c>
      <c r="E9" s="3842">
        <v>33162.44</v>
      </c>
      <c r="F9" s="3843" t="s">
        <v>3501</v>
      </c>
      <c r="G9" s="3843">
        <f t="shared" ref="G9:G11" si="0">E9*12</f>
        <v>397949.28</v>
      </c>
      <c r="H9" s="3845" t="s">
        <v>3503</v>
      </c>
    </row>
    <row r="10" spans="1:8" ht="24">
      <c r="A10" s="3840" t="s">
        <v>3506</v>
      </c>
      <c r="B10" s="3844" t="s">
        <v>3419</v>
      </c>
      <c r="C10" s="3841">
        <v>1219.8399999999999</v>
      </c>
      <c r="D10" s="3847">
        <v>4.82</v>
      </c>
      <c r="E10" s="3842">
        <v>178838.71</v>
      </c>
      <c r="F10" s="3843" t="s">
        <v>3490</v>
      </c>
      <c r="G10" s="3843">
        <f t="shared" si="0"/>
        <v>2146064.52</v>
      </c>
      <c r="H10" s="3845" t="s">
        <v>3507</v>
      </c>
    </row>
    <row r="11" spans="1:8" ht="24">
      <c r="A11" s="3840" t="s">
        <v>3508</v>
      </c>
      <c r="B11" s="3844" t="s">
        <v>3419</v>
      </c>
      <c r="C11" s="3841">
        <v>388.49</v>
      </c>
      <c r="D11" s="3847">
        <v>3.88</v>
      </c>
      <c r="E11" s="3842">
        <v>45848.29</v>
      </c>
      <c r="F11" s="3843" t="s">
        <v>3490</v>
      </c>
      <c r="G11" s="3843">
        <f t="shared" si="0"/>
        <v>550179.48</v>
      </c>
      <c r="H11" s="3845" t="s">
        <v>3507</v>
      </c>
    </row>
    <row r="12" spans="1:8" ht="36">
      <c r="A12" s="3840" t="s">
        <v>3509</v>
      </c>
      <c r="B12" s="3844" t="s">
        <v>3510</v>
      </c>
      <c r="C12" s="3841">
        <v>533.66</v>
      </c>
      <c r="D12" s="3842">
        <v>6.74</v>
      </c>
      <c r="E12" s="3842">
        <v>109404.75</v>
      </c>
      <c r="F12" s="3843" t="s">
        <v>3490</v>
      </c>
      <c r="G12" s="3843">
        <f>E12*12*20%</f>
        <v>262571.40000000002</v>
      </c>
      <c r="H12" s="3840" t="s">
        <v>3511</v>
      </c>
    </row>
    <row r="13" spans="1:8" ht="24">
      <c r="A13" s="3839" t="s">
        <v>3512</v>
      </c>
      <c r="B13" s="3844" t="s">
        <v>3513</v>
      </c>
      <c r="C13" s="3841">
        <v>390.48</v>
      </c>
      <c r="D13" s="3848">
        <v>7.35</v>
      </c>
      <c r="E13" s="3842">
        <v>87296.69</v>
      </c>
      <c r="F13" s="3843" t="s">
        <v>3514</v>
      </c>
      <c r="G13" s="3843">
        <f>E13*12</f>
        <v>1047560.28</v>
      </c>
      <c r="H13" s="3845" t="s">
        <v>3515</v>
      </c>
    </row>
    <row r="14" spans="1:8" ht="36">
      <c r="A14" s="3839" t="s">
        <v>3516</v>
      </c>
      <c r="B14" s="3844" t="s">
        <v>3517</v>
      </c>
      <c r="C14" s="3841">
        <v>200</v>
      </c>
      <c r="D14" s="3847">
        <v>6.94</v>
      </c>
      <c r="E14" s="3842">
        <v>42218.33</v>
      </c>
      <c r="F14" s="3843"/>
      <c r="G14" s="3843"/>
      <c r="H14" s="3845" t="s">
        <v>3518</v>
      </c>
    </row>
    <row r="15" spans="1:8" ht="36">
      <c r="A15" s="3839" t="s">
        <v>3519</v>
      </c>
      <c r="B15" s="3844" t="s">
        <v>3520</v>
      </c>
      <c r="C15" s="3841">
        <v>202.9</v>
      </c>
      <c r="D15" s="3842">
        <v>6.94</v>
      </c>
      <c r="E15" s="3842">
        <v>42830.5</v>
      </c>
      <c r="F15" s="3843" t="s">
        <v>3490</v>
      </c>
      <c r="G15" s="3843">
        <f>E15*12</f>
        <v>513966</v>
      </c>
      <c r="H15" s="3845" t="s">
        <v>3518</v>
      </c>
    </row>
    <row r="16" spans="1:8" ht="30" customHeight="1">
      <c r="A16" s="3839" t="s">
        <v>3521</v>
      </c>
      <c r="B16" s="3844" t="s">
        <v>3522</v>
      </c>
      <c r="C16" s="3841">
        <v>82.61</v>
      </c>
      <c r="D16" s="3842">
        <v>5.6</v>
      </c>
      <c r="E16" s="3842">
        <v>14071.24</v>
      </c>
      <c r="F16" s="3843" t="s">
        <v>3490</v>
      </c>
      <c r="G16" s="3843"/>
      <c r="H16" s="3845" t="s">
        <v>3523</v>
      </c>
    </row>
    <row r="17" spans="1:8" ht="24">
      <c r="A17" s="3840" t="s">
        <v>3524</v>
      </c>
      <c r="B17" s="3845" t="s">
        <v>3420</v>
      </c>
      <c r="C17" s="3841">
        <v>939.51</v>
      </c>
      <c r="D17" s="3842">
        <v>6.2</v>
      </c>
      <c r="E17" s="3842">
        <v>177175.93</v>
      </c>
      <c r="F17" s="3843" t="s">
        <v>3490</v>
      </c>
      <c r="G17" s="3843">
        <f>E17*12</f>
        <v>2126111.16</v>
      </c>
      <c r="H17" s="3844" t="s">
        <v>3525</v>
      </c>
    </row>
    <row r="18" spans="1:8" ht="24">
      <c r="A18" s="3839" t="s">
        <v>3526</v>
      </c>
      <c r="B18" s="3844" t="s">
        <v>3527</v>
      </c>
      <c r="C18" s="3841">
        <v>256</v>
      </c>
      <c r="D18" s="3847">
        <v>6.94</v>
      </c>
      <c r="E18" s="3842">
        <v>54039.47</v>
      </c>
      <c r="F18" s="3843" t="s">
        <v>3528</v>
      </c>
      <c r="G18" s="3843">
        <f>E18*12</f>
        <v>648473.64</v>
      </c>
      <c r="H18" s="3840" t="s">
        <v>3529</v>
      </c>
    </row>
    <row r="19" spans="1:8" ht="24">
      <c r="A19" s="3840" t="s">
        <v>3530</v>
      </c>
      <c r="B19" s="3844" t="s">
        <v>3531</v>
      </c>
      <c r="C19" s="3844">
        <v>43.63</v>
      </c>
      <c r="D19" s="3842">
        <v>5.8</v>
      </c>
      <c r="E19" s="3842">
        <v>7856.31</v>
      </c>
      <c r="F19" s="3843" t="s">
        <v>3490</v>
      </c>
      <c r="G19" s="3843">
        <f t="shared" ref="G19:G27" si="1">E19*12</f>
        <v>94275.72</v>
      </c>
      <c r="H19" s="3849" t="s">
        <v>3532</v>
      </c>
    </row>
    <row r="20" spans="1:8" ht="24">
      <c r="A20" s="3840" t="s">
        <v>3533</v>
      </c>
      <c r="B20" s="3844" t="s">
        <v>3534</v>
      </c>
      <c r="C20" s="3844">
        <v>170.05</v>
      </c>
      <c r="D20" s="3842">
        <v>5.8</v>
      </c>
      <c r="E20" s="3842">
        <v>30620.34</v>
      </c>
      <c r="F20" s="3843" t="s">
        <v>3490</v>
      </c>
      <c r="G20" s="3843">
        <f t="shared" si="1"/>
        <v>367444.08</v>
      </c>
      <c r="H20" s="3849" t="s">
        <v>3532</v>
      </c>
    </row>
    <row r="21" spans="1:8" ht="24">
      <c r="A21" s="3840" t="s">
        <v>3535</v>
      </c>
      <c r="B21" s="3844" t="s">
        <v>3536</v>
      </c>
      <c r="C21" s="3844">
        <v>334.95</v>
      </c>
      <c r="D21" s="3842">
        <v>5.8</v>
      </c>
      <c r="E21" s="3842">
        <v>60313.33</v>
      </c>
      <c r="F21" s="3843" t="s">
        <v>3490</v>
      </c>
      <c r="G21" s="3843">
        <f t="shared" si="1"/>
        <v>723759.96</v>
      </c>
      <c r="H21" s="3849" t="s">
        <v>3532</v>
      </c>
    </row>
    <row r="22" spans="1:8" ht="24">
      <c r="A22" s="3840" t="s">
        <v>3537</v>
      </c>
      <c r="B22" s="3844" t="s">
        <v>3538</v>
      </c>
      <c r="C22" s="3844">
        <v>170.05</v>
      </c>
      <c r="D22" s="3842">
        <v>5.8</v>
      </c>
      <c r="E22" s="3842">
        <v>30620.34</v>
      </c>
      <c r="F22" s="3843" t="s">
        <v>3490</v>
      </c>
      <c r="G22" s="3843">
        <f t="shared" si="1"/>
        <v>367444.08</v>
      </c>
      <c r="H22" s="3849" t="s">
        <v>3532</v>
      </c>
    </row>
    <row r="23" spans="1:8" ht="24">
      <c r="A23" s="3840" t="s">
        <v>3539</v>
      </c>
      <c r="B23" s="3844" t="s">
        <v>3540</v>
      </c>
      <c r="C23" s="3844">
        <v>298.88</v>
      </c>
      <c r="D23" s="3842">
        <v>5.8</v>
      </c>
      <c r="E23" s="3842">
        <v>53818.33</v>
      </c>
      <c r="F23" s="3843" t="s">
        <v>3490</v>
      </c>
      <c r="G23" s="3843">
        <f t="shared" si="1"/>
        <v>645819.96</v>
      </c>
      <c r="H23" s="3849" t="s">
        <v>3532</v>
      </c>
    </row>
    <row r="24" spans="1:8" ht="24">
      <c r="A24" s="3840" t="s">
        <v>3541</v>
      </c>
      <c r="B24" s="3844" t="s">
        <v>3542</v>
      </c>
      <c r="C24" s="3844">
        <v>53.22</v>
      </c>
      <c r="D24" s="3842">
        <v>5.8</v>
      </c>
      <c r="E24" s="3842">
        <v>9583.15</v>
      </c>
      <c r="F24" s="3843" t="s">
        <v>3490</v>
      </c>
      <c r="G24" s="3843">
        <f t="shared" si="1"/>
        <v>114997.79999999999</v>
      </c>
      <c r="H24" s="3849" t="s">
        <v>3532</v>
      </c>
    </row>
    <row r="25" spans="1:8" ht="24">
      <c r="A25" s="3840" t="s">
        <v>3543</v>
      </c>
      <c r="B25" s="3844" t="s">
        <v>3544</v>
      </c>
      <c r="C25" s="3844">
        <v>73.84</v>
      </c>
      <c r="D25" s="3850">
        <v>5</v>
      </c>
      <c r="E25" s="3842">
        <v>11454.43</v>
      </c>
      <c r="F25" s="3843" t="s">
        <v>3490</v>
      </c>
      <c r="G25" s="3843">
        <f t="shared" si="1"/>
        <v>137453.16</v>
      </c>
      <c r="H25" s="3849" t="s">
        <v>3532</v>
      </c>
    </row>
    <row r="26" spans="1:8" ht="24">
      <c r="A26" s="3840" t="s">
        <v>3545</v>
      </c>
      <c r="B26" s="3844" t="s">
        <v>3546</v>
      </c>
      <c r="C26" s="3844">
        <v>50.86</v>
      </c>
      <c r="D26" s="3850">
        <v>5</v>
      </c>
      <c r="E26" s="3842">
        <v>7889.66</v>
      </c>
      <c r="F26" s="3843" t="s">
        <v>3490</v>
      </c>
      <c r="G26" s="3843">
        <f t="shared" si="1"/>
        <v>94675.92</v>
      </c>
      <c r="H26" s="3849" t="s">
        <v>3532</v>
      </c>
    </row>
    <row r="27" spans="1:8" ht="24">
      <c r="A27" s="3839" t="s">
        <v>3547</v>
      </c>
      <c r="B27" s="3844" t="s">
        <v>3548</v>
      </c>
      <c r="C27" s="3844">
        <v>402.9</v>
      </c>
      <c r="D27" s="3842">
        <v>5.6</v>
      </c>
      <c r="E27" s="3842">
        <v>69999.850000000006</v>
      </c>
      <c r="F27" s="3843" t="s">
        <v>3490</v>
      </c>
      <c r="G27" s="3843">
        <f t="shared" si="1"/>
        <v>839998.20000000007</v>
      </c>
      <c r="H27" s="3840" t="s">
        <v>3549</v>
      </c>
    </row>
    <row r="28" spans="1:8" ht="24">
      <c r="A28" s="3839" t="s">
        <v>3550</v>
      </c>
      <c r="B28" s="3844" t="s">
        <v>3551</v>
      </c>
      <c r="C28" s="3844">
        <v>214.39</v>
      </c>
      <c r="D28" s="3842">
        <v>5.84</v>
      </c>
      <c r="E28" s="3842">
        <v>38082.81</v>
      </c>
      <c r="F28" s="3843"/>
      <c r="G28" s="3843"/>
      <c r="H28" s="3840" t="s">
        <v>3552</v>
      </c>
    </row>
    <row r="29" spans="1:8" ht="36">
      <c r="A29" s="3839" t="s">
        <v>3553</v>
      </c>
      <c r="B29" s="3844" t="s">
        <v>3554</v>
      </c>
      <c r="C29" s="3841">
        <v>237.89</v>
      </c>
      <c r="D29" s="3842">
        <v>6.64</v>
      </c>
      <c r="E29" s="3842">
        <v>48045.85</v>
      </c>
      <c r="F29" s="3843" t="s">
        <v>3555</v>
      </c>
      <c r="G29" s="3843">
        <f>E29*12</f>
        <v>576550.19999999995</v>
      </c>
      <c r="H29" s="3840" t="s">
        <v>3556</v>
      </c>
    </row>
    <row r="30" spans="1:8">
      <c r="A30" s="3839" t="s">
        <v>3557</v>
      </c>
      <c r="B30" s="3851" t="s">
        <v>3558</v>
      </c>
      <c r="C30" s="3852">
        <v>241.65</v>
      </c>
      <c r="D30" s="3853">
        <v>5.8</v>
      </c>
      <c r="E30" s="3853">
        <f>D30*365*C30/12</f>
        <v>42631.087500000001</v>
      </c>
      <c r="F30" s="3843"/>
      <c r="G30" s="3854"/>
      <c r="H30" s="3855" t="s">
        <v>3559</v>
      </c>
    </row>
    <row r="31" spans="1:8">
      <c r="A31" s="3839" t="s">
        <v>3560</v>
      </c>
      <c r="B31" s="3856"/>
      <c r="C31" s="3857"/>
      <c r="D31" s="3858"/>
      <c r="E31" s="3858"/>
      <c r="F31" s="3843"/>
      <c r="G31" s="3854"/>
      <c r="H31" s="3859"/>
    </row>
    <row r="32" spans="1:8">
      <c r="A32" s="3839" t="s">
        <v>3561</v>
      </c>
      <c r="B32" s="3860"/>
      <c r="C32" s="3861"/>
      <c r="D32" s="3858"/>
      <c r="E32" s="3899"/>
      <c r="F32" s="3862"/>
      <c r="G32" s="3863"/>
      <c r="H32" s="3864"/>
    </row>
    <row r="33" spans="1:8" ht="24">
      <c r="A33" s="3839" t="s">
        <v>3562</v>
      </c>
      <c r="B33" s="3844" t="s">
        <v>3563</v>
      </c>
      <c r="C33" s="3841">
        <v>167.01</v>
      </c>
      <c r="D33" s="3842">
        <v>7.04</v>
      </c>
      <c r="E33" s="3842">
        <v>35762.410000000003</v>
      </c>
      <c r="F33" s="3843" t="s">
        <v>3564</v>
      </c>
      <c r="G33" s="3843">
        <f>E33*12</f>
        <v>429148.92000000004</v>
      </c>
      <c r="H33" s="3840" t="s">
        <v>3565</v>
      </c>
    </row>
    <row r="34" spans="1:8" ht="36">
      <c r="A34" s="3839" t="s">
        <v>3566</v>
      </c>
      <c r="B34" s="3844" t="s">
        <v>3567</v>
      </c>
      <c r="C34" s="3841">
        <v>352.1</v>
      </c>
      <c r="D34" s="3842">
        <v>6.84</v>
      </c>
      <c r="E34" s="3842">
        <v>73254.41</v>
      </c>
      <c r="F34" s="3843" t="s">
        <v>3568</v>
      </c>
      <c r="G34" s="3843">
        <f t="shared" ref="G34:G52" si="2">E34*12</f>
        <v>879052.92</v>
      </c>
      <c r="H34" s="3840" t="s">
        <v>3569</v>
      </c>
    </row>
    <row r="35" spans="1:8" ht="48">
      <c r="A35" s="3839" t="s">
        <v>3570</v>
      </c>
      <c r="B35" s="3844" t="s">
        <v>3571</v>
      </c>
      <c r="C35" s="3841">
        <v>402.89</v>
      </c>
      <c r="D35" s="3842">
        <v>6.8</v>
      </c>
      <c r="E35" s="3842">
        <v>83331.08</v>
      </c>
      <c r="F35" s="3843" t="s">
        <v>3572</v>
      </c>
      <c r="G35" s="3843">
        <f t="shared" si="2"/>
        <v>999972.96</v>
      </c>
      <c r="H35" s="3840" t="s">
        <v>3573</v>
      </c>
    </row>
    <row r="36" spans="1:8" ht="24">
      <c r="A36" s="3839" t="s">
        <v>3574</v>
      </c>
      <c r="B36" s="3844" t="s">
        <v>3575</v>
      </c>
      <c r="C36" s="3841">
        <v>178.69</v>
      </c>
      <c r="D36" s="3842">
        <v>6.74</v>
      </c>
      <c r="E36" s="3842">
        <v>36632.94</v>
      </c>
      <c r="F36" s="3843" t="s">
        <v>3514</v>
      </c>
      <c r="G36" s="3843">
        <f t="shared" si="2"/>
        <v>439595.28</v>
      </c>
      <c r="H36" s="3840" t="s">
        <v>3576</v>
      </c>
    </row>
    <row r="37" spans="1:8" ht="36">
      <c r="A37" s="3839" t="s">
        <v>3577</v>
      </c>
      <c r="B37" s="3844" t="s">
        <v>3578</v>
      </c>
      <c r="C37" s="3841">
        <v>81.48</v>
      </c>
      <c r="D37" s="3847">
        <v>5.54</v>
      </c>
      <c r="E37" s="3842">
        <v>13730.06</v>
      </c>
      <c r="F37" s="3843" t="s">
        <v>3490</v>
      </c>
      <c r="G37" s="3843">
        <f t="shared" si="2"/>
        <v>164760.72</v>
      </c>
      <c r="H37" s="3840" t="s">
        <v>3579</v>
      </c>
    </row>
    <row r="38" spans="1:8" ht="24">
      <c r="A38" s="3839" t="s">
        <v>3580</v>
      </c>
      <c r="B38" s="3844" t="s">
        <v>3581</v>
      </c>
      <c r="C38" s="3841">
        <v>933.29</v>
      </c>
      <c r="D38" s="3865">
        <v>6.8</v>
      </c>
      <c r="E38" s="3842">
        <v>193035.48</v>
      </c>
      <c r="F38" s="3843" t="s">
        <v>3572</v>
      </c>
      <c r="G38" s="3843">
        <f t="shared" si="2"/>
        <v>2316425.7600000002</v>
      </c>
      <c r="H38" s="3840" t="s">
        <v>3582</v>
      </c>
    </row>
    <row r="39" spans="1:8" ht="24">
      <c r="A39" s="3839" t="s">
        <v>3583</v>
      </c>
      <c r="B39" s="3844" t="s">
        <v>3581</v>
      </c>
      <c r="C39" s="3841">
        <v>251.14</v>
      </c>
      <c r="D39" s="3842">
        <v>6.8</v>
      </c>
      <c r="E39" s="3842">
        <v>51944.12</v>
      </c>
      <c r="F39" s="3843" t="s">
        <v>3572</v>
      </c>
      <c r="G39" s="3843">
        <f t="shared" si="2"/>
        <v>623329.44000000006</v>
      </c>
      <c r="H39" s="3840" t="s">
        <v>3582</v>
      </c>
    </row>
    <row r="40" spans="1:8" ht="24">
      <c r="A40" s="3839" t="s">
        <v>3584</v>
      </c>
      <c r="B40" s="3844" t="s">
        <v>3581</v>
      </c>
      <c r="C40" s="3841">
        <v>364.68</v>
      </c>
      <c r="D40" s="3842">
        <v>6.8</v>
      </c>
      <c r="E40" s="3842">
        <v>75427.98</v>
      </c>
      <c r="F40" s="3843" t="s">
        <v>3572</v>
      </c>
      <c r="G40" s="3843">
        <f t="shared" si="2"/>
        <v>905135.76</v>
      </c>
      <c r="H40" s="3840" t="s">
        <v>3585</v>
      </c>
    </row>
    <row r="41" spans="1:8" ht="36">
      <c r="A41" s="3839" t="s">
        <v>3586</v>
      </c>
      <c r="B41" s="3844" t="s">
        <v>3581</v>
      </c>
      <c r="C41" s="3841">
        <v>415.21</v>
      </c>
      <c r="D41" s="3842">
        <v>6.8</v>
      </c>
      <c r="E41" s="3842">
        <v>85879.27</v>
      </c>
      <c r="F41" s="3843" t="s">
        <v>3572</v>
      </c>
      <c r="G41" s="3843">
        <f t="shared" si="2"/>
        <v>1030551.24</v>
      </c>
      <c r="H41" s="3840" t="s">
        <v>3587</v>
      </c>
    </row>
    <row r="42" spans="1:8" ht="24">
      <c r="A42" s="3839" t="s">
        <v>3588</v>
      </c>
      <c r="B42" s="3844" t="s">
        <v>3581</v>
      </c>
      <c r="C42" s="3841">
        <v>668.49</v>
      </c>
      <c r="D42" s="3842">
        <v>6.8</v>
      </c>
      <c r="E42" s="3842">
        <v>138266.01999999999</v>
      </c>
      <c r="F42" s="3843" t="s">
        <v>3572</v>
      </c>
      <c r="G42" s="3843">
        <f t="shared" si="2"/>
        <v>1659192.2399999998</v>
      </c>
      <c r="H42" s="3840" t="s">
        <v>3589</v>
      </c>
    </row>
    <row r="43" spans="1:8" ht="24">
      <c r="A43" s="3839" t="s">
        <v>3590</v>
      </c>
      <c r="B43" s="3844" t="s">
        <v>3581</v>
      </c>
      <c r="C43" s="3841">
        <v>417.39</v>
      </c>
      <c r="D43" s="3842">
        <v>6.8</v>
      </c>
      <c r="E43" s="3842">
        <v>86330.17</v>
      </c>
      <c r="F43" s="3843" t="s">
        <v>3572</v>
      </c>
      <c r="G43" s="3843">
        <f t="shared" si="2"/>
        <v>1035962.04</v>
      </c>
      <c r="H43" s="3840" t="s">
        <v>3589</v>
      </c>
    </row>
    <row r="44" spans="1:8" ht="36">
      <c r="A44" s="3840" t="s">
        <v>3591</v>
      </c>
      <c r="B44" s="3840" t="s">
        <v>3592</v>
      </c>
      <c r="C44" s="3841">
        <v>167.96</v>
      </c>
      <c r="D44" s="3842">
        <v>6.64</v>
      </c>
      <c r="E44" s="3842">
        <v>33922.32</v>
      </c>
      <c r="F44" s="3843" t="s">
        <v>3490</v>
      </c>
      <c r="G44" s="3843">
        <f t="shared" si="2"/>
        <v>407067.83999999997</v>
      </c>
      <c r="H44" s="3840" t="s">
        <v>3593</v>
      </c>
    </row>
    <row r="45" spans="1:8" ht="36">
      <c r="A45" s="3840" t="s">
        <v>3594</v>
      </c>
      <c r="B45" s="3840" t="s">
        <v>3595</v>
      </c>
      <c r="C45" s="3841">
        <v>197.5</v>
      </c>
      <c r="D45" s="3847">
        <v>6.64</v>
      </c>
      <c r="E45" s="3842">
        <v>39888.42</v>
      </c>
      <c r="F45" s="3843" t="s">
        <v>3490</v>
      </c>
      <c r="G45" s="3843">
        <f t="shared" si="2"/>
        <v>478661.04</v>
      </c>
      <c r="H45" s="3840" t="s">
        <v>3593</v>
      </c>
    </row>
    <row r="46" spans="1:8" ht="36">
      <c r="A46" s="3840" t="s">
        <v>3596</v>
      </c>
      <c r="B46" s="3840" t="s">
        <v>3595</v>
      </c>
      <c r="C46" s="3841">
        <v>50</v>
      </c>
      <c r="D46" s="3842">
        <v>6.64</v>
      </c>
      <c r="E46" s="3842">
        <v>10098.33</v>
      </c>
      <c r="F46" s="3843" t="s">
        <v>3490</v>
      </c>
      <c r="G46" s="3843">
        <f t="shared" si="2"/>
        <v>121179.95999999999</v>
      </c>
      <c r="H46" s="3840" t="s">
        <v>3593</v>
      </c>
    </row>
    <row r="47" spans="1:8" ht="48">
      <c r="A47" s="3840" t="s">
        <v>3597</v>
      </c>
      <c r="B47" s="3840" t="s">
        <v>3598</v>
      </c>
      <c r="C47" s="3841">
        <v>81.67</v>
      </c>
      <c r="D47" s="3842">
        <v>5.34</v>
      </c>
      <c r="E47" s="3842">
        <v>13265.25</v>
      </c>
      <c r="F47" s="3843" t="s">
        <v>3528</v>
      </c>
      <c r="G47" s="3843">
        <f t="shared" si="2"/>
        <v>159183</v>
      </c>
      <c r="H47" s="3840" t="s">
        <v>3599</v>
      </c>
    </row>
    <row r="48" spans="1:8" ht="60">
      <c r="A48" s="3840" t="s">
        <v>3600</v>
      </c>
      <c r="B48" s="3840" t="s">
        <v>3601</v>
      </c>
      <c r="C48" s="3841">
        <v>81.58</v>
      </c>
      <c r="D48" s="3842">
        <v>5.54</v>
      </c>
      <c r="E48" s="3842">
        <v>13746.91</v>
      </c>
      <c r="F48" s="3843" t="s">
        <v>3490</v>
      </c>
      <c r="G48" s="3843">
        <f t="shared" si="2"/>
        <v>164962.91999999998</v>
      </c>
      <c r="H48" s="3840" t="s">
        <v>3602</v>
      </c>
    </row>
    <row r="49" spans="1:8" ht="24">
      <c r="A49" s="3840" t="s">
        <v>3603</v>
      </c>
      <c r="B49" s="3840" t="s">
        <v>3558</v>
      </c>
      <c r="C49" s="3841">
        <v>75.7</v>
      </c>
      <c r="D49" s="3842">
        <v>5.8</v>
      </c>
      <c r="E49" s="3842">
        <v>13354.74</v>
      </c>
      <c r="F49" s="3843" t="s">
        <v>3490</v>
      </c>
      <c r="G49" s="3843">
        <f t="shared" si="2"/>
        <v>160256.88</v>
      </c>
      <c r="H49" s="3840" t="s">
        <v>3604</v>
      </c>
    </row>
    <row r="50" spans="1:8" ht="36">
      <c r="A50" s="3840" t="s">
        <v>3605</v>
      </c>
      <c r="B50" s="3840" t="s">
        <v>3606</v>
      </c>
      <c r="C50" s="3841">
        <v>118.97</v>
      </c>
      <c r="D50" s="3842">
        <v>5.64</v>
      </c>
      <c r="E50" s="3842">
        <f>D50*365*C50/12</f>
        <v>20409.303499999998</v>
      </c>
      <c r="F50" s="3843" t="s">
        <v>3528</v>
      </c>
      <c r="G50" s="3843">
        <f t="shared" si="2"/>
        <v>244911.64199999999</v>
      </c>
      <c r="H50" s="3844" t="s">
        <v>3607</v>
      </c>
    </row>
    <row r="51" spans="1:8" ht="36">
      <c r="A51" s="3840" t="s">
        <v>3608</v>
      </c>
      <c r="B51" s="3840" t="s">
        <v>3558</v>
      </c>
      <c r="C51" s="3841">
        <v>323.39999999999998</v>
      </c>
      <c r="D51" s="3842">
        <v>6.64</v>
      </c>
      <c r="E51" s="3842">
        <v>65316.02</v>
      </c>
      <c r="F51" s="3843" t="s">
        <v>3490</v>
      </c>
      <c r="G51" s="3843">
        <f t="shared" si="2"/>
        <v>783792.24</v>
      </c>
      <c r="H51" s="3844" t="s">
        <v>3609</v>
      </c>
    </row>
    <row r="52" spans="1:8" ht="36">
      <c r="A52" s="3840" t="s">
        <v>3610</v>
      </c>
      <c r="B52" s="3840" t="s">
        <v>3611</v>
      </c>
      <c r="C52" s="3841">
        <v>200</v>
      </c>
      <c r="D52" s="3847">
        <v>6.64</v>
      </c>
      <c r="E52" s="3842">
        <v>40393.33</v>
      </c>
      <c r="F52" s="3843" t="s">
        <v>3490</v>
      </c>
      <c r="G52" s="3843">
        <f t="shared" si="2"/>
        <v>484719.96</v>
      </c>
      <c r="H52" s="3844" t="s">
        <v>3609</v>
      </c>
    </row>
    <row r="53" spans="1:8" ht="36">
      <c r="A53" s="3839" t="s">
        <v>3612</v>
      </c>
      <c r="B53" s="3845" t="s">
        <v>3613</v>
      </c>
      <c r="C53" s="3841">
        <v>278.58999999999997</v>
      </c>
      <c r="D53" s="3842">
        <v>6.84</v>
      </c>
      <c r="E53" s="3842">
        <v>57960.65</v>
      </c>
      <c r="F53" s="3843" t="s">
        <v>3490</v>
      </c>
      <c r="G53" s="3843">
        <f>E53*12</f>
        <v>695527.8</v>
      </c>
      <c r="H53" s="3866" t="s">
        <v>3614</v>
      </c>
    </row>
    <row r="54" spans="1:8" ht="24">
      <c r="A54" s="3839" t="s">
        <v>3615</v>
      </c>
      <c r="B54" s="3845" t="s">
        <v>3616</v>
      </c>
      <c r="C54" s="3841">
        <v>244.81</v>
      </c>
      <c r="D54" s="3842">
        <v>6.24</v>
      </c>
      <c r="E54" s="3842">
        <v>46464.94</v>
      </c>
      <c r="F54" s="3843" t="s">
        <v>3490</v>
      </c>
      <c r="G54" s="3843">
        <v>557579.28</v>
      </c>
      <c r="H54" s="3866" t="s">
        <v>3617</v>
      </c>
    </row>
    <row r="55" spans="1:8" ht="24">
      <c r="A55" s="3839" t="s">
        <v>3618</v>
      </c>
      <c r="B55" s="3845" t="s">
        <v>3619</v>
      </c>
      <c r="C55" s="3841">
        <v>75.7</v>
      </c>
      <c r="D55" s="3842">
        <v>5.8</v>
      </c>
      <c r="E55" s="3842">
        <v>13354.74</v>
      </c>
      <c r="F55" s="3843" t="s">
        <v>3490</v>
      </c>
      <c r="G55" s="3843">
        <f t="shared" ref="G55:G61" si="3">E55*12</f>
        <v>160256.88</v>
      </c>
      <c r="H55" s="3866" t="s">
        <v>3620</v>
      </c>
    </row>
    <row r="56" spans="1:8" ht="24">
      <c r="A56" s="3839" t="s">
        <v>3621</v>
      </c>
      <c r="B56" s="3845" t="s">
        <v>3622</v>
      </c>
      <c r="C56" s="3841">
        <v>244.81</v>
      </c>
      <c r="D56" s="3842">
        <v>6.39</v>
      </c>
      <c r="E56" s="3842">
        <v>47581.88</v>
      </c>
      <c r="F56" s="3843" t="s">
        <v>3490</v>
      </c>
      <c r="G56" s="3843">
        <f t="shared" si="3"/>
        <v>570982.55999999994</v>
      </c>
      <c r="H56" s="3840" t="s">
        <v>3623</v>
      </c>
    </row>
    <row r="57" spans="1:8" ht="24">
      <c r="A57" s="3839" t="s">
        <v>3624</v>
      </c>
      <c r="B57" s="3845" t="s">
        <v>3625</v>
      </c>
      <c r="C57" s="3841">
        <v>200.36</v>
      </c>
      <c r="D57" s="3847">
        <v>6.54</v>
      </c>
      <c r="E57" s="3842">
        <v>39856.61</v>
      </c>
      <c r="F57" s="3843" t="s">
        <v>3490</v>
      </c>
      <c r="G57" s="3843">
        <f t="shared" si="3"/>
        <v>478279.32</v>
      </c>
      <c r="H57" s="3840" t="s">
        <v>3626</v>
      </c>
    </row>
    <row r="58" spans="1:8" ht="24">
      <c r="A58" s="3839" t="s">
        <v>3627</v>
      </c>
      <c r="B58" s="3845" t="s">
        <v>3625</v>
      </c>
      <c r="C58" s="3841">
        <v>209.45</v>
      </c>
      <c r="D58" s="3847">
        <v>6.24</v>
      </c>
      <c r="E58" s="3842">
        <v>39753.61</v>
      </c>
      <c r="F58" s="3843" t="s">
        <v>3490</v>
      </c>
      <c r="G58" s="3843">
        <f t="shared" si="3"/>
        <v>477043.32</v>
      </c>
      <c r="H58" s="3840" t="s">
        <v>3628</v>
      </c>
    </row>
    <row r="59" spans="1:8" ht="24">
      <c r="A59" s="3839" t="s">
        <v>3629</v>
      </c>
      <c r="B59" s="3845" t="s">
        <v>3625</v>
      </c>
      <c r="C59" s="3841">
        <v>186.05</v>
      </c>
      <c r="D59" s="3867">
        <v>6.3</v>
      </c>
      <c r="E59" s="3842">
        <v>35651.83</v>
      </c>
      <c r="F59" s="3843" t="s">
        <v>3490</v>
      </c>
      <c r="G59" s="3843">
        <f t="shared" si="3"/>
        <v>427821.96</v>
      </c>
      <c r="H59" s="3840" t="s">
        <v>3630</v>
      </c>
    </row>
    <row r="60" spans="1:8" ht="36">
      <c r="A60" s="3839" t="s">
        <v>3631</v>
      </c>
      <c r="B60" s="3840" t="s">
        <v>3632</v>
      </c>
      <c r="C60" s="3841">
        <v>81.58</v>
      </c>
      <c r="D60" s="3842">
        <v>5</v>
      </c>
      <c r="E60" s="3842">
        <v>12406.96</v>
      </c>
      <c r="F60" s="3843" t="s">
        <v>3490</v>
      </c>
      <c r="G60" s="3843">
        <f t="shared" si="3"/>
        <v>148883.51999999999</v>
      </c>
      <c r="H60" s="3840" t="s">
        <v>3633</v>
      </c>
    </row>
    <row r="61" spans="1:8" ht="36">
      <c r="A61" s="3839" t="s">
        <v>3634</v>
      </c>
      <c r="B61" s="3840" t="s">
        <v>3635</v>
      </c>
      <c r="C61" s="3841">
        <v>75.7</v>
      </c>
      <c r="D61" s="3842">
        <v>5</v>
      </c>
      <c r="E61" s="3842">
        <v>11512.71</v>
      </c>
      <c r="F61" s="3843" t="s">
        <v>3490</v>
      </c>
      <c r="G61" s="3843">
        <f t="shared" si="3"/>
        <v>138152.51999999999</v>
      </c>
      <c r="H61" s="3840" t="s">
        <v>3636</v>
      </c>
    </row>
    <row r="62" spans="1:8" ht="24">
      <c r="A62" s="3839" t="s">
        <v>3637</v>
      </c>
      <c r="B62" s="3840" t="s">
        <v>3638</v>
      </c>
      <c r="C62" s="3868">
        <v>70</v>
      </c>
      <c r="D62" s="3841">
        <v>5.4</v>
      </c>
      <c r="E62" s="3842">
        <v>11497.5</v>
      </c>
      <c r="F62" s="3843"/>
      <c r="G62" s="3843"/>
      <c r="H62" s="3840" t="s">
        <v>3639</v>
      </c>
    </row>
    <row r="63" spans="1:8" ht="24">
      <c r="A63" s="3839" t="s">
        <v>3640</v>
      </c>
      <c r="B63" s="3840" t="s">
        <v>3641</v>
      </c>
      <c r="C63" s="3868">
        <v>48.97</v>
      </c>
      <c r="D63" s="3841">
        <v>5.4</v>
      </c>
      <c r="E63" s="3842">
        <v>8043.32</v>
      </c>
      <c r="F63" s="3843"/>
      <c r="G63" s="3843"/>
      <c r="H63" s="3840" t="s">
        <v>3639</v>
      </c>
    </row>
    <row r="64" spans="1:8" ht="24">
      <c r="A64" s="3839" t="s">
        <v>3642</v>
      </c>
      <c r="B64" s="3840" t="s">
        <v>3420</v>
      </c>
      <c r="C64" s="3841">
        <v>859.97</v>
      </c>
      <c r="D64" s="3842">
        <v>6.24</v>
      </c>
      <c r="E64" s="3842">
        <v>163222.31</v>
      </c>
      <c r="F64" s="3843" t="s">
        <v>3490</v>
      </c>
      <c r="G64" s="3843">
        <f t="shared" ref="G64:G75" si="4">E64*12</f>
        <v>1958667.72</v>
      </c>
      <c r="H64" s="3844" t="s">
        <v>3643</v>
      </c>
    </row>
    <row r="65" spans="1:8" ht="24">
      <c r="A65" s="3839" t="s">
        <v>3644</v>
      </c>
      <c r="B65" s="3840" t="s">
        <v>3420</v>
      </c>
      <c r="C65" s="3841">
        <v>755.42</v>
      </c>
      <c r="D65" s="3847">
        <v>6.24</v>
      </c>
      <c r="E65" s="3842">
        <v>143378.72</v>
      </c>
      <c r="F65" s="3843" t="s">
        <v>3490</v>
      </c>
      <c r="G65" s="3843">
        <f t="shared" si="4"/>
        <v>1720544.6400000001</v>
      </c>
      <c r="H65" s="3844" t="s">
        <v>3643</v>
      </c>
    </row>
    <row r="66" spans="1:8" ht="24">
      <c r="A66" s="3839" t="s">
        <v>3645</v>
      </c>
      <c r="B66" s="3840" t="s">
        <v>3420</v>
      </c>
      <c r="C66" s="3841">
        <v>937.29</v>
      </c>
      <c r="D66" s="3848">
        <v>6.1</v>
      </c>
      <c r="E66" s="3842">
        <v>173906.35</v>
      </c>
      <c r="F66" s="3843" t="s">
        <v>3490</v>
      </c>
      <c r="G66" s="3843">
        <f t="shared" si="4"/>
        <v>2086876.2000000002</v>
      </c>
      <c r="H66" s="3844" t="s">
        <v>3646</v>
      </c>
    </row>
    <row r="67" spans="1:8" ht="36">
      <c r="A67" s="3839" t="s">
        <v>3647</v>
      </c>
      <c r="B67" s="3840" t="s">
        <v>3420</v>
      </c>
      <c r="C67" s="3841">
        <v>717.12</v>
      </c>
      <c r="D67" s="3848">
        <v>6.2</v>
      </c>
      <c r="E67" s="3842">
        <v>135236.88</v>
      </c>
      <c r="F67" s="3843" t="s">
        <v>3490</v>
      </c>
      <c r="G67" s="3843">
        <f t="shared" si="4"/>
        <v>1622842.56</v>
      </c>
      <c r="H67" s="3844" t="s">
        <v>3648</v>
      </c>
    </row>
    <row r="68" spans="1:8" ht="24">
      <c r="A68" s="3839" t="s">
        <v>3649</v>
      </c>
      <c r="B68" s="3840" t="s">
        <v>3420</v>
      </c>
      <c r="C68" s="3841">
        <v>350.99</v>
      </c>
      <c r="D68" s="3842">
        <v>5</v>
      </c>
      <c r="E68" s="3842">
        <v>53379.73</v>
      </c>
      <c r="F68" s="3843" t="s">
        <v>3490</v>
      </c>
      <c r="G68" s="3843">
        <f t="shared" si="4"/>
        <v>640556.76</v>
      </c>
      <c r="H68" s="3844" t="s">
        <v>3643</v>
      </c>
    </row>
    <row r="69" spans="1:8" ht="24">
      <c r="A69" s="3839" t="s">
        <v>3650</v>
      </c>
      <c r="B69" s="3840" t="s">
        <v>3651</v>
      </c>
      <c r="C69" s="3841">
        <v>81.67</v>
      </c>
      <c r="D69" s="3842">
        <v>5</v>
      </c>
      <c r="E69" s="3842">
        <v>12420.65</v>
      </c>
      <c r="F69" s="3843" t="s">
        <v>3490</v>
      </c>
      <c r="G69" s="3843">
        <f t="shared" si="4"/>
        <v>149047.79999999999</v>
      </c>
      <c r="H69" s="3844" t="s">
        <v>3652</v>
      </c>
    </row>
    <row r="70" spans="1:8" ht="48">
      <c r="A70" s="3839" t="s">
        <v>3653</v>
      </c>
      <c r="B70" s="3869" t="s">
        <v>3654</v>
      </c>
      <c r="C70" s="3841">
        <v>273.42</v>
      </c>
      <c r="D70" s="3842">
        <v>7.14</v>
      </c>
      <c r="E70" s="3842">
        <v>59379.99</v>
      </c>
      <c r="F70" s="3843" t="s">
        <v>3490</v>
      </c>
      <c r="G70" s="3843">
        <f t="shared" si="4"/>
        <v>712559.88</v>
      </c>
      <c r="H70" s="3870" t="s">
        <v>3655</v>
      </c>
    </row>
    <row r="71" spans="1:8" ht="36">
      <c r="A71" s="3839" t="s">
        <v>3656</v>
      </c>
      <c r="B71" s="3869" t="s">
        <v>3654</v>
      </c>
      <c r="C71" s="3841">
        <v>244.81</v>
      </c>
      <c r="D71" s="3842">
        <v>7.14</v>
      </c>
      <c r="E71" s="3842">
        <v>53166.61</v>
      </c>
      <c r="F71" s="3843" t="s">
        <v>3490</v>
      </c>
      <c r="G71" s="3843">
        <f t="shared" si="4"/>
        <v>637999.32000000007</v>
      </c>
      <c r="H71" s="3870" t="s">
        <v>3657</v>
      </c>
    </row>
    <row r="72" spans="1:8" ht="24">
      <c r="A72" s="3839" t="s">
        <v>3658</v>
      </c>
      <c r="B72" s="3840" t="s">
        <v>3659</v>
      </c>
      <c r="C72" s="3841">
        <v>527.79</v>
      </c>
      <c r="D72" s="3842">
        <v>6.74</v>
      </c>
      <c r="E72" s="3842">
        <v>108140.34</v>
      </c>
      <c r="F72" s="3843" t="s">
        <v>3660</v>
      </c>
      <c r="G72" s="3843">
        <f t="shared" si="4"/>
        <v>1297684.08</v>
      </c>
      <c r="H72" s="3844" t="s">
        <v>3661</v>
      </c>
    </row>
    <row r="73" spans="1:8" ht="24">
      <c r="A73" s="3839" t="s">
        <v>3662</v>
      </c>
      <c r="B73" s="3840" t="s">
        <v>3659</v>
      </c>
      <c r="C73" s="3841">
        <v>263.73</v>
      </c>
      <c r="D73" s="3842">
        <v>6.43</v>
      </c>
      <c r="E73" s="3842">
        <v>51557.63</v>
      </c>
      <c r="F73" s="3843" t="s">
        <v>3660</v>
      </c>
      <c r="G73" s="3843">
        <f t="shared" si="4"/>
        <v>618691.55999999994</v>
      </c>
      <c r="H73" s="3844" t="s">
        <v>3661</v>
      </c>
    </row>
    <row r="74" spans="1:8" ht="36">
      <c r="A74" s="3839" t="s">
        <v>3663</v>
      </c>
      <c r="B74" s="3840" t="s">
        <v>3664</v>
      </c>
      <c r="C74" s="3841">
        <v>228.26</v>
      </c>
      <c r="D74" s="3842">
        <v>6.74</v>
      </c>
      <c r="E74" s="3842">
        <v>46795.199999999997</v>
      </c>
      <c r="F74" s="3843" t="s">
        <v>3490</v>
      </c>
      <c r="G74" s="3843">
        <f t="shared" si="4"/>
        <v>561542.39999999991</v>
      </c>
      <c r="H74" s="3844" t="s">
        <v>3665</v>
      </c>
    </row>
    <row r="75" spans="1:8" ht="24">
      <c r="A75" s="3839" t="s">
        <v>3666</v>
      </c>
      <c r="B75" s="3840" t="s">
        <v>3659</v>
      </c>
      <c r="C75" s="3841">
        <v>295.23</v>
      </c>
      <c r="D75" s="3842">
        <v>6.74</v>
      </c>
      <c r="E75" s="3842">
        <v>60524.61</v>
      </c>
      <c r="F75" s="3843" t="s">
        <v>3660</v>
      </c>
      <c r="G75" s="3843">
        <f t="shared" si="4"/>
        <v>726295.32000000007</v>
      </c>
      <c r="H75" s="3844" t="s">
        <v>3667</v>
      </c>
    </row>
    <row r="76" spans="1:8" ht="24">
      <c r="A76" s="3839" t="s">
        <v>3668</v>
      </c>
      <c r="B76" s="3840" t="s">
        <v>3664</v>
      </c>
      <c r="C76" s="3841">
        <v>226.6</v>
      </c>
      <c r="D76" s="3842">
        <v>6.43</v>
      </c>
      <c r="E76" s="3842">
        <v>44298.94</v>
      </c>
      <c r="F76" s="3843" t="s">
        <v>3490</v>
      </c>
      <c r="G76" s="3843"/>
      <c r="H76" s="3844" t="s">
        <v>3669</v>
      </c>
    </row>
    <row r="77" spans="1:8" ht="24">
      <c r="A77" s="3839" t="s">
        <v>3670</v>
      </c>
      <c r="B77" s="3844" t="s">
        <v>3575</v>
      </c>
      <c r="C77" s="3841">
        <v>167.96</v>
      </c>
      <c r="D77" s="3842">
        <v>7.04</v>
      </c>
      <c r="E77" s="3842">
        <f>7.04*365*167.96/12</f>
        <v>35965.834666666669</v>
      </c>
      <c r="F77" s="3843" t="s">
        <v>3514</v>
      </c>
      <c r="G77" s="3843">
        <f>E77*12</f>
        <v>431590.01600000006</v>
      </c>
      <c r="H77" s="3844" t="s">
        <v>3671</v>
      </c>
    </row>
    <row r="78" spans="1:8" ht="36">
      <c r="A78" s="3839" t="s">
        <v>3672</v>
      </c>
      <c r="B78" s="3840" t="s">
        <v>3673</v>
      </c>
      <c r="C78" s="3841">
        <v>259.07</v>
      </c>
      <c r="D78" s="3842">
        <v>6.64</v>
      </c>
      <c r="E78" s="3842">
        <v>52323.5</v>
      </c>
      <c r="F78" s="3843" t="s">
        <v>3674</v>
      </c>
      <c r="G78" s="3843">
        <f t="shared" ref="G78:G83" si="5">E78*12</f>
        <v>627882</v>
      </c>
      <c r="H78" s="3844" t="s">
        <v>3675</v>
      </c>
    </row>
    <row r="79" spans="1:8" ht="24">
      <c r="A79" s="3839" t="s">
        <v>3676</v>
      </c>
      <c r="B79" s="3844" t="s">
        <v>3420</v>
      </c>
      <c r="C79" s="3841">
        <v>740.38</v>
      </c>
      <c r="D79" s="3847">
        <v>6.4</v>
      </c>
      <c r="E79" s="3842">
        <v>144127.31</v>
      </c>
      <c r="F79" s="3843" t="s">
        <v>3490</v>
      </c>
      <c r="G79" s="3843">
        <f t="shared" si="5"/>
        <v>1729527.72</v>
      </c>
      <c r="H79" s="3844" t="s">
        <v>3677</v>
      </c>
    </row>
    <row r="80" spans="1:8" ht="24">
      <c r="A80" s="3839" t="s">
        <v>3678</v>
      </c>
      <c r="B80" s="3844" t="s">
        <v>3420</v>
      </c>
      <c r="C80" s="3841">
        <v>744.72</v>
      </c>
      <c r="D80" s="3842">
        <v>6.6</v>
      </c>
      <c r="E80" s="3842">
        <v>149502.54</v>
      </c>
      <c r="F80" s="3843" t="s">
        <v>3490</v>
      </c>
      <c r="G80" s="3843">
        <f t="shared" si="5"/>
        <v>1794030.48</v>
      </c>
      <c r="H80" s="3844" t="s">
        <v>3679</v>
      </c>
    </row>
    <row r="81" spans="1:8" ht="24">
      <c r="A81" s="3839" t="s">
        <v>3680</v>
      </c>
      <c r="B81" s="3840" t="s">
        <v>3681</v>
      </c>
      <c r="C81" s="3841">
        <v>82.19</v>
      </c>
      <c r="D81" s="3842">
        <v>5</v>
      </c>
      <c r="E81" s="3842">
        <v>12499.73</v>
      </c>
      <c r="F81" s="3843" t="s">
        <v>3490</v>
      </c>
      <c r="G81" s="3843">
        <f t="shared" si="5"/>
        <v>149996.76</v>
      </c>
      <c r="H81" s="3844" t="s">
        <v>3643</v>
      </c>
    </row>
    <row r="82" spans="1:8" ht="24">
      <c r="A82" s="3839" t="s">
        <v>3682</v>
      </c>
      <c r="B82" s="3840" t="s">
        <v>3622</v>
      </c>
      <c r="C82" s="3841">
        <v>82.19</v>
      </c>
      <c r="D82" s="3842">
        <v>5</v>
      </c>
      <c r="E82" s="3842">
        <v>12499.73</v>
      </c>
      <c r="F82" s="3843" t="s">
        <v>3490</v>
      </c>
      <c r="G82" s="3843">
        <f t="shared" si="5"/>
        <v>149996.76</v>
      </c>
      <c r="H82" s="3844" t="s">
        <v>3525</v>
      </c>
    </row>
    <row r="83" spans="1:8" ht="24">
      <c r="A83" s="3839" t="s">
        <v>3683</v>
      </c>
      <c r="B83" s="3840" t="s">
        <v>3420</v>
      </c>
      <c r="C83" s="3841">
        <v>159.08000000000001</v>
      </c>
      <c r="D83" s="3847">
        <v>5.5</v>
      </c>
      <c r="E83" s="3842">
        <v>26612.76</v>
      </c>
      <c r="F83" s="3843" t="s">
        <v>3490</v>
      </c>
      <c r="G83" s="3843">
        <f t="shared" si="5"/>
        <v>319353.12</v>
      </c>
      <c r="H83" s="3844" t="s">
        <v>3679</v>
      </c>
    </row>
    <row r="84" spans="1:8">
      <c r="A84" s="3871" t="s">
        <v>3684</v>
      </c>
      <c r="B84" s="3872"/>
      <c r="C84" s="3873">
        <f>SUBTOTAL(9,C3:C83)</f>
        <v>24750.469999999998</v>
      </c>
      <c r="D84" s="3900">
        <f>E84*12/365/C84</f>
        <v>6.300357667817031</v>
      </c>
      <c r="E84" s="3897">
        <f>SUM(E3:E83)</f>
        <v>4743078.0756666679</v>
      </c>
      <c r="F84" s="3874"/>
      <c r="G84" s="3874"/>
      <c r="H84" s="3838"/>
    </row>
    <row r="85" spans="1:8" ht="24">
      <c r="A85" s="3839" t="s">
        <v>3685</v>
      </c>
      <c r="B85" s="3840" t="s">
        <v>3513</v>
      </c>
      <c r="C85" s="3841">
        <v>542.72</v>
      </c>
      <c r="D85" s="3901">
        <v>17.329999999999998</v>
      </c>
      <c r="E85" s="3842">
        <v>303082.96999999997</v>
      </c>
      <c r="F85" s="3843" t="s">
        <v>3514</v>
      </c>
      <c r="G85" s="3843">
        <f t="shared" ref="G85:G88" si="6">E85*12</f>
        <v>3636995.6399999997</v>
      </c>
      <c r="H85" s="3840" t="s">
        <v>3686</v>
      </c>
    </row>
    <row r="86" spans="1:8" ht="36">
      <c r="A86" s="3839" t="s">
        <v>3687</v>
      </c>
      <c r="B86" s="3840" t="s">
        <v>3688</v>
      </c>
      <c r="C86" s="3841">
        <v>266.48</v>
      </c>
      <c r="D86" s="3902">
        <v>19.992000000000001</v>
      </c>
      <c r="E86" s="3842">
        <v>162043.82</v>
      </c>
      <c r="F86" s="3843" t="s">
        <v>3490</v>
      </c>
      <c r="G86" s="3843">
        <f t="shared" si="6"/>
        <v>1944525.84</v>
      </c>
      <c r="H86" s="3840" t="s">
        <v>3689</v>
      </c>
    </row>
    <row r="87" spans="1:8" ht="24">
      <c r="A87" s="3876" t="s">
        <v>3690</v>
      </c>
      <c r="B87" s="3840" t="s">
        <v>3691</v>
      </c>
      <c r="C87" s="3841">
        <v>237.89</v>
      </c>
      <c r="D87" s="3875">
        <v>1.1499999999999999</v>
      </c>
      <c r="E87" s="3842">
        <v>8333.33</v>
      </c>
      <c r="F87" s="3843" t="s">
        <v>3490</v>
      </c>
      <c r="G87" s="3843">
        <f t="shared" si="6"/>
        <v>99999.959999999992</v>
      </c>
      <c r="H87" s="3840" t="s">
        <v>3692</v>
      </c>
    </row>
    <row r="88" spans="1:8" ht="24">
      <c r="A88" s="3844" t="s">
        <v>3693</v>
      </c>
      <c r="B88" s="3844" t="s">
        <v>3694</v>
      </c>
      <c r="C88" s="3841">
        <v>4116.5</v>
      </c>
      <c r="D88" s="3877">
        <v>7.2930000000000001</v>
      </c>
      <c r="E88" s="3842">
        <v>913162.75</v>
      </c>
      <c r="F88" s="3843"/>
      <c r="G88" s="3843">
        <f t="shared" si="6"/>
        <v>10957953</v>
      </c>
      <c r="H88" s="3840" t="s">
        <v>3695</v>
      </c>
    </row>
    <row r="89" spans="1:8" ht="24">
      <c r="A89" s="3840" t="s">
        <v>3696</v>
      </c>
      <c r="B89" s="3840" t="s">
        <v>3697</v>
      </c>
      <c r="C89" s="3841">
        <v>42.16</v>
      </c>
      <c r="D89" s="3903">
        <v>7.798</v>
      </c>
      <c r="E89" s="3842">
        <v>10000</v>
      </c>
      <c r="F89" s="3843"/>
      <c r="G89" s="3843">
        <f>E89*12</f>
        <v>120000</v>
      </c>
      <c r="H89" s="3840" t="s">
        <v>3698</v>
      </c>
    </row>
    <row r="90" spans="1:8" ht="24">
      <c r="A90" s="3840" t="s">
        <v>3699</v>
      </c>
      <c r="B90" s="3840" t="s">
        <v>3700</v>
      </c>
      <c r="C90" s="3841">
        <v>881.59</v>
      </c>
      <c r="D90" s="3878">
        <f>E90/C90*12/365</f>
        <v>2.3152501387980959</v>
      </c>
      <c r="E90" s="3842">
        <v>62083.5</v>
      </c>
      <c r="F90" s="3843" t="s">
        <v>3490</v>
      </c>
      <c r="G90" s="3843">
        <f>E90*12</f>
        <v>745002</v>
      </c>
      <c r="H90" s="3879" t="s">
        <v>3701</v>
      </c>
    </row>
    <row r="91" spans="1:8">
      <c r="A91" s="3880" t="s">
        <v>3702</v>
      </c>
      <c r="B91" s="3881"/>
      <c r="C91" s="3882">
        <f>SUBTOTAL(9,C85:C90)</f>
        <v>6087.34</v>
      </c>
      <c r="D91" s="3883"/>
      <c r="E91" s="3897">
        <f>SUM(E85:E90)</f>
        <v>1458706.37</v>
      </c>
      <c r="F91" s="3884"/>
      <c r="G91" s="3884"/>
      <c r="H91" s="3885"/>
    </row>
    <row r="92" spans="1:8">
      <c r="A92" s="3886" t="s">
        <v>3703</v>
      </c>
      <c r="B92" s="3887"/>
      <c r="C92" s="3882">
        <f>C91+C84</f>
        <v>30837.809999999998</v>
      </c>
      <c r="D92" s="3888"/>
      <c r="E92" s="3897"/>
      <c r="F92" s="3889"/>
      <c r="G92" s="3889"/>
      <c r="H92" s="3890"/>
    </row>
  </sheetData>
  <mergeCells count="9">
    <mergeCell ref="A84:B84"/>
    <mergeCell ref="A91:B91"/>
    <mergeCell ref="A92:B92"/>
    <mergeCell ref="E30:E32"/>
    <mergeCell ref="A1:H1"/>
    <mergeCell ref="B30:B32"/>
    <mergeCell ref="C30:C32"/>
    <mergeCell ref="D30:D32"/>
    <mergeCell ref="H30:H3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建筑物价值</v>
      </c>
      <c r="G2" s="3508"/>
      <c r="H2" s="3508" t="str">
        <f>IF(项目基本情况!B9="房地产市场价值","房地产市场价值","房地产价值")</f>
        <v>房地产价值</v>
      </c>
      <c r="I2" s="3508"/>
    </row>
    <row r="3" spans="1:9" ht="15">
      <c r="A3" s="3503"/>
      <c r="B3" s="3503"/>
      <c r="C3" s="3503"/>
      <c r="D3" s="854" t="s">
        <v>925</v>
      </c>
      <c r="E3" s="854" t="s">
        <v>931</v>
      </c>
      <c r="F3" s="854" t="s">
        <v>925</v>
      </c>
      <c r="G3" s="854" t="s">
        <v>926</v>
      </c>
      <c r="H3" s="854" t="s">
        <v>925</v>
      </c>
      <c r="I3" s="854" t="s">
        <v>926</v>
      </c>
    </row>
    <row r="4" spans="1:9" ht="30">
      <c r="A4" s="1505" t="str">
        <f>项目基本情况!S2</f>
        <v>北京市朝阳区朝外大街22号房地产</v>
      </c>
      <c r="B4" s="854">
        <f>项目基本情况!C17</f>
        <v>52566.7</v>
      </c>
      <c r="C4" s="854">
        <f>项目基本情况!C18</f>
        <v>0</v>
      </c>
      <c r="D4" s="854">
        <f ca="1">结果表!D118</f>
        <v>141225</v>
      </c>
      <c r="E4" s="854">
        <f ca="1">结果表!E118</f>
        <v>26866</v>
      </c>
      <c r="F4" s="854">
        <f ca="1">结果表!F118</f>
        <v>25905</v>
      </c>
      <c r="G4" s="854">
        <f ca="1">结果表!G118</f>
        <v>4928</v>
      </c>
      <c r="H4" s="854">
        <f ca="1">结果表!H118</f>
        <v>167130</v>
      </c>
      <c r="I4" s="854">
        <f ca="1">结果表!I118</f>
        <v>31794</v>
      </c>
    </row>
    <row r="5" spans="1:9" ht="30" customHeight="1">
      <c r="A5" s="3503" t="s">
        <v>927</v>
      </c>
      <c r="B5" s="3503"/>
      <c r="C5" s="3503"/>
      <c r="D5" s="3503" t="str">
        <f ca="1">结果表!D119</f>
        <v>壹拾肆亿壹仟贰佰贰拾伍万元整</v>
      </c>
      <c r="E5" s="3503"/>
      <c r="F5" s="3503" t="str">
        <f ca="1">结果表!F119</f>
        <v>贰亿伍仟玖佰零伍万元整</v>
      </c>
      <c r="G5" s="3503"/>
      <c r="H5" s="3503" t="str">
        <f ca="1">结果表!H119</f>
        <v>壹拾陆亿柒仟壹佰叁拾万元整</v>
      </c>
      <c r="I5" s="3503"/>
    </row>
    <row r="6" spans="1:9" ht="15.75">
      <c r="A6" s="3502" t="str">
        <f>结果表!A120</f>
        <v>估价师知悉的法定优先受偿款</v>
      </c>
      <c r="B6" s="3502"/>
      <c r="C6" s="3502"/>
      <c r="D6" s="3502">
        <f>结果表!D120</f>
        <v>0</v>
      </c>
      <c r="E6" s="3502"/>
      <c r="F6" s="3502"/>
      <c r="G6" s="3502"/>
      <c r="H6" s="3502"/>
      <c r="I6" s="3502"/>
    </row>
    <row r="7" spans="1:9" ht="15">
      <c r="A7" s="3503" t="s">
        <v>927</v>
      </c>
      <c r="B7" s="3503"/>
      <c r="C7" s="3503"/>
      <c r="D7" s="3504" t="str">
        <f>结果表!D121</f>
        <v>零元整</v>
      </c>
      <c r="E7" s="3505"/>
      <c r="F7" s="3505"/>
      <c r="G7" s="3505"/>
      <c r="H7" s="3505"/>
      <c r="I7" s="3506"/>
    </row>
    <row r="8" spans="1:9" ht="15.75">
      <c r="A8" s="3502" t="str">
        <f>结果表!A122</f>
        <v>房地产抵押价值</v>
      </c>
      <c r="B8" s="3502"/>
      <c r="C8" s="3502"/>
      <c r="D8" s="3502">
        <f ca="1">结果表!D122</f>
        <v>167130</v>
      </c>
      <c r="E8" s="3502"/>
      <c r="F8" s="3502"/>
      <c r="G8" s="3502"/>
      <c r="H8" s="3502"/>
      <c r="I8" s="3502"/>
    </row>
    <row r="9" spans="1:9" ht="15">
      <c r="A9" s="3503" t="s">
        <v>927</v>
      </c>
      <c r="B9" s="3503"/>
      <c r="C9" s="3503"/>
      <c r="D9" s="3503" t="str">
        <f ca="1">结果表!D123</f>
        <v>壹拾陆亿柒仟壹佰叁拾万元整</v>
      </c>
      <c r="E9" s="3503"/>
      <c r="F9" s="3503"/>
      <c r="G9" s="3503"/>
      <c r="H9" s="3503"/>
      <c r="I9" s="3503"/>
    </row>
    <row r="10" spans="1:9" ht="15.75">
      <c r="A10" s="3502" t="str">
        <f>结果表!A124</f>
        <v/>
      </c>
      <c r="B10" s="3502"/>
      <c r="C10" s="3502"/>
      <c r="D10" s="3502" t="str">
        <f>结果表!D124</f>
        <v>——</v>
      </c>
      <c r="E10" s="3502"/>
      <c r="F10" s="3502"/>
      <c r="G10" s="3502"/>
      <c r="H10" s="3502"/>
      <c r="I10" s="3502"/>
    </row>
    <row r="11" spans="1:9" ht="15">
      <c r="A11" s="3503" t="s">
        <v>927</v>
      </c>
      <c r="B11" s="3503"/>
      <c r="C11" s="3503"/>
      <c r="D11" s="3503" t="e">
        <f>结果表!D125</f>
        <v>#VALUE!</v>
      </c>
      <c r="E11" s="3503"/>
      <c r="F11" s="3503"/>
      <c r="G11" s="3503"/>
      <c r="H11" s="3503"/>
      <c r="I11" s="3503"/>
    </row>
    <row r="12" spans="1:9" ht="15.75">
      <c r="A12" s="3502" t="str">
        <f>结果表!A126</f>
        <v>抵押净值</v>
      </c>
      <c r="B12" s="3502"/>
      <c r="C12" s="3502"/>
      <c r="D12" s="3502">
        <f ca="1">结果表!D126</f>
        <v>150207</v>
      </c>
      <c r="E12" s="3502"/>
      <c r="F12" s="3502"/>
      <c r="G12" s="3502"/>
      <c r="H12" s="3502"/>
      <c r="I12" s="3502"/>
    </row>
    <row r="13" spans="1:9" ht="15.75" thickBot="1">
      <c r="A13" s="3500" t="s">
        <v>927</v>
      </c>
      <c r="B13" s="3500"/>
      <c r="C13" s="3500"/>
      <c r="D13" s="3500" t="str">
        <f ca="1">结果表!D127</f>
        <v>壹拾伍亿零贰佰零柒万元整</v>
      </c>
      <c r="E13" s="3500"/>
      <c r="F13" s="3500"/>
      <c r="G13" s="3500"/>
      <c r="H13" s="3500"/>
      <c r="I13" s="3500"/>
    </row>
    <row r="14" spans="1:9" ht="15" thickTop="1">
      <c r="A14" s="3501" t="s">
        <v>932</v>
      </c>
      <c r="B14" s="3501"/>
      <c r="C14" s="3501"/>
      <c r="D14" s="3501"/>
      <c r="E14" s="3501"/>
      <c r="F14" s="3501"/>
      <c r="G14" s="3501"/>
      <c r="H14" s="3501"/>
      <c r="I14" s="350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3" t="s">
        <v>956</v>
      </c>
      <c r="B15" s="3518" t="s">
        <v>109</v>
      </c>
      <c r="C15" s="3519"/>
    </row>
    <row r="16" spans="1:7" ht="13.5">
      <c r="A16" s="3524"/>
      <c r="B16" s="3518" t="s">
        <v>42</v>
      </c>
      <c r="C16" s="3519"/>
    </row>
    <row r="17" spans="1:3" ht="13.5">
      <c r="A17" s="3524"/>
      <c r="B17" s="3521" t="s">
        <v>957</v>
      </c>
      <c r="C17" s="1532" t="s">
        <v>956</v>
      </c>
    </row>
    <row r="18" spans="1:3" ht="13.5">
      <c r="A18" s="3524"/>
      <c r="B18" s="3521"/>
      <c r="C18" s="1532" t="s">
        <v>958</v>
      </c>
    </row>
    <row r="19" spans="1:3" ht="13.5">
      <c r="A19" s="3524"/>
      <c r="B19" s="3521"/>
      <c r="C19" s="1532" t="s">
        <v>959</v>
      </c>
    </row>
    <row r="20" spans="1:3" ht="13.5">
      <c r="A20" s="3525"/>
      <c r="B20" s="3520" t="s">
        <v>960</v>
      </c>
      <c r="C20" s="3519"/>
    </row>
    <row r="21" spans="1:3" ht="13.5">
      <c r="A21" s="1533" t="s">
        <v>961</v>
      </c>
      <c r="B21" s="1534"/>
      <c r="C21" s="1535"/>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32" t="s">
        <v>967</v>
      </c>
    </row>
    <row r="26" spans="1:3" ht="13.5">
      <c r="A26" s="3522"/>
      <c r="B26" s="3521"/>
      <c r="C26" s="1532" t="s">
        <v>968</v>
      </c>
    </row>
    <row r="27" spans="1:3" ht="13.5">
      <c r="A27" s="3522"/>
      <c r="B27" s="3521"/>
      <c r="C27" s="1532" t="s">
        <v>969</v>
      </c>
    </row>
    <row r="28" spans="1:3" ht="13.5">
      <c r="A28" s="3522"/>
      <c r="B28" s="3521"/>
      <c r="C28" s="1532" t="s">
        <v>970</v>
      </c>
    </row>
    <row r="29" spans="1:3" ht="13.5">
      <c r="A29" s="3522"/>
      <c r="B29" s="3521"/>
      <c r="C29" s="1532" t="s">
        <v>971</v>
      </c>
    </row>
    <row r="30" spans="1:3" ht="13.5">
      <c r="A30" s="3522"/>
      <c r="B30" s="3521"/>
      <c r="C30" s="1532" t="s">
        <v>972</v>
      </c>
    </row>
    <row r="31" spans="1:3" ht="13.5">
      <c r="A31" s="3522"/>
      <c r="B31" s="3521"/>
      <c r="C31" s="1532" t="s">
        <v>973</v>
      </c>
    </row>
    <row r="32" spans="1:3" ht="13.5">
      <c r="A32" s="3522"/>
      <c r="B32" s="3521"/>
      <c r="C32" s="1532" t="s">
        <v>974</v>
      </c>
    </row>
    <row r="33" spans="1:3" ht="13.5">
      <c r="A33" s="3522"/>
      <c r="B33" s="352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45349</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t="str">
        <f ca="1">IF(C14&lt;B2,"已过期",1119980106)</f>
        <v>已过期</v>
      </c>
      <c r="C14" s="2349">
        <v>44969</v>
      </c>
      <c r="D14" s="2345" t="str">
        <f t="shared" ca="1" si="0"/>
        <v>刘俊财（注册号：已过期）</v>
      </c>
      <c r="E14" s="2346" t="s">
        <v>2156</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42"/>
      <c r="E18" s="3528" t="s">
        <v>2160</v>
      </c>
      <c r="F18" s="3527"/>
      <c r="G18" s="352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2024-02-27T11:40:11Z</dcterms:modified>
</cp:coreProperties>
</file>