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15" windowHeight="11295" tabRatio="899" firstSheet="16"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清单" sheetId="77" r:id="rId15"/>
    <sheet name="数据-取费表" sheetId="1" r:id="rId16"/>
    <sheet name="估价对象房地状况" sheetId="20" r:id="rId17"/>
    <sheet name="系统读取表" sheetId="74" r:id="rId18"/>
    <sheet name="结果表" sheetId="9" r:id="rId19"/>
    <sheet name="典型户型修正商业" sheetId="31" state="hidden" r:id="rId20"/>
    <sheet name="成本法" sheetId="68" r:id="rId21"/>
    <sheet name="成本法 (元)" sheetId="69" state="hidden" r:id="rId22"/>
    <sheet name="假设开发法" sheetId="12" state="hidden" r:id="rId23"/>
    <sheet name="收益法 (元)" sheetId="67" state="hidden" r:id="rId24"/>
    <sheet name="酒店收入计算" sheetId="66" state="hidden" r:id="rId25"/>
    <sheet name="比较法-住宅" sheetId="21" state="hidden" r:id="rId26"/>
    <sheet name="基准地价修正" sheetId="43" r:id="rId27"/>
    <sheet name="收益法商业" sheetId="79" r:id="rId28"/>
    <sheet name="比较法-商业" sheetId="33" r:id="rId29"/>
    <sheet name="比较法-办公" sheetId="34" r:id="rId30"/>
    <sheet name="收益法办公" sheetId="15" r:id="rId31"/>
    <sheet name="基准地价（汇总）" sheetId="76" state="hidden"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办公" sheetId="80" state="hidden" r:id="rId47"/>
    <sheet name="已售清单" sheetId="78" r:id="rId48"/>
    <sheet name="租金" sheetId="81"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典型户型修正办公!$5:$5</definedName>
    <definedName name="一修多修正项2">典型户型修正商业!$5:$5</definedName>
    <definedName name="一修多修正项3" localSheetId="46">典型户型修正办公!$7:$7</definedName>
    <definedName name="一修多修正项3">典型户型修正商业!$7:$7</definedName>
    <definedName name="一修多修正项4" localSheetId="46">典型户型修正办公!$9:$9</definedName>
    <definedName name="一修多修正项4">典型户型修正商业!$9:$9</definedName>
    <definedName name="一修多修正项5" localSheetId="46">典型户型修正办公!$11:$11</definedName>
    <definedName name="一修多修正项5">典型户型修正商业!$11:$11</definedName>
    <definedName name="一修多修正项6" localSheetId="46">典型户型修正办公!$13:$13</definedName>
    <definedName name="一修多修正项6">典型户型修正商业!$13:$13</definedName>
    <definedName name="一修多修正项7" localSheetId="46">典型户型修正办公!$15:$15</definedName>
    <definedName name="一修多修正项7">典型户型修正商业!$15:$15</definedName>
    <definedName name="一修多修正项8" localSheetId="46">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5" i="34" l="1"/>
  <c r="G5" i="34"/>
  <c r="E5" i="34"/>
  <c r="I15" i="77"/>
  <c r="I21" i="77"/>
  <c r="K21" i="77"/>
  <c r="K20" i="77"/>
  <c r="I20" i="77"/>
  <c r="I22" i="77"/>
  <c r="H13" i="77"/>
  <c r="G13" i="77"/>
  <c r="H12" i="77"/>
  <c r="G12" i="77"/>
  <c r="H11" i="77"/>
  <c r="G11" i="77"/>
  <c r="H10" i="77"/>
  <c r="G10" i="77"/>
  <c r="H9" i="77"/>
  <c r="G9" i="77"/>
  <c r="I9" i="77"/>
  <c r="K31" i="77"/>
  <c r="I34" i="77"/>
  <c r="P17" i="77"/>
  <c r="I31" i="77"/>
  <c r="H31" i="77"/>
  <c r="C15" i="74"/>
  <c r="B15" i="74"/>
  <c r="H21" i="77"/>
  <c r="H20" i="77"/>
  <c r="D4" i="31"/>
  <c r="E4" i="31"/>
  <c r="F4" i="31"/>
  <c r="G4" i="31"/>
  <c r="H4" i="31"/>
  <c r="I4" i="31"/>
  <c r="B26" i="31"/>
  <c r="B27" i="31"/>
  <c r="B28" i="31"/>
  <c r="B29" i="31"/>
  <c r="B30" i="31"/>
  <c r="B31" i="31"/>
  <c r="A31" i="31"/>
  <c r="A30" i="31"/>
  <c r="A29" i="31"/>
  <c r="A28" i="31"/>
  <c r="A27" i="31"/>
  <c r="A26" i="31"/>
  <c r="B25" i="31"/>
  <c r="A25" i="31"/>
  <c r="B24" i="31"/>
  <c r="A24" i="31"/>
  <c r="E104" i="33"/>
  <c r="F104" i="33"/>
  <c r="G104" i="33"/>
  <c r="H104" i="33"/>
  <c r="I104" i="33"/>
  <c r="D104" i="33"/>
  <c r="C33" i="33"/>
  <c r="I47" i="33"/>
  <c r="G47" i="33"/>
  <c r="E47" i="33"/>
  <c r="I33" i="33"/>
  <c r="G33" i="33"/>
  <c r="E33" i="33"/>
  <c r="I5" i="33"/>
  <c r="G5" i="33"/>
  <c r="E5" i="33"/>
  <c r="M7" i="77"/>
  <c r="N6" i="1"/>
  <c r="Y7" i="1"/>
  <c r="R524" i="80"/>
  <c r="S524" i="80"/>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S26" i="80"/>
  <c r="R26" i="80"/>
  <c r="Q26" i="80"/>
  <c r="O26" i="80"/>
  <c r="M26" i="80"/>
  <c r="K26" i="80"/>
  <c r="I26" i="80"/>
  <c r="G26" i="80"/>
  <c r="E26" i="80"/>
  <c r="C26" i="80"/>
  <c r="S25" i="80"/>
  <c r="R25" i="80"/>
  <c r="Q25" i="80"/>
  <c r="O25" i="80"/>
  <c r="M25" i="80"/>
  <c r="K25" i="80"/>
  <c r="I25" i="80"/>
  <c r="G25" i="80"/>
  <c r="E25" i="80"/>
  <c r="C25" i="80"/>
  <c r="S24"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Q72" i="79"/>
  <c r="Q59" i="79"/>
  <c r="K59" i="79"/>
  <c r="P61" i="79"/>
  <c r="Q58" i="79"/>
  <c r="Q51" i="79"/>
  <c r="J50" i="79"/>
  <c r="F20" i="80"/>
  <c r="C36" i="33"/>
  <c r="P74" i="79"/>
  <c r="S22" i="80"/>
  <c r="Y6" i="1"/>
  <c r="C37" i="34"/>
  <c r="N7" i="1"/>
  <c r="M47" i="79"/>
  <c r="R22" i="80"/>
  <c r="B21" i="80"/>
  <c r="B20" i="80"/>
  <c r="D46" i="79"/>
  <c r="F33" i="79"/>
  <c r="F61" i="79"/>
  <c r="F23" i="79"/>
  <c r="D24" i="79"/>
  <c r="D23" i="79"/>
  <c r="D22" i="79"/>
  <c r="F21" i="79"/>
  <c r="F20" i="79"/>
  <c r="M19" i="79"/>
  <c r="F18" i="79"/>
  <c r="F17" i="79"/>
  <c r="F15" i="79"/>
  <c r="G8" i="77"/>
  <c r="I8" i="77"/>
  <c r="U2" i="43"/>
  <c r="G7" i="77"/>
  <c r="I7" i="77"/>
  <c r="M15" i="3"/>
  <c r="G19" i="6"/>
  <c r="F2" i="77"/>
  <c r="E2" i="77"/>
  <c r="C156" i="78"/>
  <c r="C155" i="78"/>
  <c r="C154" i="78"/>
  <c r="C153" i="78"/>
  <c r="C152" i="78"/>
  <c r="C151" i="78"/>
  <c r="C150" i="78"/>
  <c r="C149" i="78"/>
  <c r="C148" i="78"/>
  <c r="C147" i="78"/>
  <c r="C146" i="78"/>
  <c r="C145" i="78"/>
  <c r="C144" i="78"/>
  <c r="C143" i="78"/>
  <c r="C142" i="78"/>
  <c r="C141" i="78"/>
  <c r="F140" i="78"/>
  <c r="E140" i="78"/>
  <c r="AC140" i="78"/>
  <c r="C140" i="78"/>
  <c r="F139" i="78"/>
  <c r="E139" i="78"/>
  <c r="AC139" i="78"/>
  <c r="C139" i="78"/>
  <c r="F138" i="78"/>
  <c r="E138" i="78"/>
  <c r="AC138" i="78"/>
  <c r="C138" i="78"/>
  <c r="F137" i="78"/>
  <c r="E137" i="78"/>
  <c r="AC137" i="78"/>
  <c r="C137" i="78"/>
  <c r="F136" i="78"/>
  <c r="E136" i="78"/>
  <c r="AC136" i="78"/>
  <c r="C136" i="78"/>
  <c r="F135" i="78"/>
  <c r="E135" i="78"/>
  <c r="AC135" i="78"/>
  <c r="C135" i="78"/>
  <c r="F134" i="78"/>
  <c r="E134" i="78"/>
  <c r="AC134" i="78"/>
  <c r="C134" i="78"/>
  <c r="F133" i="78"/>
  <c r="E133" i="78"/>
  <c r="AC133" i="78"/>
  <c r="C133" i="78"/>
  <c r="F132" i="78"/>
  <c r="E132" i="78"/>
  <c r="AC132" i="78"/>
  <c r="C132" i="78"/>
  <c r="F131" i="78"/>
  <c r="E131" i="78"/>
  <c r="AC131" i="78"/>
  <c r="C131" i="78"/>
  <c r="F130" i="78"/>
  <c r="E130" i="78"/>
  <c r="AC130" i="78"/>
  <c r="C130" i="78"/>
  <c r="F129" i="78"/>
  <c r="E129" i="78"/>
  <c r="AC129" i="78"/>
  <c r="C129" i="78"/>
  <c r="F128" i="78"/>
  <c r="E128" i="78"/>
  <c r="AC128" i="78"/>
  <c r="C128" i="78"/>
  <c r="F127" i="78"/>
  <c r="E127" i="78"/>
  <c r="AC127" i="78"/>
  <c r="C127" i="78"/>
  <c r="F126" i="78"/>
  <c r="E126" i="78"/>
  <c r="AC126" i="78"/>
  <c r="C126" i="78"/>
  <c r="F125" i="78"/>
  <c r="E125" i="78"/>
  <c r="AC125" i="78"/>
  <c r="C125" i="78"/>
  <c r="F124" i="78"/>
  <c r="E124" i="78"/>
  <c r="AC124" i="78"/>
  <c r="C124" i="78"/>
  <c r="F123" i="78"/>
  <c r="E123" i="78"/>
  <c r="AC123" i="78"/>
  <c r="C123" i="78"/>
  <c r="F122" i="78"/>
  <c r="E122" i="78"/>
  <c r="AC122" i="78"/>
  <c r="C122" i="78"/>
  <c r="F121" i="78"/>
  <c r="E121" i="78"/>
  <c r="AC121" i="78"/>
  <c r="C121" i="78"/>
  <c r="F120" i="78"/>
  <c r="E120" i="78"/>
  <c r="AC120" i="78"/>
  <c r="C120" i="78"/>
  <c r="F119" i="78"/>
  <c r="E119" i="78"/>
  <c r="AC119" i="78"/>
  <c r="C119" i="78"/>
  <c r="F118" i="78"/>
  <c r="E118" i="78"/>
  <c r="AC118" i="78"/>
  <c r="C118" i="78"/>
  <c r="F117" i="78"/>
  <c r="E117" i="78"/>
  <c r="AC117" i="78"/>
  <c r="C117" i="78"/>
  <c r="F116" i="78"/>
  <c r="E116" i="78"/>
  <c r="AC116" i="78"/>
  <c r="C116" i="78"/>
  <c r="F115" i="78"/>
  <c r="E115" i="78"/>
  <c r="AC115" i="78"/>
  <c r="C115" i="78"/>
  <c r="F114" i="78"/>
  <c r="E114" i="78"/>
  <c r="AC114" i="78"/>
  <c r="C114" i="78"/>
  <c r="F113" i="78"/>
  <c r="E113" i="78"/>
  <c r="AC113" i="78"/>
  <c r="C113" i="78"/>
  <c r="F112" i="78"/>
  <c r="E112" i="78"/>
  <c r="AC112" i="78"/>
  <c r="C112" i="78"/>
  <c r="F111" i="78"/>
  <c r="E111" i="78"/>
  <c r="AC111" i="78"/>
  <c r="C111" i="78"/>
  <c r="F110" i="78"/>
  <c r="E110" i="78"/>
  <c r="AC110" i="78"/>
  <c r="C110" i="78"/>
  <c r="F109" i="78"/>
  <c r="E109" i="78"/>
  <c r="AC109" i="78"/>
  <c r="C109" i="78"/>
  <c r="F108" i="78"/>
  <c r="E108" i="78"/>
  <c r="AC108" i="78"/>
  <c r="C108" i="78"/>
  <c r="F107" i="78"/>
  <c r="E107" i="78"/>
  <c r="AC107" i="78"/>
  <c r="C107" i="78"/>
  <c r="F106" i="78"/>
  <c r="E106" i="78"/>
  <c r="AC106" i="78"/>
  <c r="C106" i="78"/>
  <c r="F105" i="78"/>
  <c r="E105" i="78"/>
  <c r="AC105" i="78"/>
  <c r="C105" i="78"/>
  <c r="F104" i="78"/>
  <c r="E104" i="78"/>
  <c r="AC104" i="78"/>
  <c r="C104" i="78"/>
  <c r="F103" i="78"/>
  <c r="E103" i="78"/>
  <c r="AC103" i="78"/>
  <c r="C103" i="78"/>
  <c r="F102" i="78"/>
  <c r="E102" i="78"/>
  <c r="AC102" i="78"/>
  <c r="C102" i="78"/>
  <c r="F101" i="78"/>
  <c r="E101" i="78"/>
  <c r="AC101" i="78"/>
  <c r="C101" i="78"/>
  <c r="F100" i="78"/>
  <c r="E100" i="78"/>
  <c r="AC100" i="78"/>
  <c r="C100" i="78"/>
  <c r="F99" i="78"/>
  <c r="E99" i="78"/>
  <c r="AC99" i="78"/>
  <c r="C99" i="78"/>
  <c r="F98" i="78"/>
  <c r="E98" i="78"/>
  <c r="AC98" i="78"/>
  <c r="C98" i="78"/>
  <c r="F97" i="78"/>
  <c r="E97" i="78"/>
  <c r="AC97" i="78"/>
  <c r="C97" i="78"/>
  <c r="F96" i="78"/>
  <c r="E96" i="78"/>
  <c r="AC96" i="78"/>
  <c r="C96" i="78"/>
  <c r="F95" i="78"/>
  <c r="E95" i="78"/>
  <c r="AC95" i="78"/>
  <c r="C95" i="78"/>
  <c r="F94" i="78"/>
  <c r="E94" i="78"/>
  <c r="AC94" i="78"/>
  <c r="C94" i="78"/>
  <c r="F93" i="78"/>
  <c r="E93" i="78"/>
  <c r="AC93" i="78"/>
  <c r="C93" i="78"/>
  <c r="F92" i="78"/>
  <c r="E92" i="78"/>
  <c r="AC92" i="78"/>
  <c r="C92" i="78"/>
  <c r="F91" i="78"/>
  <c r="E91" i="78"/>
  <c r="AC91" i="78"/>
  <c r="C91" i="78"/>
  <c r="F90" i="78"/>
  <c r="E90" i="78"/>
  <c r="AC90" i="78"/>
  <c r="C90" i="78"/>
  <c r="F89" i="78"/>
  <c r="E89" i="78"/>
  <c r="AC89" i="78"/>
  <c r="C89" i="78"/>
  <c r="F88" i="78"/>
  <c r="E88" i="78"/>
  <c r="AC88" i="78"/>
  <c r="C88" i="78"/>
  <c r="F87" i="78"/>
  <c r="E87" i="78"/>
  <c r="AC87" i="78"/>
  <c r="C87" i="78"/>
  <c r="F86" i="78"/>
  <c r="E86" i="78"/>
  <c r="AC86" i="78"/>
  <c r="C86" i="78"/>
  <c r="F85" i="78"/>
  <c r="E85" i="78"/>
  <c r="AC85" i="78"/>
  <c r="C85" i="78"/>
  <c r="F84" i="78"/>
  <c r="E84" i="78"/>
  <c r="AC84" i="78"/>
  <c r="C84" i="78"/>
  <c r="F83" i="78"/>
  <c r="E83" i="78"/>
  <c r="AC83" i="78"/>
  <c r="C83" i="78"/>
  <c r="F82" i="78"/>
  <c r="E82" i="78"/>
  <c r="AC82" i="78"/>
  <c r="C82" i="78"/>
  <c r="F81" i="78"/>
  <c r="E81" i="78"/>
  <c r="AC81" i="78"/>
  <c r="C81" i="78"/>
  <c r="F80" i="78"/>
  <c r="E80" i="78"/>
  <c r="AC80" i="78"/>
  <c r="C80" i="78"/>
  <c r="F79" i="78"/>
  <c r="E79" i="78"/>
  <c r="AC79" i="78"/>
  <c r="C79" i="78"/>
  <c r="F78" i="78"/>
  <c r="E78" i="78"/>
  <c r="AC78" i="78"/>
  <c r="C78" i="78"/>
  <c r="F77" i="78"/>
  <c r="E77" i="78"/>
  <c r="AC77" i="78"/>
  <c r="C77" i="78"/>
  <c r="F76" i="78"/>
  <c r="E76" i="78"/>
  <c r="AC76" i="78"/>
  <c r="C76" i="78"/>
  <c r="F75" i="78"/>
  <c r="E75" i="78"/>
  <c r="AC75" i="78"/>
  <c r="C75" i="78"/>
  <c r="F74" i="78"/>
  <c r="E74" i="78"/>
  <c r="AC74" i="78"/>
  <c r="C74" i="78"/>
  <c r="F73" i="78"/>
  <c r="E73" i="78"/>
  <c r="AC73" i="78"/>
  <c r="C73" i="78"/>
  <c r="F72" i="78"/>
  <c r="E72" i="78"/>
  <c r="AC72" i="78"/>
  <c r="C72" i="78"/>
  <c r="F71" i="78"/>
  <c r="E71" i="78"/>
  <c r="AC71" i="78"/>
  <c r="C71" i="78"/>
  <c r="F70" i="78"/>
  <c r="E70" i="78"/>
  <c r="AC70" i="78"/>
  <c r="C70" i="78"/>
  <c r="F69" i="78"/>
  <c r="E69" i="78"/>
  <c r="AC69" i="78"/>
  <c r="C69" i="78"/>
  <c r="F68" i="78"/>
  <c r="E68" i="78"/>
  <c r="AC68" i="78"/>
  <c r="C68" i="78"/>
  <c r="F67" i="78"/>
  <c r="E67" i="78"/>
  <c r="AC67" i="78"/>
  <c r="C67" i="78"/>
  <c r="F66" i="78"/>
  <c r="E66" i="78"/>
  <c r="AC66" i="78"/>
  <c r="C66" i="78"/>
  <c r="F65" i="78"/>
  <c r="E65" i="78"/>
  <c r="AC65" i="78"/>
  <c r="C65" i="78"/>
  <c r="F64" i="78"/>
  <c r="E64" i="78"/>
  <c r="AC64" i="78"/>
  <c r="C64" i="78"/>
  <c r="F63" i="78"/>
  <c r="E63" i="78"/>
  <c r="AC63" i="78"/>
  <c r="C63" i="78"/>
  <c r="F62" i="78"/>
  <c r="E62" i="78"/>
  <c r="AC62" i="78"/>
  <c r="C62" i="78"/>
  <c r="F61" i="78"/>
  <c r="E61" i="78"/>
  <c r="AC61" i="78"/>
  <c r="C61" i="78"/>
  <c r="F60" i="78"/>
  <c r="E60" i="78"/>
  <c r="AC60" i="78"/>
  <c r="C60" i="78"/>
  <c r="F59" i="78"/>
  <c r="E59" i="78"/>
  <c r="AC59" i="78"/>
  <c r="C59" i="78"/>
  <c r="F58" i="78"/>
  <c r="E58" i="78"/>
  <c r="AC58" i="78"/>
  <c r="C58" i="78"/>
  <c r="F57" i="78"/>
  <c r="E57" i="78"/>
  <c r="AC57" i="78"/>
  <c r="C57" i="78"/>
  <c r="F56" i="78"/>
  <c r="E56" i="78"/>
  <c r="AC56" i="78"/>
  <c r="C56" i="78"/>
  <c r="F55" i="78"/>
  <c r="E55" i="78"/>
  <c r="AC55" i="78"/>
  <c r="C55" i="78"/>
  <c r="F54" i="78"/>
  <c r="E54" i="78"/>
  <c r="AC54" i="78"/>
  <c r="C54" i="78"/>
  <c r="F53" i="78"/>
  <c r="E53" i="78"/>
  <c r="AC53" i="78"/>
  <c r="C53" i="78"/>
  <c r="F52" i="78"/>
  <c r="E52" i="78"/>
  <c r="AC52" i="78"/>
  <c r="C52" i="78"/>
  <c r="F51" i="78"/>
  <c r="E51" i="78"/>
  <c r="AC51" i="78"/>
  <c r="C51" i="78"/>
  <c r="F50" i="78"/>
  <c r="E50" i="78"/>
  <c r="AC50" i="78"/>
  <c r="C50" i="78"/>
  <c r="F49" i="78"/>
  <c r="E49" i="78"/>
  <c r="AC49" i="78"/>
  <c r="C49" i="78"/>
  <c r="F48" i="78"/>
  <c r="E48" i="78"/>
  <c r="AC48" i="78"/>
  <c r="C48" i="78"/>
  <c r="F47" i="78"/>
  <c r="E47" i="78"/>
  <c r="AC47" i="78"/>
  <c r="C47" i="78"/>
  <c r="F46" i="78"/>
  <c r="E46" i="78"/>
  <c r="AC46" i="78"/>
  <c r="C46" i="78"/>
  <c r="F45" i="78"/>
  <c r="E45" i="78"/>
  <c r="AC45" i="78"/>
  <c r="C45" i="78"/>
  <c r="F44" i="78"/>
  <c r="E44" i="78"/>
  <c r="AC44" i="78"/>
  <c r="C44" i="78"/>
  <c r="F43" i="78"/>
  <c r="E43" i="78"/>
  <c r="AC43" i="78"/>
  <c r="C43" i="78"/>
  <c r="F42" i="78"/>
  <c r="E42" i="78"/>
  <c r="AC42" i="78"/>
  <c r="C42" i="78"/>
  <c r="F41" i="78"/>
  <c r="E41" i="78"/>
  <c r="AC41" i="78"/>
  <c r="C41" i="78"/>
  <c r="F40" i="78"/>
  <c r="E40" i="78"/>
  <c r="AC40" i="78"/>
  <c r="C40" i="78"/>
  <c r="F39" i="78"/>
  <c r="E39" i="78"/>
  <c r="AC39" i="78"/>
  <c r="C39" i="78"/>
  <c r="F38" i="78"/>
  <c r="E38" i="78"/>
  <c r="AC38" i="78"/>
  <c r="C38" i="78"/>
  <c r="F37" i="78"/>
  <c r="E37" i="78"/>
  <c r="AC37" i="78"/>
  <c r="C37" i="78"/>
  <c r="F36" i="78"/>
  <c r="E36" i="78"/>
  <c r="AC36" i="78"/>
  <c r="C36" i="78"/>
  <c r="F35" i="78"/>
  <c r="E35" i="78"/>
  <c r="AC35" i="78"/>
  <c r="C35" i="78"/>
  <c r="F34" i="78"/>
  <c r="E34" i="78"/>
  <c r="AC34" i="78"/>
  <c r="C34" i="78"/>
  <c r="F33" i="78"/>
  <c r="E33" i="78"/>
  <c r="AC33" i="78"/>
  <c r="C33" i="78"/>
  <c r="F32" i="78"/>
  <c r="E32" i="78"/>
  <c r="AC32" i="78"/>
  <c r="C32" i="78"/>
  <c r="F31" i="78"/>
  <c r="E31" i="78"/>
  <c r="AC31" i="78"/>
  <c r="C31" i="78"/>
  <c r="F30" i="78"/>
  <c r="E30" i="78"/>
  <c r="AC30" i="78"/>
  <c r="C30" i="78"/>
  <c r="F29" i="78"/>
  <c r="E29" i="78"/>
  <c r="AC29" i="78"/>
  <c r="C29" i="78"/>
  <c r="F28" i="78"/>
  <c r="E28" i="78"/>
  <c r="AC28" i="78"/>
  <c r="C28" i="78"/>
  <c r="F27" i="78"/>
  <c r="E27" i="78"/>
  <c r="AC27" i="78"/>
  <c r="C27" i="78"/>
  <c r="F26" i="78"/>
  <c r="E26" i="78"/>
  <c r="AC26" i="78"/>
  <c r="C26" i="78"/>
  <c r="F25" i="78"/>
  <c r="E25" i="78"/>
  <c r="AC25" i="78"/>
  <c r="C25" i="78"/>
  <c r="F24" i="78"/>
  <c r="E24" i="78"/>
  <c r="AC24" i="78"/>
  <c r="C24" i="78"/>
  <c r="F23" i="78"/>
  <c r="E23" i="78"/>
  <c r="AC23" i="78"/>
  <c r="C23" i="78"/>
  <c r="F22" i="78"/>
  <c r="E22" i="78"/>
  <c r="AC22" i="78"/>
  <c r="C22" i="78"/>
  <c r="F21" i="78"/>
  <c r="E21" i="78"/>
  <c r="AC21" i="78"/>
  <c r="C21" i="78"/>
  <c r="F20" i="78"/>
  <c r="E20" i="78"/>
  <c r="AC20" i="78"/>
  <c r="C20" i="78"/>
  <c r="F19" i="78"/>
  <c r="E19" i="78"/>
  <c r="AC19" i="78"/>
  <c r="C19" i="78"/>
  <c r="F18" i="78"/>
  <c r="E18" i="78"/>
  <c r="AC18" i="78"/>
  <c r="C18" i="78"/>
  <c r="F17" i="78"/>
  <c r="E17" i="78"/>
  <c r="AC17" i="78"/>
  <c r="C17" i="78"/>
  <c r="F16" i="78"/>
  <c r="E16" i="78"/>
  <c r="AC16" i="78"/>
  <c r="C16" i="78"/>
  <c r="F15" i="78"/>
  <c r="E15" i="78"/>
  <c r="AC15" i="78"/>
  <c r="C15" i="78"/>
  <c r="F14" i="78"/>
  <c r="E14" i="78"/>
  <c r="AC14" i="78"/>
  <c r="C14" i="78"/>
  <c r="F13" i="78"/>
  <c r="E13" i="78"/>
  <c r="AC13" i="78"/>
  <c r="C13" i="78"/>
  <c r="F12" i="78"/>
  <c r="E12" i="78"/>
  <c r="AC12" i="78"/>
  <c r="C12" i="78"/>
  <c r="F11" i="78"/>
  <c r="E11" i="78"/>
  <c r="AC11" i="78"/>
  <c r="C11" i="78"/>
  <c r="F10" i="78"/>
  <c r="E10" i="78"/>
  <c r="AC10" i="78"/>
  <c r="C10" i="78"/>
  <c r="F9" i="78"/>
  <c r="E9" i="78"/>
  <c r="AC9" i="78"/>
  <c r="C9" i="78"/>
  <c r="F8" i="78"/>
  <c r="E8" i="78"/>
  <c r="AC8" i="78"/>
  <c r="C8" i="78"/>
  <c r="F7" i="78"/>
  <c r="E7" i="78"/>
  <c r="AC7" i="78"/>
  <c r="C7" i="78"/>
  <c r="F6" i="78"/>
  <c r="E6" i="78"/>
  <c r="AC6" i="78"/>
  <c r="C6" i="78"/>
  <c r="F5" i="78"/>
  <c r="E5" i="78"/>
  <c r="AC5" i="78"/>
  <c r="C5" i="78"/>
  <c r="F4" i="78"/>
  <c r="E4" i="78"/>
  <c r="AC4" i="78"/>
  <c r="C4" i="78"/>
  <c r="F3" i="78"/>
  <c r="E3" i="78"/>
  <c r="AC3" i="78"/>
  <c r="C3" i="78"/>
  <c r="F2" i="78"/>
  <c r="E2" i="78"/>
  <c r="AC2" i="78"/>
  <c r="C2" i="78"/>
  <c r="C445" i="77"/>
  <c r="G14" i="77"/>
  <c r="I14" i="77"/>
  <c r="U8" i="43"/>
  <c r="C397" i="77"/>
  <c r="C348" i="77"/>
  <c r="C250" i="77"/>
  <c r="C299" i="77"/>
  <c r="C201" i="77"/>
  <c r="C172" i="77"/>
  <c r="C137" i="77"/>
  <c r="C446" i="77"/>
  <c r="C105" i="77"/>
  <c r="C99" i="77"/>
  <c r="C86" i="77"/>
  <c r="C60" i="77"/>
  <c r="C33" i="77"/>
  <c r="C17" i="77"/>
  <c r="C106" i="77"/>
  <c r="G2" i="77"/>
  <c r="I12" i="77"/>
  <c r="U6" i="43"/>
  <c r="I11" i="77"/>
  <c r="U5" i="43"/>
  <c r="I13" i="77"/>
  <c r="U7" i="43"/>
  <c r="E157" i="78"/>
  <c r="I10" i="77"/>
  <c r="I2" i="77"/>
  <c r="A3" i="3"/>
  <c r="D7" i="71"/>
  <c r="AH5" i="71"/>
  <c r="AG5" i="71"/>
  <c r="AE5" i="71"/>
  <c r="AF5" i="71"/>
  <c r="AD5" i="71"/>
  <c r="Q5" i="71"/>
  <c r="P5" i="71"/>
  <c r="O5" i="71"/>
  <c r="N5" i="71"/>
  <c r="L3" i="71"/>
  <c r="K3" i="71"/>
  <c r="I3" i="71"/>
  <c r="J3" i="71"/>
  <c r="AD6" i="71"/>
  <c r="AG6" i="71"/>
  <c r="AH6" i="71"/>
  <c r="AE6" i="71"/>
  <c r="AF6" i="71"/>
  <c r="N6" i="71"/>
  <c r="Q6" i="71"/>
  <c r="P6" i="71"/>
  <c r="O6" i="71"/>
  <c r="C6" i="71"/>
  <c r="T6" i="71"/>
  <c r="Q7" i="71"/>
  <c r="F6" i="71"/>
  <c r="F5" i="71"/>
  <c r="P7" i="71"/>
  <c r="E6" i="71"/>
  <c r="E5" i="71"/>
  <c r="O7" i="71"/>
  <c r="N7" i="71"/>
  <c r="B6" i="71"/>
  <c r="S6" i="71"/>
  <c r="V6" i="71"/>
  <c r="D6" i="71"/>
  <c r="U6" i="71"/>
  <c r="C5" i="71"/>
  <c r="D5"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8" i="71"/>
  <c r="P8" i="71"/>
  <c r="O8" i="71"/>
  <c r="N8"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K49" i="9"/>
  <c r="E107" i="9"/>
  <c r="A122" i="9"/>
  <c r="A8" i="52"/>
  <c r="B54" i="72"/>
  <c r="E111" i="9"/>
  <c r="A126" i="9"/>
  <c r="A12" i="52"/>
  <c r="B56" i="72"/>
  <c r="E109" i="9"/>
  <c r="A124" i="9"/>
  <c r="A10" i="52"/>
  <c r="B55" i="72"/>
  <c r="B44" i="72"/>
  <c r="B42" i="72"/>
  <c r="B69" i="72"/>
  <c r="B68" i="72"/>
  <c r="B63" i="72"/>
  <c r="B62" i="72"/>
  <c r="B16" i="72"/>
  <c r="B65"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D47" i="71"/>
  <c r="Q46" i="71"/>
  <c r="P46" i="71"/>
  <c r="O46" i="71"/>
  <c r="N46" i="71"/>
  <c r="Q45" i="71"/>
  <c r="P45" i="71"/>
  <c r="O45" i="71"/>
  <c r="N45" i="71"/>
  <c r="Q44" i="71"/>
  <c r="P44" i="71"/>
  <c r="O44" i="71"/>
  <c r="N44" i="71"/>
  <c r="Q43" i="71"/>
  <c r="F44" i="71"/>
  <c r="F45" i="71"/>
  <c r="F46" i="71"/>
  <c r="V46" i="71"/>
  <c r="P43" i="71"/>
  <c r="E44" i="71"/>
  <c r="O43" i="71"/>
  <c r="C44" i="71"/>
  <c r="N43" i="71"/>
  <c r="B44" i="71"/>
  <c r="D43" i="71"/>
  <c r="Q42" i="71"/>
  <c r="P42" i="71"/>
  <c r="O42" i="71"/>
  <c r="N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B20" i="71"/>
  <c r="D19" i="71"/>
  <c r="Q18" i="71"/>
  <c r="P18" i="71"/>
  <c r="O18" i="71"/>
  <c r="Y18" i="71"/>
  <c r="Z18" i="71"/>
  <c r="N18" i="71"/>
  <c r="Q17" i="71"/>
  <c r="AB17" i="71"/>
  <c r="P17" i="71"/>
  <c r="O17" i="71"/>
  <c r="N17" i="71"/>
  <c r="Q16" i="71"/>
  <c r="P16" i="71"/>
  <c r="AA16" i="71"/>
  <c r="O16" i="71"/>
  <c r="Y16" i="71"/>
  <c r="Z16" i="71"/>
  <c r="N16" i="71"/>
  <c r="Q15" i="71"/>
  <c r="F16" i="71"/>
  <c r="F17" i="71"/>
  <c r="F18" i="71"/>
  <c r="V18" i="71"/>
  <c r="P15" i="71"/>
  <c r="O15" i="71"/>
  <c r="N15" i="71"/>
  <c r="D15" i="71"/>
  <c r="Q14" i="71"/>
  <c r="P14" i="71"/>
  <c r="O14" i="71"/>
  <c r="Y14" i="71"/>
  <c r="Z14" i="71"/>
  <c r="N14" i="71"/>
  <c r="Q13" i="71"/>
  <c r="AB13" i="71"/>
  <c r="P13" i="71"/>
  <c r="O13" i="71"/>
  <c r="N13" i="71"/>
  <c r="Q12" i="71"/>
  <c r="P12" i="71"/>
  <c r="O12" i="71"/>
  <c r="Y12" i="71"/>
  <c r="Z12" i="71"/>
  <c r="N12" i="71"/>
  <c r="X12" i="71"/>
  <c r="Q11" i="71"/>
  <c r="F12" i="71"/>
  <c r="F13" i="71"/>
  <c r="F14" i="71"/>
  <c r="V14" i="71"/>
  <c r="P11" i="71"/>
  <c r="E12" i="71"/>
  <c r="E13" i="71"/>
  <c r="E14" i="71"/>
  <c r="U14" i="71"/>
  <c r="O11" i="71"/>
  <c r="N11" i="71"/>
  <c r="X7" i="71"/>
  <c r="D11" i="71"/>
  <c r="O10" i="71"/>
  <c r="C10" i="71"/>
  <c r="N10" i="71"/>
  <c r="B12" i="71"/>
  <c r="B13" i="71"/>
  <c r="B14" i="71"/>
  <c r="S14" i="71"/>
  <c r="X11" i="71"/>
  <c r="B16" i="71"/>
  <c r="B17" i="71"/>
  <c r="B18" i="71"/>
  <c r="S18" i="71"/>
  <c r="X15" i="71"/>
  <c r="E20" i="71"/>
  <c r="E21" i="71"/>
  <c r="E22" i="71"/>
  <c r="U22" i="71"/>
  <c r="AA19" i="71"/>
  <c r="N50" i="71"/>
  <c r="E16" i="71"/>
  <c r="E17" i="71"/>
  <c r="E18" i="71"/>
  <c r="U18" i="71"/>
  <c r="AA15" i="71"/>
  <c r="C12" i="71"/>
  <c r="Y11" i="71"/>
  <c r="Z11" i="71"/>
  <c r="AB11" i="71"/>
  <c r="AA12" i="71"/>
  <c r="AA13" i="71"/>
  <c r="AA14" i="71"/>
  <c r="C16" i="71"/>
  <c r="C17" i="71"/>
  <c r="C18" i="71"/>
  <c r="X16" i="71"/>
  <c r="X17" i="71"/>
  <c r="AA17" i="71"/>
  <c r="X18" i="71"/>
  <c r="AA18" i="71"/>
  <c r="C20" i="71"/>
  <c r="C21" i="71"/>
  <c r="Y19" i="71"/>
  <c r="Z19" i="71"/>
  <c r="AB19" i="71"/>
  <c r="X20" i="71"/>
  <c r="AA20" i="71"/>
  <c r="F33" i="71"/>
  <c r="F34" i="71"/>
  <c r="V34" i="71"/>
  <c r="Y3" i="71"/>
  <c r="Z3" i="71"/>
  <c r="Y7" i="71"/>
  <c r="Z7" i="71"/>
  <c r="Y8" i="71"/>
  <c r="Z8" i="71"/>
  <c r="Y9" i="71"/>
  <c r="Z9" i="71"/>
  <c r="Y10" i="71"/>
  <c r="Z10" i="71"/>
  <c r="B10" i="71"/>
  <c r="B9" i="71"/>
  <c r="B8" i="71"/>
  <c r="X8" i="71"/>
  <c r="X3" i="71"/>
  <c r="C13" i="71"/>
  <c r="C14" i="71"/>
  <c r="D12" i="71"/>
  <c r="D16" i="71"/>
  <c r="D20" i="71"/>
  <c r="C25" i="71"/>
  <c r="D24" i="71"/>
  <c r="C33" i="71"/>
  <c r="C34" i="71"/>
  <c r="D32" i="71"/>
  <c r="P10" i="71"/>
  <c r="E10" i="71"/>
  <c r="E45" i="71"/>
  <c r="E46" i="71"/>
  <c r="U46" i="71"/>
  <c r="Q47" i="71"/>
  <c r="U50" i="71"/>
  <c r="E49" i="71"/>
  <c r="P49" i="71"/>
  <c r="Q10" i="71"/>
  <c r="C37" i="71"/>
  <c r="C38" i="71"/>
  <c r="D36" i="71"/>
  <c r="C45" i="71"/>
  <c r="D45" i="71"/>
  <c r="D44" i="71"/>
  <c r="Q49"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S10" i="71"/>
  <c r="F10" i="71"/>
  <c r="F9" i="71"/>
  <c r="F8" i="71"/>
  <c r="AB3" i="71"/>
  <c r="AB7" i="71"/>
  <c r="AB8" i="71"/>
  <c r="AB9" i="71"/>
  <c r="AB10" i="71"/>
  <c r="AA3" i="71"/>
  <c r="AA8" i="71"/>
  <c r="AA10" i="71"/>
  <c r="O49" i="71"/>
  <c r="C46" i="71"/>
  <c r="D46" i="71"/>
  <c r="D65" i="71"/>
  <c r="C56" i="71"/>
  <c r="D56" i="71"/>
  <c r="D69" i="71"/>
  <c r="C68" i="71"/>
  <c r="D68" i="71"/>
  <c r="C60" i="71"/>
  <c r="D60" i="71"/>
  <c r="D53" i="71"/>
  <c r="D37" i="71"/>
  <c r="E48" i="71"/>
  <c r="P47" i="71"/>
  <c r="D33" i="71"/>
  <c r="C26" i="71"/>
  <c r="T26" i="71"/>
  <c r="D25" i="71"/>
  <c r="D17" i="71"/>
  <c r="D13" i="71"/>
  <c r="P4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S21" i="33"/>
  <c r="E83" i="21"/>
  <c r="F83" i="21"/>
  <c r="S21" i="21"/>
  <c r="H1" i="69"/>
  <c r="AC25" i="40"/>
  <c r="W25" i="40"/>
  <c r="AB25" i="40"/>
  <c r="U25" i="40"/>
  <c r="AB29" i="39"/>
  <c r="U29" i="39"/>
  <c r="W29" i="39"/>
  <c r="W18" i="36"/>
  <c r="AB21" i="37"/>
  <c r="U21" i="37"/>
  <c r="S21" i="37"/>
  <c r="U21" i="34"/>
  <c r="AA21" i="33"/>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AC21" i="21"/>
  <c r="F38" i="68"/>
  <c r="E37" i="68"/>
  <c r="F36" i="68"/>
  <c r="F35" i="68"/>
  <c r="F21" i="68"/>
  <c r="F20" i="68"/>
  <c r="E10" i="68"/>
  <c r="E9"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M53" i="43"/>
  <c r="N53" i="43"/>
  <c r="K53" i="43"/>
  <c r="J53" i="43"/>
  <c r="M52" i="43"/>
  <c r="N52" i="43"/>
  <c r="K52" i="43"/>
  <c r="J52" i="43"/>
  <c r="D52" i="43"/>
  <c r="M51" i="43"/>
  <c r="N51" i="43"/>
  <c r="K51" i="43"/>
  <c r="J51" i="43"/>
  <c r="M50" i="43"/>
  <c r="N50" i="43"/>
  <c r="K50" i="43"/>
  <c r="J50" i="43"/>
  <c r="D50" i="43"/>
  <c r="M49" i="43"/>
  <c r="N49" i="43"/>
  <c r="K49" i="43"/>
  <c r="J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F8" i="1"/>
  <c r="F9" i="1"/>
  <c r="F10" i="1"/>
  <c r="F11" i="1"/>
  <c r="F12" i="1"/>
  <c r="F13" i="1"/>
  <c r="D6" i="1"/>
  <c r="D9" i="1"/>
  <c r="D10" i="1"/>
  <c r="D11" i="1"/>
  <c r="D12" i="1"/>
  <c r="D13" i="1"/>
  <c r="D7" i="1"/>
  <c r="D8" i="1"/>
  <c r="A7" i="1"/>
  <c r="B7" i="1"/>
  <c r="E7" i="1"/>
  <c r="A8" i="1"/>
  <c r="B8" i="1"/>
  <c r="E8" i="1"/>
  <c r="A9" i="1"/>
  <c r="A10" i="1"/>
  <c r="K10" i="1"/>
  <c r="A11" i="1"/>
  <c r="B11" i="1"/>
  <c r="E11" i="1"/>
  <c r="A12" i="1"/>
  <c r="A13" i="1"/>
  <c r="A6"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K8" i="1"/>
  <c r="M8" i="1"/>
  <c r="F23" i="15"/>
  <c r="D24" i="15"/>
  <c r="M13" i="1"/>
  <c r="O13" i="1"/>
  <c r="P13" i="1"/>
  <c r="E22" i="6"/>
  <c r="E23" i="6"/>
  <c r="E24" i="6"/>
  <c r="E25" i="6"/>
  <c r="E26" i="6"/>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G114" i="34"/>
  <c r="H114" i="34"/>
  <c r="I114" i="34"/>
  <c r="J114" i="34"/>
  <c r="K114" i="34"/>
  <c r="L114" i="34"/>
  <c r="M114" i="34"/>
  <c r="F38" i="34"/>
  <c r="S38" i="34"/>
  <c r="D112" i="34"/>
  <c r="E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B131" i="34"/>
  <c r="B129" i="34"/>
  <c r="B127" i="34"/>
  <c r="B99" i="34"/>
  <c r="B97" i="34"/>
  <c r="B95" i="34"/>
  <c r="B93" i="34"/>
  <c r="B75" i="34"/>
  <c r="B73" i="34"/>
  <c r="B71" i="34"/>
  <c r="H12" i="34"/>
  <c r="AB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F77" i="33"/>
  <c r="G77" i="33"/>
  <c r="D69" i="33"/>
  <c r="E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3" i="43"/>
  <c r="H33" i="4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c r="S34" i="34"/>
  <c r="U34" i="34"/>
  <c r="H39" i="33"/>
  <c r="AB39" i="33"/>
  <c r="F26" i="33"/>
  <c r="AA26"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28" i="34"/>
  <c r="AA28" i="34"/>
  <c r="F27" i="34"/>
  <c r="AA27" i="34"/>
  <c r="H23" i="34"/>
  <c r="U23" i="34"/>
  <c r="J23" i="34"/>
  <c r="W23" i="34"/>
  <c r="F19" i="34"/>
  <c r="AA19" i="34"/>
  <c r="F15" i="34"/>
  <c r="S15" i="34"/>
  <c r="J15" i="34"/>
  <c r="W15" i="34"/>
  <c r="H15" i="34"/>
  <c r="AB15" i="34"/>
  <c r="J28" i="34"/>
  <c r="W28" i="34"/>
  <c r="F41" i="33"/>
  <c r="AA41" i="33"/>
  <c r="S38" i="33"/>
  <c r="E113" i="33"/>
  <c r="F32" i="33"/>
  <c r="AA32" i="33"/>
  <c r="J19" i="33"/>
  <c r="AC19" i="33"/>
  <c r="J15" i="33"/>
  <c r="AC15"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c r="AB42" i="34"/>
  <c r="J40" i="34"/>
  <c r="H38" i="34"/>
  <c r="AB38" i="34"/>
  <c r="J36" i="34"/>
  <c r="W36" i="34"/>
  <c r="F23" i="34"/>
  <c r="AA23" i="34"/>
  <c r="J19" i="34"/>
  <c r="AC19" i="34"/>
  <c r="J17" i="34"/>
  <c r="W17" i="34"/>
  <c r="AA15" i="34"/>
  <c r="S41" i="33"/>
  <c r="F113" i="33"/>
  <c r="G113" i="33"/>
  <c r="H113" i="33"/>
  <c r="I113" i="33"/>
  <c r="J113" i="33"/>
  <c r="K113" i="33"/>
  <c r="L113" i="33"/>
  <c r="M113" i="33"/>
  <c r="H37" i="33"/>
  <c r="AB37" i="33"/>
  <c r="H15" i="33"/>
  <c r="AB15" i="33"/>
  <c r="F28" i="40"/>
  <c r="AA28" i="40"/>
  <c r="AA42" i="34"/>
  <c r="S42" i="34"/>
  <c r="S28" i="34"/>
  <c r="U23" i="40"/>
  <c r="G123" i="21"/>
  <c r="H123" i="21"/>
  <c r="I123" i="21"/>
  <c r="J123" i="21"/>
  <c r="K123" i="21"/>
  <c r="L123" i="21"/>
  <c r="M123" i="21"/>
  <c r="J42" i="21"/>
  <c r="AC42" i="21"/>
  <c r="H42" i="21"/>
  <c r="U42" i="21"/>
  <c r="J44" i="34"/>
  <c r="W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AB11" i="36"/>
  <c r="AB11" i="35"/>
  <c r="J10" i="36"/>
  <c r="AC10" i="36"/>
  <c r="AB26" i="33"/>
  <c r="AB30" i="21"/>
  <c r="AA14" i="37"/>
  <c r="AC13" i="36"/>
  <c r="W13" i="36"/>
  <c r="S11" i="36"/>
  <c r="W11" i="36"/>
  <c r="W11" i="35"/>
  <c r="AB46" i="34"/>
  <c r="AC30" i="34"/>
  <c r="AA14" i="34"/>
  <c r="S45" i="33"/>
  <c r="AB31" i="33"/>
  <c r="W29"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c r="H42" i="33"/>
  <c r="AB42" i="33"/>
  <c r="J43" i="33"/>
  <c r="AC43" i="33"/>
  <c r="U43" i="33"/>
  <c r="U14" i="40"/>
  <c r="AC32" i="36"/>
  <c r="AC33" i="36"/>
  <c r="U35" i="35"/>
  <c r="AA12" i="35"/>
  <c r="W14" i="37"/>
  <c r="AB28" i="37"/>
  <c r="U33" i="37"/>
  <c r="U39" i="37"/>
  <c r="W26" i="37"/>
  <c r="AC8" i="37"/>
  <c r="U26" i="37"/>
  <c r="W47" i="34"/>
  <c r="AB13" i="34"/>
  <c r="AC36" i="34"/>
  <c r="AA13" i="33"/>
  <c r="AC31" i="33"/>
  <c r="AC45" i="33"/>
  <c r="W44" i="33"/>
  <c r="U19" i="21"/>
  <c r="W44" i="21"/>
  <c r="U26" i="21"/>
  <c r="AC46" i="21"/>
  <c r="U12" i="21"/>
  <c r="AB38" i="21"/>
  <c r="F43" i="33"/>
  <c r="AA43" i="33"/>
  <c r="AC15" i="34"/>
  <c r="W16" i="35"/>
  <c r="W40"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C12" i="43"/>
  <c r="H19" i="40"/>
  <c r="U19" i="40"/>
  <c r="F88" i="40"/>
  <c r="G88"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F11" i="39"/>
  <c r="AA11" i="39"/>
  <c r="G4" i="4"/>
  <c r="I4" i="4"/>
  <c r="K5" i="4"/>
  <c r="B47" i="48"/>
  <c r="A2" i="9"/>
  <c r="N2" i="43"/>
  <c r="F59" i="43"/>
  <c r="AZ20" i="3"/>
  <c r="AZ32" i="3"/>
  <c r="BL549" i="3"/>
  <c r="AZ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BA325" i="3"/>
  <c r="BL325" i="3"/>
  <c r="AZ325" i="3"/>
  <c r="G326" i="3"/>
  <c r="BA327" i="3"/>
  <c r="G335" i="3"/>
  <c r="BL336" i="3"/>
  <c r="G337" i="3"/>
  <c r="BL338" i="3"/>
  <c r="BA340" i="3"/>
  <c r="AZ340" i="3"/>
  <c r="BA341" i="3"/>
  <c r="BL341" i="3"/>
  <c r="AZ341" i="3"/>
  <c r="BA343" i="3"/>
  <c r="BA345" i="3"/>
  <c r="AZ345" i="3"/>
  <c r="BL355" i="3"/>
  <c r="G356" i="3"/>
  <c r="BL357" i="3"/>
  <c r="BA359" i="3"/>
  <c r="AZ359" i="3"/>
  <c r="BA360" i="3"/>
  <c r="BL360" i="3"/>
  <c r="G361" i="3"/>
  <c r="BA362" i="3"/>
  <c r="AZ362" i="3"/>
  <c r="G370" i="3"/>
  <c r="BL371" i="3"/>
  <c r="G372" i="3"/>
  <c r="BL373" i="3"/>
  <c r="BA375" i="3"/>
  <c r="AZ375" i="3"/>
  <c r="BA376" i="3"/>
  <c r="BL376" i="3"/>
  <c r="G377" i="3"/>
  <c r="BA378" i="3"/>
  <c r="BL378" i="3"/>
  <c r="G379" i="3"/>
  <c r="BA380" i="3"/>
  <c r="G388" i="3"/>
  <c r="BL389" i="3"/>
  <c r="G390" i="3"/>
  <c r="BL391" i="3"/>
  <c r="BA393" i="3"/>
  <c r="BA394" i="3"/>
  <c r="BL394" i="3"/>
  <c r="AZ394" i="3"/>
  <c r="G113" i="3"/>
  <c r="BA115" i="3"/>
  <c r="AZ115" i="3"/>
  <c r="BL116" i="3"/>
  <c r="G117" i="3"/>
  <c r="BA119" i="3"/>
  <c r="AZ119" i="3"/>
  <c r="BL120" i="3"/>
  <c r="G121" i="3"/>
  <c r="BA123" i="3"/>
  <c r="BL124" i="3"/>
  <c r="AZ124" i="3"/>
  <c r="G125" i="3"/>
  <c r="BA127" i="3"/>
  <c r="AZ127" i="3"/>
  <c r="BL128" i="3"/>
  <c r="G129" i="3"/>
  <c r="BA131" i="3"/>
  <c r="AZ131" i="3"/>
  <c r="BL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G161" i="3"/>
  <c r="BA163" i="3"/>
  <c r="AZ163" i="3"/>
  <c r="BL164" i="3"/>
  <c r="AZ164" i="3"/>
  <c r="G165" i="3"/>
  <c r="BA167" i="3"/>
  <c r="BL168" i="3"/>
  <c r="G169" i="3"/>
  <c r="BA171" i="3"/>
  <c r="BL172" i="3"/>
  <c r="AZ172" i="3"/>
  <c r="G173" i="3"/>
  <c r="BA175" i="3"/>
  <c r="AZ175" i="3"/>
  <c r="BL176" i="3"/>
  <c r="G177" i="3"/>
  <c r="BA179" i="3"/>
  <c r="AZ179" i="3"/>
  <c r="BL180" i="3"/>
  <c r="AZ180" i="3"/>
  <c r="G181" i="3"/>
  <c r="BA183" i="3"/>
  <c r="BL184" i="3"/>
  <c r="G185" i="3"/>
  <c r="BA187" i="3"/>
  <c r="BL188" i="3"/>
  <c r="AZ188" i="3"/>
  <c r="G189" i="3"/>
  <c r="BA191" i="3"/>
  <c r="AZ191" i="3"/>
  <c r="BL192" i="3"/>
  <c r="G193" i="3"/>
  <c r="BA195" i="3"/>
  <c r="AZ195" i="3"/>
  <c r="BL196" i="3"/>
  <c r="AZ196" i="3"/>
  <c r="G197" i="3"/>
  <c r="BA199" i="3"/>
  <c r="BL200" i="3"/>
  <c r="G201" i="3"/>
  <c r="BA203" i="3"/>
  <c r="BL204" i="3"/>
  <c r="AZ204" i="3"/>
  <c r="AZ39" i="3"/>
  <c r="AZ43" i="3"/>
  <c r="AZ47" i="3"/>
  <c r="AZ71" i="3"/>
  <c r="AZ75" i="3"/>
  <c r="AZ79" i="3"/>
  <c r="AZ152" i="3"/>
  <c r="AZ168" i="3"/>
  <c r="AZ184" i="3"/>
  <c r="AZ200" i="3"/>
  <c r="AZ93" i="3"/>
  <c r="AZ101" i="3"/>
  <c r="AZ128" i="3"/>
  <c r="G534" i="3"/>
  <c r="G530" i="3"/>
  <c r="G522" i="3"/>
  <c r="G516" i="3"/>
  <c r="G512" i="3"/>
  <c r="G506" i="3"/>
  <c r="G498" i="3"/>
  <c r="G494" i="3"/>
  <c r="G16" i="3"/>
  <c r="G15" i="3"/>
  <c r="BA304" i="3"/>
  <c r="AZ304" i="3"/>
  <c r="BA305" i="3"/>
  <c r="AZ305" i="3"/>
  <c r="BL305" i="3"/>
  <c r="G306" i="3"/>
  <c r="G309" i="3"/>
  <c r="BL310" i="3"/>
  <c r="BA312" i="3"/>
  <c r="BA313" i="3"/>
  <c r="BL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AZ356" i="3"/>
  <c r="BL356" i="3"/>
  <c r="G357" i="3"/>
  <c r="G360" i="3"/>
  <c r="BL361" i="3"/>
  <c r="BA363" i="3"/>
  <c r="BA364" i="3"/>
  <c r="BL364" i="3"/>
  <c r="G365" i="3"/>
  <c r="G368" i="3"/>
  <c r="BL369" i="3"/>
  <c r="BA371" i="3"/>
  <c r="BA372" i="3"/>
  <c r="AZ372" i="3"/>
  <c r="BL372" i="3"/>
  <c r="G373" i="3"/>
  <c r="G376" i="3"/>
  <c r="BL377" i="3"/>
  <c r="BL379" i="3"/>
  <c r="BA381" i="3"/>
  <c r="BA382" i="3"/>
  <c r="AZ382" i="3"/>
  <c r="BL382" i="3"/>
  <c r="G383" i="3"/>
  <c r="G386" i="3"/>
  <c r="BL387" i="3"/>
  <c r="BA389" i="3"/>
  <c r="AZ389" i="3"/>
  <c r="BA390" i="3"/>
  <c r="BL390" i="3"/>
  <c r="AZ390" i="3"/>
  <c r="G391" i="3"/>
  <c r="G394" i="3"/>
  <c r="AZ138" i="3"/>
  <c r="AZ146" i="3"/>
  <c r="AZ162" i="3"/>
  <c r="AZ178" i="3"/>
  <c r="AZ194" i="3"/>
  <c r="AZ500" i="3"/>
  <c r="BA16" i="3"/>
  <c r="BL303" i="3"/>
  <c r="G304" i="3"/>
  <c r="BA306" i="3"/>
  <c r="BL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BL331" i="3"/>
  <c r="AZ331" i="3"/>
  <c r="G332" i="3"/>
  <c r="BA334" i="3"/>
  <c r="BL335" i="3"/>
  <c r="G336" i="3"/>
  <c r="BA338" i="3"/>
  <c r="BL339" i="3"/>
  <c r="G340" i="3"/>
  <c r="BL343" i="3"/>
  <c r="AZ343" i="3"/>
  <c r="G344" i="3"/>
  <c r="G348" i="3"/>
  <c r="G355" i="3"/>
  <c r="AZ214" i="3"/>
  <c r="AZ222" i="3"/>
  <c r="AZ319" i="3"/>
  <c r="G342" i="3"/>
  <c r="BL345" i="3"/>
  <c r="G346" i="3"/>
  <c r="BL349" i="3"/>
  <c r="AZ349" i="3"/>
  <c r="BL352" i="3"/>
  <c r="G353" i="3"/>
  <c r="BA357" i="3"/>
  <c r="AZ357" i="3"/>
  <c r="BL358" i="3"/>
  <c r="G359" i="3"/>
  <c r="BA361" i="3"/>
  <c r="BL362" i="3"/>
  <c r="G363" i="3"/>
  <c r="BA365" i="3"/>
  <c r="AZ365" i="3"/>
  <c r="BL366" i="3"/>
  <c r="AZ366" i="3"/>
  <c r="G367" i="3"/>
  <c r="BA369" i="3"/>
  <c r="AZ369" i="3"/>
  <c r="BL370" i="3"/>
  <c r="G371" i="3"/>
  <c r="BA373" i="3"/>
  <c r="BL374" i="3"/>
  <c r="G375" i="3"/>
  <c r="BA377" i="3"/>
  <c r="AZ377" i="3"/>
  <c r="AZ233" i="3"/>
  <c r="AZ237" i="3"/>
  <c r="AZ257" i="3"/>
  <c r="AZ261" i="3"/>
  <c r="AZ265" i="3"/>
  <c r="BA379" i="3"/>
  <c r="AZ379" i="3"/>
  <c r="BL380" i="3"/>
  <c r="G381" i="3"/>
  <c r="BA383" i="3"/>
  <c r="AZ383" i="3"/>
  <c r="BL384" i="3"/>
  <c r="G385" i="3"/>
  <c r="BA387" i="3"/>
  <c r="AZ387" i="3"/>
  <c r="BL388" i="3"/>
  <c r="G389" i="3"/>
  <c r="BA391" i="3"/>
  <c r="AZ391" i="3"/>
  <c r="BL392" i="3"/>
  <c r="G393" i="3"/>
  <c r="AZ263" i="3"/>
  <c r="AZ279" i="3"/>
  <c r="AZ283" i="3"/>
  <c r="AZ291" i="3"/>
  <c r="AZ299" i="3"/>
  <c r="BO5" i="3"/>
  <c r="BM5" i="3"/>
  <c r="F29" i="6"/>
  <c r="BJ5" i="3"/>
  <c r="BH5" i="3"/>
  <c r="BF5" i="3"/>
  <c r="BD5" i="3"/>
  <c r="AZ333" i="3"/>
  <c r="BQ5" i="3"/>
  <c r="AC5" i="3"/>
  <c r="AZ506" i="3"/>
  <c r="AZ496" i="3"/>
  <c r="G548" i="3"/>
  <c r="G538" i="3"/>
  <c r="G520" i="3"/>
  <c r="G502" i="3"/>
  <c r="BS5" i="3"/>
  <c r="BP5" i="3"/>
  <c r="BN5" i="3"/>
  <c r="BK5" i="3"/>
  <c r="BI5" i="3"/>
  <c r="BG5" i="3"/>
  <c r="BE5" i="3"/>
  <c r="G17" i="3"/>
  <c r="BA17" i="3"/>
  <c r="BT5" i="3"/>
  <c r="AZ350" i="3"/>
  <c r="AZ364" i="3"/>
  <c r="AZ368" i="3"/>
  <c r="BA15" i="3"/>
  <c r="BR5" i="3"/>
  <c r="AZ380" i="3"/>
  <c r="AZ384" i="3"/>
  <c r="AZ388" i="3"/>
  <c r="AZ392" i="3"/>
  <c r="AZ509" i="3"/>
  <c r="G509" i="3"/>
  <c r="BL493" i="3"/>
  <c r="AZ493" i="3"/>
  <c r="U36" i="40"/>
  <c r="N4" i="43"/>
  <c r="F36" i="43"/>
  <c r="F81" i="43"/>
  <c r="H83" i="43"/>
  <c r="H113" i="43"/>
  <c r="N7" i="43"/>
  <c r="F70" i="43"/>
  <c r="H73" i="43"/>
  <c r="M6" i="43"/>
  <c r="M11" i="43"/>
  <c r="E17" i="43"/>
  <c r="F39" i="43"/>
  <c r="I17" i="43"/>
  <c r="F35" i="43"/>
  <c r="J17" i="43"/>
  <c r="F6" i="1"/>
  <c r="I20" i="43"/>
  <c r="U17" i="39"/>
  <c r="S14" i="35"/>
  <c r="U43" i="21"/>
  <c r="U35" i="21"/>
  <c r="AC35" i="21"/>
  <c r="U10" i="21"/>
  <c r="G8" i="1"/>
  <c r="G9" i="1"/>
  <c r="G10" i="1"/>
  <c r="F48" i="9"/>
  <c r="O52" i="9"/>
  <c r="W37" i="37"/>
  <c r="AC44" i="34"/>
  <c r="U13" i="37"/>
  <c r="U12" i="40"/>
  <c r="AA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15" i="3"/>
  <c r="AZ227" i="3"/>
  <c r="AZ232" i="3"/>
  <c r="AZ235" i="3"/>
  <c r="AZ256" i="3"/>
  <c r="AZ259" i="3"/>
  <c r="AZ268" i="3"/>
  <c r="AZ117" i="3"/>
  <c r="AZ133" i="3"/>
  <c r="AZ29" i="3"/>
  <c r="AZ31" i="3"/>
  <c r="AZ33" i="3"/>
  <c r="AZ37" i="3"/>
  <c r="AZ42" i="3"/>
  <c r="AZ45" i="3"/>
  <c r="AZ58" i="3"/>
  <c r="AZ66" i="3"/>
  <c r="AZ69" i="3"/>
  <c r="AZ74" i="3"/>
  <c r="AZ77" i="3"/>
  <c r="AZ82" i="3"/>
  <c r="AZ86" i="3"/>
  <c r="AZ102" i="3"/>
  <c r="H75" i="43"/>
  <c r="H74" i="43"/>
  <c r="F23" i="39"/>
  <c r="AA23" i="39"/>
  <c r="H27" i="36"/>
  <c r="U27" i="36"/>
  <c r="F27" i="36"/>
  <c r="AA27" i="36"/>
  <c r="H33" i="34"/>
  <c r="U33" i="34"/>
  <c r="F32" i="37"/>
  <c r="AA32" i="37"/>
  <c r="F20" i="36"/>
  <c r="AA20" i="36"/>
  <c r="J33" i="34"/>
  <c r="AC33" i="34"/>
  <c r="H23" i="39"/>
  <c r="U23" i="39"/>
  <c r="D48" i="9"/>
  <c r="M52" i="9"/>
  <c r="H82" i="43"/>
  <c r="K9" i="1"/>
  <c r="M9" i="1"/>
  <c r="AE9" i="1"/>
  <c r="D93" i="9"/>
  <c r="G29" i="6"/>
  <c r="E29" i="6"/>
  <c r="K15" i="1"/>
  <c r="AC26" i="33"/>
  <c r="W26" i="33"/>
  <c r="W27" i="34"/>
  <c r="AB34" i="36"/>
  <c r="U34" i="36"/>
  <c r="AB33" i="36"/>
  <c r="U33" i="36"/>
  <c r="AC12" i="39"/>
  <c r="W12" i="39"/>
  <c r="AZ465" i="3"/>
  <c r="W12" i="33"/>
  <c r="AC12" i="33"/>
  <c r="AA32" i="36"/>
  <c r="S32" i="36"/>
  <c r="AZ437" i="3"/>
  <c r="AZ457" i="3"/>
  <c r="AZ473" i="3"/>
  <c r="AA39" i="34"/>
  <c r="F28" i="6"/>
  <c r="BL14" i="3"/>
  <c r="AZ266" i="3"/>
  <c r="U30" i="33"/>
  <c r="AC13" i="34"/>
  <c r="AA47" i="34"/>
  <c r="W28" i="37"/>
  <c r="S19" i="39"/>
  <c r="F12" i="33"/>
  <c r="H12" i="39"/>
  <c r="AB12" i="39"/>
  <c r="F39" i="40"/>
  <c r="AZ213" i="3"/>
  <c r="AZ224" i="3"/>
  <c r="AZ234" i="3"/>
  <c r="AZ254" i="3"/>
  <c r="AZ281" i="3"/>
  <c r="AZ297" i="3"/>
  <c r="AZ157" i="3"/>
  <c r="AZ173" i="3"/>
  <c r="AZ189" i="3"/>
  <c r="AZ35" i="3"/>
  <c r="AZ41" i="3"/>
  <c r="S12" i="1"/>
  <c r="AQ12" i="1"/>
  <c r="R12" i="1"/>
  <c r="B12" i="1"/>
  <c r="E12" i="1"/>
  <c r="S10" i="1"/>
  <c r="AQ10" i="1"/>
  <c r="R10" i="1"/>
  <c r="B10" i="1"/>
  <c r="E10" i="1"/>
  <c r="AZ80" i="3"/>
  <c r="AZ84" i="3"/>
  <c r="K12" i="1"/>
  <c r="M12" i="1"/>
  <c r="S13" i="1"/>
  <c r="AR13" i="1"/>
  <c r="R13" i="1"/>
  <c r="S11" i="1"/>
  <c r="AQ11" i="1"/>
  <c r="R11" i="1"/>
  <c r="S9" i="1"/>
  <c r="AR9" i="1"/>
  <c r="R9" i="1"/>
  <c r="J51" i="67"/>
  <c r="C42" i="1"/>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11" i="37"/>
  <c r="S11" i="37"/>
  <c r="S27" i="34"/>
  <c r="AB8" i="34"/>
  <c r="AA33" i="34"/>
  <c r="U44" i="34"/>
  <c r="U43" i="34"/>
  <c r="W41" i="34"/>
  <c r="AC42" i="34"/>
  <c r="U39" i="34"/>
  <c r="AB41" i="34"/>
  <c r="AA45" i="34"/>
  <c r="W34" i="34"/>
  <c r="U28" i="34"/>
  <c r="AA29" i="34"/>
  <c r="S23" i="34"/>
  <c r="U15" i="34"/>
  <c r="S13" i="34"/>
  <c r="H67" i="34"/>
  <c r="H10" i="34"/>
  <c r="AB10" i="34"/>
  <c r="F11" i="34"/>
  <c r="S11" i="34"/>
  <c r="F70" i="34"/>
  <c r="S27" i="33"/>
  <c r="S32" i="33"/>
  <c r="AA29" i="33"/>
  <c r="AB29" i="33"/>
  <c r="W38" i="33"/>
  <c r="H41" i="33"/>
  <c r="F121" i="33"/>
  <c r="G121" i="33"/>
  <c r="H121" i="33"/>
  <c r="I121" i="33"/>
  <c r="J121" i="33"/>
  <c r="K121" i="33"/>
  <c r="L121" i="33"/>
  <c r="M121" i="33"/>
  <c r="G111" i="33"/>
  <c r="F36" i="33"/>
  <c r="S36" i="33"/>
  <c r="J35" i="33"/>
  <c r="AC35" i="33"/>
  <c r="S37" i="33"/>
  <c r="AA37" i="33"/>
  <c r="J32" i="33"/>
  <c r="AC32" i="33"/>
  <c r="S46" i="33"/>
  <c r="W43" i="33"/>
  <c r="F91" i="33"/>
  <c r="H27" i="33"/>
  <c r="F87" i="33"/>
  <c r="H25" i="33"/>
  <c r="F25" i="33"/>
  <c r="S25" i="33"/>
  <c r="J23" i="33"/>
  <c r="F85" i="33"/>
  <c r="H23" i="33"/>
  <c r="F81" i="33"/>
  <c r="F19" i="33"/>
  <c r="S19" i="33"/>
  <c r="W19" i="33"/>
  <c r="J17" i="33"/>
  <c r="F79" i="33"/>
  <c r="S15" i="33"/>
  <c r="W15" i="33"/>
  <c r="I66" i="33"/>
  <c r="J10" i="33"/>
  <c r="AC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BL17" i="3"/>
  <c r="AZ17" i="3"/>
  <c r="BL13" i="3"/>
  <c r="J56" i="9"/>
  <c r="J57" i="9"/>
  <c r="J59" i="9"/>
  <c r="J61" i="9"/>
  <c r="A24" i="51"/>
  <c r="B18" i="72"/>
  <c r="U29" i="34"/>
  <c r="E5" i="6"/>
  <c r="D9" i="11"/>
  <c r="C9" i="11"/>
  <c r="E32" i="6"/>
  <c r="L19" i="6"/>
  <c r="G1" i="68"/>
  <c r="K1" i="12"/>
  <c r="F30" i="6"/>
  <c r="AR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N6" i="43"/>
  <c r="M2" i="43"/>
  <c r="M10" i="43"/>
  <c r="N3" i="43"/>
  <c r="N11" i="43"/>
  <c r="F38" i="43"/>
  <c r="F37" i="43"/>
  <c r="M9" i="43"/>
  <c r="N12" i="43"/>
  <c r="N5" i="43"/>
  <c r="F48" i="43"/>
  <c r="M5" i="43"/>
  <c r="C6" i="43"/>
  <c r="M12" i="43"/>
  <c r="M4" i="43"/>
  <c r="B19" i="53"/>
  <c r="B37" i="72"/>
  <c r="C7" i="39"/>
  <c r="C68" i="39"/>
  <c r="C7" i="35"/>
  <c r="C48" i="35"/>
  <c r="D48" i="35"/>
  <c r="E48" i="35"/>
  <c r="F48" i="35"/>
  <c r="C7" i="33"/>
  <c r="C58" i="33"/>
  <c r="D58" i="33"/>
  <c r="E58" i="33"/>
  <c r="C7" i="21"/>
  <c r="C58" i="21"/>
  <c r="D58" i="21"/>
  <c r="E58" i="21"/>
  <c r="F58" i="21"/>
  <c r="C7" i="40"/>
  <c r="C63" i="40"/>
  <c r="D63" i="40"/>
  <c r="E63" i="40"/>
  <c r="M47" i="9"/>
  <c r="G19" i="43"/>
  <c r="O19" i="43"/>
  <c r="C46" i="36"/>
  <c r="D46" i="36"/>
  <c r="C59" i="34"/>
  <c r="D59" i="34"/>
  <c r="E59" i="34"/>
  <c r="F59" i="34"/>
  <c r="G59" i="34"/>
  <c r="H59" i="34"/>
  <c r="I59" i="34"/>
  <c r="C52" i="37"/>
  <c r="D52" i="37"/>
  <c r="E52" i="37"/>
  <c r="F52" i="37"/>
  <c r="G52" i="37"/>
  <c r="A4" i="51"/>
  <c r="B6" i="72"/>
  <c r="C4" i="12"/>
  <c r="H62" i="43"/>
  <c r="H66" i="43"/>
  <c r="H61" i="43"/>
  <c r="H65" i="43"/>
  <c r="H60" i="43"/>
  <c r="H64" i="43"/>
  <c r="H59" i="43"/>
  <c r="H63" i="43"/>
  <c r="H67" i="43"/>
  <c r="H76" i="43"/>
  <c r="H72" i="43"/>
  <c r="H77" i="43"/>
  <c r="L20" i="6"/>
  <c r="B6" i="1"/>
  <c r="E6" i="1"/>
  <c r="S8" i="1"/>
  <c r="AQ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C45" i="34"/>
  <c r="AA31" i="34"/>
  <c r="AA30" i="34"/>
  <c r="AB45" i="34"/>
  <c r="AB47" i="34"/>
  <c r="AB36" i="34"/>
  <c r="W33" i="34"/>
  <c r="AC14" i="34"/>
  <c r="AC32" i="34"/>
  <c r="AC29" i="34"/>
  <c r="W29" i="34"/>
  <c r="W46" i="34"/>
  <c r="AC46" i="34"/>
  <c r="S32" i="34"/>
  <c r="AA32" i="34"/>
  <c r="U30" i="34"/>
  <c r="AB30" i="34"/>
  <c r="U38" i="34"/>
  <c r="AC40" i="34"/>
  <c r="W40" i="34"/>
  <c r="S19" i="34"/>
  <c r="AA36" i="34"/>
  <c r="S36" i="34"/>
  <c r="AA8" i="34"/>
  <c r="AB9" i="34"/>
  <c r="U9" i="34"/>
  <c r="S46" i="34"/>
  <c r="AA46" i="34"/>
  <c r="U32" i="34"/>
  <c r="AB32" i="34"/>
  <c r="U14" i="34"/>
  <c r="AB14" i="34"/>
  <c r="AC43" i="34"/>
  <c r="AA11" i="34"/>
  <c r="W35" i="34"/>
  <c r="U12" i="34"/>
  <c r="AB28" i="33"/>
  <c r="W46" i="33"/>
  <c r="U38" i="33"/>
  <c r="S33" i="33"/>
  <c r="AB34" i="33"/>
  <c r="U44" i="33"/>
  <c r="AB44" i="33"/>
  <c r="S30" i="33"/>
  <c r="AA30" i="33"/>
  <c r="AC14" i="33"/>
  <c r="W14" i="33"/>
  <c r="AC30" i="33"/>
  <c r="W30" i="33"/>
  <c r="S31" i="33"/>
  <c r="AA31" i="33"/>
  <c r="W13" i="33"/>
  <c r="AC13" i="33"/>
  <c r="U37" i="33"/>
  <c r="AC28" i="33"/>
  <c r="S28" i="33"/>
  <c r="W8" i="33"/>
  <c r="S44" i="21"/>
  <c r="AB42" i="21"/>
  <c r="U28" i="21"/>
  <c r="AA11" i="21"/>
  <c r="S45" i="21"/>
  <c r="I101" i="21"/>
  <c r="J101" i="21"/>
  <c r="K101" i="21"/>
  <c r="L101" i="21"/>
  <c r="M101" i="21"/>
  <c r="F33" i="21"/>
  <c r="AA33" i="21"/>
  <c r="J33" i="21"/>
  <c r="H33" i="21"/>
  <c r="AB33" i="21"/>
  <c r="F37" i="21"/>
  <c r="AA37" i="21"/>
  <c r="AA26" i="21"/>
  <c r="AB14" i="21"/>
  <c r="AB46" i="21"/>
  <c r="U40" i="21"/>
  <c r="AB31" i="21"/>
  <c r="U31" i="21"/>
  <c r="AC15" i="21"/>
  <c r="AB13" i="21"/>
  <c r="W8" i="21"/>
  <c r="S35" i="21"/>
  <c r="AB37" i="21"/>
  <c r="J37" i="21"/>
  <c r="H15" i="21"/>
  <c r="U15" i="21"/>
  <c r="J17" i="21"/>
  <c r="AC17" i="21"/>
  <c r="AC19" i="21"/>
  <c r="W39" i="21"/>
  <c r="AC14" i="21"/>
  <c r="W30" i="21"/>
  <c r="S46" i="21"/>
  <c r="H45" i="21"/>
  <c r="F29" i="21"/>
  <c r="S29" i="21"/>
  <c r="F13" i="21"/>
  <c r="AA13" i="21"/>
  <c r="AC38" i="21"/>
  <c r="H32" i="21"/>
  <c r="H9" i="21"/>
  <c r="J9" i="21"/>
  <c r="J32" i="21"/>
  <c r="AC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c r="F52" i="9"/>
  <c r="T13" i="1"/>
  <c r="C77" i="9"/>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1" i="37"/>
  <c r="AB10" i="37"/>
  <c r="U10" i="37"/>
  <c r="G70" i="34"/>
  <c r="H11" i="34"/>
  <c r="U11" i="34"/>
  <c r="J10" i="34"/>
  <c r="W10" i="34"/>
  <c r="I67" i="34"/>
  <c r="AB41" i="33"/>
  <c r="U41" i="33"/>
  <c r="W35" i="33"/>
  <c r="H111" i="33"/>
  <c r="I111" i="33"/>
  <c r="J111" i="33"/>
  <c r="K111" i="33"/>
  <c r="L111" i="33"/>
  <c r="M111" i="33"/>
  <c r="J36" i="33"/>
  <c r="W36" i="33"/>
  <c r="H36" i="33"/>
  <c r="AB36" i="33"/>
  <c r="AA36" i="33"/>
  <c r="U27" i="33"/>
  <c r="AB27" i="33"/>
  <c r="G91" i="33"/>
  <c r="H91" i="33"/>
  <c r="I91" i="33"/>
  <c r="J91" i="33"/>
  <c r="K91" i="33"/>
  <c r="L91" i="33"/>
  <c r="M91" i="33"/>
  <c r="J27" i="33"/>
  <c r="W27" i="33"/>
  <c r="U25" i="33"/>
  <c r="AB25" i="33"/>
  <c r="G87" i="33"/>
  <c r="H87" i="33"/>
  <c r="I87" i="33"/>
  <c r="J87" i="33"/>
  <c r="K87" i="33"/>
  <c r="L87" i="33"/>
  <c r="M87" i="33"/>
  <c r="J25" i="33"/>
  <c r="AC25" i="33"/>
  <c r="AB23" i="33"/>
  <c r="U23" i="33"/>
  <c r="F23" i="33"/>
  <c r="G85" i="33"/>
  <c r="AC23" i="33"/>
  <c r="W23" i="33"/>
  <c r="AA19" i="33"/>
  <c r="H19" i="33"/>
  <c r="AB19" i="33"/>
  <c r="G81" i="33"/>
  <c r="G79" i="33"/>
  <c r="H17" i="33"/>
  <c r="F17" i="33"/>
  <c r="AA17" i="33"/>
  <c r="W17" i="33"/>
  <c r="AC17" i="33"/>
  <c r="U10" i="33"/>
  <c r="AB10" i="33"/>
  <c r="U33" i="21"/>
  <c r="S37" i="21"/>
  <c r="AA23" i="21"/>
  <c r="AB15" i="21"/>
  <c r="J23" i="21"/>
  <c r="W23" i="21"/>
  <c r="F85" i="21"/>
  <c r="G85" i="21"/>
  <c r="H23" i="21"/>
  <c r="S13" i="21"/>
  <c r="D6" i="52"/>
  <c r="D121" i="9"/>
  <c r="D7" i="52"/>
  <c r="K120" i="9"/>
  <c r="C65" i="40"/>
  <c r="AP7" i="1"/>
  <c r="AC33" i="21"/>
  <c r="W33" i="21"/>
  <c r="S33" i="21"/>
  <c r="W32" i="21"/>
  <c r="AB9" i="21"/>
  <c r="U9" i="21"/>
  <c r="AA32" i="21"/>
  <c r="S32" i="21"/>
  <c r="W9" i="21"/>
  <c r="AC9" i="21"/>
  <c r="AB32" i="21"/>
  <c r="U32" i="21"/>
  <c r="AA10" i="21"/>
  <c r="S10" i="21"/>
  <c r="A18" i="62"/>
  <c r="B64" i="72"/>
  <c r="U32" i="39"/>
  <c r="AB32" i="39"/>
  <c r="AC32" i="39"/>
  <c r="W32" i="39"/>
  <c r="W19" i="37"/>
  <c r="AC19" i="37"/>
  <c r="W23" i="37"/>
  <c r="AC23" i="37"/>
  <c r="U11" i="37"/>
  <c r="H63" i="37"/>
  <c r="I63" i="37"/>
  <c r="J63" i="37"/>
  <c r="K63" i="37"/>
  <c r="L63" i="37"/>
  <c r="M63" i="37"/>
  <c r="J11" i="37"/>
  <c r="W10" i="37"/>
  <c r="AC10" i="37"/>
  <c r="AC10" i="34"/>
  <c r="H70" i="34"/>
  <c r="I70" i="34"/>
  <c r="J70" i="34"/>
  <c r="K70" i="34"/>
  <c r="L70" i="34"/>
  <c r="M70" i="34"/>
  <c r="J11" i="34"/>
  <c r="AC11" i="34"/>
  <c r="AC36" i="33"/>
  <c r="U36" i="33"/>
  <c r="AA23" i="33"/>
  <c r="S23" i="33"/>
  <c r="U17" i="33"/>
  <c r="AB17" i="33"/>
  <c r="U23" i="21"/>
  <c r="AB23" i="21"/>
  <c r="AC23" i="21"/>
  <c r="D65" i="40"/>
  <c r="Q52" i="67"/>
  <c r="AC11" i="37"/>
  <c r="W11" i="37"/>
  <c r="C13" i="12"/>
  <c r="F34" i="11"/>
  <c r="F11" i="12"/>
  <c r="C23" i="12"/>
  <c r="F34" i="68"/>
  <c r="R8" i="1"/>
  <c r="AE8" i="1"/>
  <c r="AG6" i="1"/>
  <c r="H112" i="9"/>
  <c r="D21" i="53"/>
  <c r="B39" i="72"/>
  <c r="H111" i="9"/>
  <c r="D126" i="9"/>
  <c r="D59" i="9"/>
  <c r="M55" i="9"/>
  <c r="AD3" i="71"/>
  <c r="P21" i="43"/>
  <c r="P22" i="43"/>
  <c r="P23" i="43"/>
  <c r="B71" i="39"/>
  <c r="P24" i="43"/>
  <c r="B66" i="40"/>
  <c r="P25" i="43"/>
  <c r="F31" i="79"/>
  <c r="F59" i="79"/>
  <c r="M17" i="79"/>
  <c r="F37" i="67"/>
  <c r="M24" i="67"/>
  <c r="M22" i="67"/>
  <c r="D7" i="73"/>
  <c r="B11" i="76"/>
  <c r="F37" i="15"/>
  <c r="F5" i="73"/>
  <c r="E11" i="76"/>
  <c r="AO8" i="1"/>
  <c r="C76" i="15"/>
  <c r="F8" i="15"/>
  <c r="M6" i="67"/>
  <c r="M22" i="15"/>
  <c r="B8" i="76"/>
  <c r="B9" i="76"/>
  <c r="F3" i="73"/>
  <c r="D2" i="35"/>
  <c r="D2" i="21"/>
  <c r="F16" i="15"/>
  <c r="D2" i="33"/>
  <c r="D6" i="73"/>
  <c r="F36" i="15"/>
  <c r="M9" i="15"/>
  <c r="F38" i="67"/>
  <c r="J15" i="67"/>
  <c r="M8" i="67"/>
  <c r="E13" i="76"/>
  <c r="F43" i="67"/>
  <c r="B10" i="76"/>
  <c r="M28" i="15"/>
  <c r="B13" i="76"/>
  <c r="F4" i="73"/>
  <c r="L48" i="67"/>
  <c r="F7" i="73"/>
  <c r="E8" i="76"/>
  <c r="M9" i="67"/>
  <c r="C76" i="67"/>
  <c r="F6" i="67"/>
  <c r="D3" i="73"/>
  <c r="AO9" i="1"/>
  <c r="F38" i="15"/>
  <c r="E12" i="76"/>
  <c r="F40" i="67"/>
  <c r="M6" i="15"/>
  <c r="D5" i="73"/>
  <c r="F6" i="73"/>
  <c r="E2" i="68"/>
  <c r="M26" i="67"/>
  <c r="L47" i="67"/>
  <c r="D2" i="36"/>
  <c r="F26" i="67"/>
  <c r="E9" i="76"/>
  <c r="M8" i="15"/>
  <c r="L47" i="15"/>
  <c r="F41" i="67"/>
  <c r="AO10" i="1"/>
  <c r="E2" i="69"/>
  <c r="M23" i="15"/>
  <c r="D2" i="34"/>
  <c r="F36" i="67"/>
  <c r="F40" i="15"/>
  <c r="F9" i="67"/>
  <c r="M29" i="67"/>
  <c r="E10" i="76"/>
  <c r="M21" i="67"/>
  <c r="F26" i="15"/>
  <c r="M27" i="15"/>
  <c r="F13" i="15"/>
  <c r="F42" i="15"/>
  <c r="AO12" i="1"/>
  <c r="F20" i="31"/>
  <c r="M23" i="67"/>
  <c r="M27" i="67"/>
  <c r="F16" i="67"/>
  <c r="M24" i="15"/>
  <c r="D2" i="37"/>
  <c r="F9" i="15"/>
  <c r="F35" i="67"/>
  <c r="M28" i="67"/>
  <c r="M26" i="15"/>
  <c r="F42" i="67"/>
  <c r="L48" i="15"/>
  <c r="J15" i="15"/>
  <c r="B12" i="76"/>
  <c r="F7" i="67"/>
  <c r="D4" i="73"/>
  <c r="F8" i="67"/>
  <c r="AO11" i="1"/>
  <c r="F13" i="67"/>
  <c r="AO13" i="1"/>
  <c r="D19" i="12"/>
  <c r="C19" i="12"/>
  <c r="T12" i="1"/>
  <c r="U45" i="21"/>
  <c r="AB45" i="21"/>
  <c r="W37" i="21"/>
  <c r="AC37" i="21"/>
  <c r="S12" i="21"/>
  <c r="AA12" i="21"/>
  <c r="AC9" i="33"/>
  <c r="W9" i="33"/>
  <c r="U44" i="39"/>
  <c r="AB44" i="39"/>
  <c r="AC42" i="33"/>
  <c r="W42" i="33"/>
  <c r="F69" i="33"/>
  <c r="G69" i="33"/>
  <c r="H69" i="33"/>
  <c r="I69" i="33"/>
  <c r="J69" i="33"/>
  <c r="K69" i="33"/>
  <c r="L69" i="33"/>
  <c r="M69" i="33"/>
  <c r="F11" i="33"/>
  <c r="H11" i="33"/>
  <c r="J11" i="33"/>
  <c r="AB36" i="35"/>
  <c r="U36" i="35"/>
  <c r="W43" i="39"/>
  <c r="AC43" i="39"/>
  <c r="AB45" i="39"/>
  <c r="U45" i="39"/>
  <c r="W37" i="39"/>
  <c r="AC37" i="39"/>
  <c r="AZ495" i="3"/>
  <c r="AZ513" i="3"/>
  <c r="AZ517" i="3"/>
  <c r="AZ567" i="3"/>
  <c r="AZ571" i="3"/>
  <c r="AZ575" i="3"/>
  <c r="AZ579" i="3"/>
  <c r="BL586" i="3"/>
  <c r="AZ586" i="3"/>
  <c r="BL585" i="3"/>
  <c r="F9" i="33"/>
  <c r="AA9" i="33"/>
  <c r="F9" i="34"/>
  <c r="F44" i="39"/>
  <c r="G578" i="3"/>
  <c r="G562" i="3"/>
  <c r="G526" i="3"/>
  <c r="BL16" i="3"/>
  <c r="AZ16" i="3"/>
  <c r="AZ442" i="3"/>
  <c r="D9" i="68"/>
  <c r="C9" i="68"/>
  <c r="C16" i="43"/>
  <c r="S32" i="37"/>
  <c r="U12" i="39"/>
  <c r="H87" i="43"/>
  <c r="H86" i="43"/>
  <c r="G28" i="6"/>
  <c r="AZ361" i="3"/>
  <c r="AZ338" i="3"/>
  <c r="AZ306" i="3"/>
  <c r="AZ347" i="3"/>
  <c r="AZ344" i="3"/>
  <c r="AZ313" i="3"/>
  <c r="AZ310" i="3"/>
  <c r="AZ378" i="3"/>
  <c r="AZ376" i="3"/>
  <c r="AZ373" i="3"/>
  <c r="AZ371" i="3"/>
  <c r="AZ360" i="3"/>
  <c r="U12" i="37"/>
  <c r="AC12" i="37"/>
  <c r="G123" i="33"/>
  <c r="H123" i="33"/>
  <c r="I123" i="33"/>
  <c r="J123" i="33"/>
  <c r="K123" i="33"/>
  <c r="L123" i="33"/>
  <c r="M123" i="33"/>
  <c r="AA41" i="34"/>
  <c r="F42" i="33"/>
  <c r="AA42" i="33"/>
  <c r="AZ503" i="3"/>
  <c r="AZ523" i="3"/>
  <c r="AZ531" i="3"/>
  <c r="AZ539" i="3"/>
  <c r="AZ547" i="3"/>
  <c r="AZ553" i="3"/>
  <c r="AZ583" i="3"/>
  <c r="AZ581" i="3"/>
  <c r="AZ526" i="3"/>
  <c r="AZ548" i="3"/>
  <c r="AZ566" i="3"/>
  <c r="AZ574" i="3"/>
  <c r="AZ582" i="3"/>
  <c r="AZ584" i="3"/>
  <c r="AZ585" i="3"/>
  <c r="U13" i="33"/>
  <c r="AB45" i="33"/>
  <c r="U46" i="33"/>
  <c r="AA29" i="35"/>
  <c r="BA550" i="3"/>
  <c r="G399" i="3"/>
  <c r="BL399" i="3"/>
  <c r="BA400" i="3"/>
  <c r="AZ400" i="3"/>
  <c r="BA401" i="3"/>
  <c r="AZ401" i="3"/>
  <c r="BA402" i="3"/>
  <c r="BL402" i="3"/>
  <c r="G404" i="3"/>
  <c r="BL404" i="3"/>
  <c r="BA405" i="3"/>
  <c r="AZ405" i="3"/>
  <c r="BA406" i="3"/>
  <c r="AZ406" i="3"/>
  <c r="BL406" i="3"/>
  <c r="BA407" i="3"/>
  <c r="AZ407" i="3"/>
  <c r="BA408" i="3"/>
  <c r="AZ408" i="3"/>
  <c r="G411" i="3"/>
  <c r="BL411" i="3"/>
  <c r="G414" i="3"/>
  <c r="BL414" i="3"/>
  <c r="BA415" i="3"/>
  <c r="AZ415" i="3"/>
  <c r="BL417" i="3"/>
  <c r="AZ417" i="3"/>
  <c r="G419" i="3"/>
  <c r="G421" i="3"/>
  <c r="BL421" i="3"/>
  <c r="G423" i="3"/>
  <c r="BL423" i="3"/>
  <c r="BA424" i="3"/>
  <c r="AZ424" i="3"/>
  <c r="G427" i="3"/>
  <c r="BL427" i="3"/>
  <c r="G430" i="3"/>
  <c r="BL430" i="3"/>
  <c r="BA431" i="3"/>
  <c r="AZ431" i="3"/>
  <c r="BL433" i="3"/>
  <c r="AZ433" i="3"/>
  <c r="G435" i="3"/>
  <c r="G437" i="3"/>
  <c r="G438" i="3"/>
  <c r="G440" i="3"/>
  <c r="BL440" i="3"/>
  <c r="BA443" i="3"/>
  <c r="BL443" i="3"/>
  <c r="BA444" i="3"/>
  <c r="AZ444" i="3"/>
  <c r="AZ450" i="3"/>
  <c r="AZ454" i="3"/>
  <c r="AZ459" i="3"/>
  <c r="AZ467" i="3"/>
  <c r="AZ477" i="3"/>
  <c r="AZ482" i="3"/>
  <c r="G447" i="3"/>
  <c r="BL447" i="3"/>
  <c r="AZ447" i="3"/>
  <c r="BA448" i="3"/>
  <c r="AZ448" i="3"/>
  <c r="BA451" i="3"/>
  <c r="AZ451" i="3"/>
  <c r="BL451" i="3"/>
  <c r="BA452" i="3"/>
  <c r="AZ452" i="3"/>
  <c r="G457" i="3"/>
  <c r="G458" i="3"/>
  <c r="G462" i="3"/>
  <c r="G464" i="3"/>
  <c r="BL464" i="3"/>
  <c r="AZ464" i="3"/>
  <c r="G467" i="3"/>
  <c r="BL467" i="3"/>
  <c r="BA468" i="3"/>
  <c r="AZ468" i="3"/>
  <c r="BA469" i="3"/>
  <c r="BL469" i="3"/>
  <c r="BA470" i="3"/>
  <c r="AZ470" i="3"/>
  <c r="G473" i="3"/>
  <c r="G474" i="3"/>
  <c r="BL474" i="3"/>
  <c r="AZ474" i="3"/>
  <c r="BA475" i="3"/>
  <c r="AZ475" i="3"/>
  <c r="G480" i="3"/>
  <c r="BL480" i="3"/>
  <c r="AZ480" i="3"/>
  <c r="G482" i="3"/>
  <c r="BL482" i="3"/>
  <c r="BA483" i="3"/>
  <c r="AZ483" i="3"/>
  <c r="G486" i="3"/>
  <c r="BL486" i="3"/>
  <c r="AZ486" i="3"/>
  <c r="G488" i="3"/>
  <c r="BL488" i="3"/>
  <c r="AZ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G366" i="3"/>
  <c r="BA367" i="3"/>
  <c r="AZ367" i="3"/>
  <c r="BA370" i="3"/>
  <c r="AZ370" i="3"/>
  <c r="BA374" i="3"/>
  <c r="AZ374"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BA228" i="3"/>
  <c r="AZ228" i="3"/>
  <c r="BA229" i="3"/>
  <c r="AZ229" i="3"/>
  <c r="G232" i="3"/>
  <c r="G233" i="3"/>
  <c r="G234" i="3"/>
  <c r="G235" i="3"/>
  <c r="G236" i="3"/>
  <c r="BL236" i="3"/>
  <c r="AZ236" i="3"/>
  <c r="BL238" i="3"/>
  <c r="AZ238" i="3"/>
  <c r="BA239" i="3"/>
  <c r="AZ239" i="3"/>
  <c r="BA240" i="3"/>
  <c r="AZ240" i="3"/>
  <c r="BA241" i="3"/>
  <c r="AZ241" i="3"/>
  <c r="BL243" i="3"/>
  <c r="AZ243" i="3"/>
  <c r="BA244" i="3"/>
  <c r="AZ244" i="3"/>
  <c r="BA245" i="3"/>
  <c r="AZ245" i="3"/>
  <c r="BL296" i="3"/>
  <c r="AZ296" i="3"/>
  <c r="G299" i="3"/>
  <c r="G300" i="3"/>
  <c r="BL300" i="3"/>
  <c r="BA301" i="3"/>
  <c r="AZ301" i="3"/>
  <c r="BL114" i="3"/>
  <c r="AZ114" i="3"/>
  <c r="BA116" i="3"/>
  <c r="AZ116" i="3"/>
  <c r="G118" i="3"/>
  <c r="BL118" i="3"/>
  <c r="BA120" i="3"/>
  <c r="AZ120" i="3"/>
  <c r="BL121" i="3"/>
  <c r="BA122" i="3"/>
  <c r="AZ122" i="3"/>
  <c r="BL123" i="3"/>
  <c r="AZ123" i="3"/>
  <c r="BA125" i="3"/>
  <c r="AZ125" i="3"/>
  <c r="G128" i="3"/>
  <c r="BL130" i="3"/>
  <c r="AZ130" i="3"/>
  <c r="BA132" i="3"/>
  <c r="AZ132" i="3"/>
  <c r="G134" i="3"/>
  <c r="BL134" i="3"/>
  <c r="BA136" i="3"/>
  <c r="AZ136" i="3"/>
  <c r="BL137" i="3"/>
  <c r="G140" i="3"/>
  <c r="BL142" i="3"/>
  <c r="AZ142" i="3"/>
  <c r="BA144" i="3"/>
  <c r="AZ144" i="3"/>
  <c r="BL145" i="3"/>
  <c r="G148" i="3"/>
  <c r="BA149" i="3"/>
  <c r="AZ149" i="3"/>
  <c r="BA150" i="3"/>
  <c r="AZ150" i="3"/>
  <c r="BL151" i="3"/>
  <c r="AZ151" i="3"/>
  <c r="BA153" i="3"/>
  <c r="AZ153" i="3"/>
  <c r="BA154" i="3"/>
  <c r="AZ154" i="3"/>
  <c r="BL155" i="3"/>
  <c r="AZ155" i="3"/>
  <c r="BL158" i="3"/>
  <c r="AZ158" i="3"/>
  <c r="BA160" i="3"/>
  <c r="AZ160" i="3"/>
  <c r="BL161" i="3"/>
  <c r="G164" i="3"/>
  <c r="BA165" i="3"/>
  <c r="AZ165" i="3"/>
  <c r="BA166" i="3"/>
  <c r="AZ166" i="3"/>
  <c r="BL167" i="3"/>
  <c r="AZ167" i="3"/>
  <c r="BA169" i="3"/>
  <c r="AZ169" i="3"/>
  <c r="BA170" i="3"/>
  <c r="AZ170" i="3"/>
  <c r="BL171" i="3"/>
  <c r="AZ171" i="3"/>
  <c r="BL174" i="3"/>
  <c r="AZ174" i="3"/>
  <c r="BA176" i="3"/>
  <c r="AZ176" i="3"/>
  <c r="BL177" i="3"/>
  <c r="G180" i="3"/>
  <c r="BA181" i="3"/>
  <c r="AZ181" i="3"/>
  <c r="BA182" i="3"/>
  <c r="AZ182" i="3"/>
  <c r="BL183" i="3"/>
  <c r="AZ183" i="3"/>
  <c r="BA185" i="3"/>
  <c r="AZ185" i="3"/>
  <c r="G246" i="3"/>
  <c r="BL246" i="3"/>
  <c r="BA247" i="3"/>
  <c r="AZ247" i="3"/>
  <c r="BA248" i="3"/>
  <c r="AZ248" i="3"/>
  <c r="BA249" i="3"/>
  <c r="AZ249" i="3"/>
  <c r="BA250" i="3"/>
  <c r="AZ250" i="3"/>
  <c r="BA251" i="3"/>
  <c r="AZ251" i="3"/>
  <c r="BL253" i="3"/>
  <c r="AZ253" i="3"/>
  <c r="G256" i="3"/>
  <c r="G257" i="3"/>
  <c r="G258" i="3"/>
  <c r="BL258" i="3"/>
  <c r="G261" i="3"/>
  <c r="G262" i="3"/>
  <c r="BL262"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AZ300" i="3"/>
  <c r="AZ118" i="3"/>
  <c r="AZ121" i="3"/>
  <c r="AZ134" i="3"/>
  <c r="AZ137" i="3"/>
  <c r="AZ145" i="3"/>
  <c r="AZ161" i="3"/>
  <c r="AZ177" i="3"/>
  <c r="BA186" i="3"/>
  <c r="AZ186" i="3"/>
  <c r="BL187" i="3"/>
  <c r="AZ187" i="3"/>
  <c r="BL190" i="3"/>
  <c r="AZ190" i="3"/>
  <c r="BA192" i="3"/>
  <c r="AZ192" i="3"/>
  <c r="BL193" i="3"/>
  <c r="G196" i="3"/>
  <c r="BA197" i="3"/>
  <c r="AZ197" i="3"/>
  <c r="BA198" i="3"/>
  <c r="AZ198" i="3"/>
  <c r="BL199" i="3"/>
  <c r="AZ199" i="3"/>
  <c r="BA201" i="3"/>
  <c r="AZ201" i="3"/>
  <c r="BA202" i="3"/>
  <c r="AZ202" i="3"/>
  <c r="BL203" i="3"/>
  <c r="AZ203" i="3"/>
  <c r="BL206" i="3"/>
  <c r="AZ206" i="3"/>
  <c r="BA207" i="3"/>
  <c r="AZ207" i="3"/>
  <c r="BL19" i="3"/>
  <c r="AZ19" i="3"/>
  <c r="BL21" i="3"/>
  <c r="AZ21" i="3"/>
  <c r="BA22" i="3"/>
  <c r="AZ22" i="3"/>
  <c r="BL24" i="3"/>
  <c r="AZ24" i="3"/>
  <c r="BA25" i="3"/>
  <c r="AZ25" i="3"/>
  <c r="BA26" i="3"/>
  <c r="AZ26" i="3"/>
  <c r="BL28" i="3"/>
  <c r="AZ28" i="3"/>
  <c r="G31" i="3"/>
  <c r="G32" i="3"/>
  <c r="G33" i="3"/>
  <c r="G34" i="3"/>
  <c r="BL34" i="3"/>
  <c r="AZ34" i="3"/>
  <c r="G37" i="3"/>
  <c r="G38" i="3"/>
  <c r="BL38" i="3"/>
  <c r="G41" i="3"/>
  <c r="G42" i="3"/>
  <c r="G43" i="3"/>
  <c r="G44" i="3"/>
  <c r="BL44" i="3"/>
  <c r="AZ44" i="3"/>
  <c r="G47" i="3"/>
  <c r="G48" i="3"/>
  <c r="BL48" i="3"/>
  <c r="BA49" i="3"/>
  <c r="AZ49" i="3"/>
  <c r="BA50" i="3"/>
  <c r="AZ50" i="3"/>
  <c r="BA51" i="3"/>
  <c r="AZ51" i="3"/>
  <c r="BL53" i="3"/>
  <c r="AZ53" i="3"/>
  <c r="BA54" i="3"/>
  <c r="AZ54" i="3"/>
  <c r="BA55" i="3"/>
  <c r="AZ55"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BL83" i="3"/>
  <c r="AZ83" i="3"/>
  <c r="BL85" i="3"/>
  <c r="AZ85" i="3"/>
  <c r="BA87" i="3"/>
  <c r="AZ87" i="3"/>
  <c r="BA88" i="3"/>
  <c r="AZ88" i="3"/>
  <c r="BA89" i="3"/>
  <c r="AZ89" i="3"/>
  <c r="G92" i="3"/>
  <c r="BL92" i="3"/>
  <c r="AZ92" i="3"/>
  <c r="BL94" i="3"/>
  <c r="AZ94" i="3"/>
  <c r="BA95" i="3"/>
  <c r="AZ95" i="3"/>
  <c r="BL97" i="3"/>
  <c r="AZ97" i="3"/>
  <c r="BA98" i="3"/>
  <c r="AZ98" i="3"/>
  <c r="G101" i="3"/>
  <c r="G102" i="3"/>
  <c r="G103" i="3"/>
  <c r="BL103" i="3"/>
  <c r="BA104" i="3"/>
  <c r="AZ104" i="3"/>
  <c r="BA105" i="3"/>
  <c r="AZ105" i="3"/>
  <c r="BL107" i="3"/>
  <c r="AZ107" i="3"/>
  <c r="C29" i="71"/>
  <c r="D29" i="71"/>
  <c r="D28" i="71"/>
  <c r="AZ193" i="3"/>
  <c r="AZ38" i="3"/>
  <c r="AZ48" i="3"/>
  <c r="AZ81" i="3"/>
  <c r="AZ103" i="3"/>
  <c r="G1" i="79"/>
  <c r="F3" i="35"/>
  <c r="D40" i="71"/>
  <c r="C41" i="71"/>
  <c r="BA108" i="3"/>
  <c r="AZ108" i="3"/>
  <c r="BA109" i="3"/>
  <c r="AZ109" i="3"/>
  <c r="BA110" i="3"/>
  <c r="AZ110" i="3"/>
  <c r="BA111" i="3"/>
  <c r="AZ111" i="3"/>
  <c r="D54" i="43"/>
  <c r="I100" i="43"/>
  <c r="I10" i="66"/>
  <c r="U18" i="35"/>
  <c r="C29" i="39"/>
  <c r="B66" i="43"/>
  <c r="AB12" i="71"/>
  <c r="Y13" i="71"/>
  <c r="Z13" i="71"/>
  <c r="X13" i="71"/>
  <c r="AB14" i="71"/>
  <c r="AB16" i="71"/>
  <c r="Y17" i="71"/>
  <c r="Z17" i="71"/>
  <c r="AB18" i="71"/>
  <c r="B21" i="71"/>
  <c r="B22" i="71"/>
  <c r="S22" i="71"/>
  <c r="B37" i="71"/>
  <c r="B38" i="71"/>
  <c r="S38" i="71"/>
  <c r="B45" i="71"/>
  <c r="B46" i="71"/>
  <c r="S46" i="71"/>
  <c r="AB10" i="43"/>
  <c r="P61" i="15"/>
  <c r="B5" i="71"/>
  <c r="T46" i="71"/>
  <c r="D100" i="43"/>
  <c r="D9" i="53"/>
  <c r="B25" i="72"/>
  <c r="B24" i="72"/>
  <c r="C18" i="9"/>
  <c r="D18" i="9"/>
  <c r="F17" i="34"/>
  <c r="H17" i="34"/>
  <c r="F112" i="34"/>
  <c r="G112" i="34"/>
  <c r="F37" i="34"/>
  <c r="AB35" i="34"/>
  <c r="S35" i="34"/>
  <c r="S43" i="34"/>
  <c r="AA40" i="34"/>
  <c r="AC39" i="34"/>
  <c r="AC38" i="34"/>
  <c r="AA38" i="34"/>
  <c r="U27" i="34"/>
  <c r="G88" i="34"/>
  <c r="H88" i="34"/>
  <c r="I88" i="34"/>
  <c r="J88" i="34"/>
  <c r="K88" i="34"/>
  <c r="L88" i="34"/>
  <c r="M88" i="34"/>
  <c r="F25" i="34"/>
  <c r="S25" i="34"/>
  <c r="H25" i="34"/>
  <c r="AB25" i="34"/>
  <c r="J25" i="34"/>
  <c r="U25" i="34"/>
  <c r="AA25" i="34"/>
  <c r="AB33" i="34"/>
  <c r="U31" i="34"/>
  <c r="AC23" i="34"/>
  <c r="AB23" i="34"/>
  <c r="AC17" i="34"/>
  <c r="E4" i="49"/>
  <c r="S21" i="34"/>
  <c r="W19" i="34"/>
  <c r="W11" i="34"/>
  <c r="AB11" i="34"/>
  <c r="U10" i="34"/>
  <c r="S10" i="34"/>
  <c r="W9" i="34"/>
  <c r="W8" i="34"/>
  <c r="S42" i="33"/>
  <c r="S43" i="33"/>
  <c r="U42" i="33"/>
  <c r="U39" i="33"/>
  <c r="S39" i="33"/>
  <c r="AC37" i="33"/>
  <c r="AA35" i="33"/>
  <c r="W32" i="33"/>
  <c r="AC27" i="33"/>
  <c r="AA25" i="33"/>
  <c r="W25" i="33"/>
  <c r="U19" i="33"/>
  <c r="S17" i="33"/>
  <c r="U15" i="33"/>
  <c r="B6" i="49"/>
  <c r="W10" i="33"/>
  <c r="U9" i="33"/>
  <c r="S9" i="33"/>
  <c r="S8" i="33"/>
  <c r="F31" i="67"/>
  <c r="E65" i="40"/>
  <c r="F63" i="40"/>
  <c r="C70" i="39"/>
  <c r="D68" i="39"/>
  <c r="AZ334" i="3"/>
  <c r="AZ351" i="3"/>
  <c r="AZ327" i="3"/>
  <c r="S11" i="39"/>
  <c r="W11" i="39"/>
  <c r="AC11" i="39"/>
  <c r="AZ557" i="3"/>
  <c r="S15" i="37"/>
  <c r="AA25" i="21"/>
  <c r="W31" i="34"/>
  <c r="AA13" i="35"/>
  <c r="J12" i="36"/>
  <c r="H12" i="36"/>
  <c r="J24" i="36"/>
  <c r="H24" i="36"/>
  <c r="J39" i="40"/>
  <c r="H39" i="40"/>
  <c r="BA551" i="3"/>
  <c r="AZ551" i="3"/>
  <c r="AZ399" i="3"/>
  <c r="AZ404" i="3"/>
  <c r="AZ411" i="3"/>
  <c r="AZ414" i="3"/>
  <c r="AZ421" i="3"/>
  <c r="AZ423" i="3"/>
  <c r="AZ427" i="3"/>
  <c r="AZ430" i="3"/>
  <c r="AZ440" i="3"/>
  <c r="AZ449" i="3"/>
  <c r="AZ453" i="3"/>
  <c r="AZ455" i="3"/>
  <c r="AZ460" i="3"/>
  <c r="AZ471" i="3"/>
  <c r="AZ476" i="3"/>
  <c r="AZ478" i="3"/>
  <c r="AZ484" i="3"/>
  <c r="AZ492" i="3"/>
  <c r="AZ395" i="3"/>
  <c r="AZ208" i="3"/>
  <c r="AZ211" i="3"/>
  <c r="AZ219" i="3"/>
  <c r="H12" i="33"/>
  <c r="H23" i="35"/>
  <c r="J23" i="35"/>
  <c r="F38" i="40"/>
  <c r="J38" i="40"/>
  <c r="H38" i="40"/>
  <c r="BL550" i="3"/>
  <c r="AZ550" i="3"/>
  <c r="AZ230" i="3"/>
  <c r="AZ242" i="3"/>
  <c r="AZ246" i="3"/>
  <c r="AZ258" i="3"/>
  <c r="AZ262" i="3"/>
  <c r="AZ267" i="3"/>
  <c r="AZ278" i="3"/>
  <c r="AZ284" i="3"/>
  <c r="AZ292" i="3"/>
  <c r="AZ302" i="3"/>
  <c r="AZ113" i="3"/>
  <c r="AZ126" i="3"/>
  <c r="AZ129" i="3"/>
  <c r="AZ141" i="3"/>
  <c r="AZ205" i="3"/>
  <c r="AZ18" i="3"/>
  <c r="AZ23" i="3"/>
  <c r="AZ27" i="3"/>
  <c r="AZ52" i="3"/>
  <c r="AZ56" i="3"/>
  <c r="AZ65" i="3"/>
  <c r="AZ70" i="3"/>
  <c r="AZ76" i="3"/>
  <c r="AZ90" i="3"/>
  <c r="AZ96" i="3"/>
  <c r="AZ99" i="3"/>
  <c r="AZ106" i="3"/>
  <c r="AZ112" i="3"/>
  <c r="J51" i="15"/>
  <c r="D49" i="43"/>
  <c r="D51" i="43"/>
  <c r="D53" i="43"/>
  <c r="K100" i="43"/>
  <c r="G100" i="43"/>
  <c r="C21" i="68"/>
  <c r="C40" i="68"/>
  <c r="AC21" i="33"/>
  <c r="AB21" i="33"/>
  <c r="D48" i="71"/>
  <c r="O48" i="71"/>
  <c r="O47" i="71"/>
  <c r="T38" i="71"/>
  <c r="D38" i="71"/>
  <c r="E9" i="71"/>
  <c r="E8" i="71"/>
  <c r="V10" i="71"/>
  <c r="T34" i="71"/>
  <c r="D34" i="71"/>
  <c r="D21" i="71"/>
  <c r="C22" i="71"/>
  <c r="T18" i="71"/>
  <c r="D18" i="71"/>
  <c r="T10" i="71"/>
  <c r="C9" i="71"/>
  <c r="D10" i="71"/>
  <c r="U10" i="71"/>
  <c r="T14" i="71"/>
  <c r="D14" i="71"/>
  <c r="D49" i="71"/>
  <c r="AA9" i="71"/>
  <c r="AA7" i="71"/>
  <c r="X10" i="71"/>
  <c r="X9" i="71"/>
  <c r="AB15" i="71"/>
  <c r="Y15" i="71"/>
  <c r="Z15" i="71"/>
  <c r="X14" i="71"/>
  <c r="X19" i="71"/>
  <c r="AA11" i="71"/>
  <c r="Y5" i="71"/>
  <c r="Z5" i="71"/>
  <c r="AB6" i="71"/>
  <c r="AA5" i="71"/>
  <c r="X5" i="71"/>
  <c r="AB5" i="71"/>
  <c r="B49" i="71"/>
  <c r="AE10" i="43"/>
  <c r="P74" i="67"/>
  <c r="X6" i="71"/>
  <c r="Y6" i="71"/>
  <c r="Z6" i="71"/>
  <c r="L9" i="77"/>
  <c r="M9" i="77"/>
  <c r="M10" i="77"/>
  <c r="U3" i="43"/>
  <c r="I13" i="3"/>
  <c r="K14" i="3"/>
  <c r="U4" i="43"/>
  <c r="AA6" i="71"/>
  <c r="J53" i="15"/>
  <c r="F1" i="15"/>
  <c r="AJ10" i="43"/>
  <c r="AF10" i="43"/>
  <c r="AH10" i="43"/>
  <c r="AD10" i="43"/>
  <c r="Z10" i="43"/>
  <c r="AG10" i="43"/>
  <c r="AC10" i="43"/>
  <c r="E11" i="43"/>
  <c r="E9" i="43"/>
  <c r="E10" i="43"/>
  <c r="E8" i="43"/>
  <c r="G39" i="43"/>
  <c r="I39" i="43"/>
  <c r="D5" i="43"/>
  <c r="H52" i="43"/>
  <c r="H50" i="43"/>
  <c r="H48" i="43"/>
  <c r="H53" i="43"/>
  <c r="H51" i="43"/>
  <c r="H49" i="43"/>
  <c r="H54" i="43"/>
  <c r="H55" i="43"/>
  <c r="H56" i="43"/>
  <c r="F34" i="79"/>
  <c r="F62" i="79"/>
  <c r="M20" i="79"/>
  <c r="C94" i="9"/>
  <c r="C92" i="9"/>
  <c r="C74" i="9"/>
  <c r="F28" i="15"/>
  <c r="C28" i="15"/>
  <c r="D68" i="9"/>
  <c r="M18" i="67"/>
  <c r="C36" i="11"/>
  <c r="C36" i="68"/>
  <c r="F54" i="9"/>
  <c r="C24" i="12"/>
  <c r="M18" i="15"/>
  <c r="F32" i="15"/>
  <c r="F60" i="15"/>
  <c r="F30" i="69"/>
  <c r="F32" i="67"/>
  <c r="F60" i="67"/>
  <c r="F31" i="12"/>
  <c r="C31" i="12"/>
  <c r="F28" i="67"/>
  <c r="C28" i="67"/>
  <c r="F30" i="11"/>
  <c r="F30" i="68"/>
  <c r="F28" i="79"/>
  <c r="M18" i="79"/>
  <c r="F32" i="79"/>
  <c r="F60" i="79"/>
  <c r="C40" i="69"/>
  <c r="D23" i="67"/>
  <c r="AZ15" i="3"/>
  <c r="L27" i="6"/>
  <c r="AR11" i="1"/>
  <c r="D9" i="69"/>
  <c r="C9" i="69"/>
  <c r="T8" i="1"/>
  <c r="C36" i="69"/>
  <c r="AR8" i="1"/>
  <c r="T11" i="1"/>
  <c r="AQ13" i="1"/>
  <c r="AR10" i="1"/>
  <c r="P10" i="1"/>
  <c r="O7" i="1"/>
  <c r="P7" i="1"/>
  <c r="O12" i="1"/>
  <c r="P12" i="1"/>
  <c r="O8" i="1"/>
  <c r="P8" i="1"/>
  <c r="O14" i="1"/>
  <c r="P14" i="1"/>
  <c r="O9" i="1"/>
  <c r="P9" i="1"/>
  <c r="T9" i="1"/>
  <c r="AQ9" i="1"/>
  <c r="O6" i="1"/>
  <c r="C5" i="43"/>
  <c r="T35" i="4"/>
  <c r="A19" i="51"/>
  <c r="B14" i="72"/>
  <c r="A15" i="62"/>
  <c r="B61" i="72"/>
  <c r="I14" i="74"/>
  <c r="B8" i="74"/>
  <c r="D127" i="9"/>
  <c r="D13" i="52"/>
  <c r="D12" i="52"/>
  <c r="D19" i="53"/>
  <c r="J59" i="34"/>
  <c r="K59" i="34"/>
  <c r="L59" i="34"/>
  <c r="M59" i="34"/>
  <c r="N59" i="34"/>
  <c r="O59" i="34"/>
  <c r="H7" i="21"/>
  <c r="G58" i="21"/>
  <c r="H58" i="21"/>
  <c r="I58" i="21"/>
  <c r="J58" i="21"/>
  <c r="K58" i="21"/>
  <c r="L58" i="21"/>
  <c r="M58" i="21"/>
  <c r="N58" i="21"/>
  <c r="O58" i="21"/>
  <c r="F7" i="21"/>
  <c r="E46" i="36"/>
  <c r="F46" i="36"/>
  <c r="G46" i="36"/>
  <c r="H46" i="36"/>
  <c r="I46" i="36"/>
  <c r="J46" i="36"/>
  <c r="K46" i="36"/>
  <c r="L46" i="36"/>
  <c r="M46" i="36"/>
  <c r="N46" i="36"/>
  <c r="O46" i="36"/>
  <c r="F7" i="36"/>
  <c r="H7" i="36"/>
  <c r="G48" i="35"/>
  <c r="H48" i="35"/>
  <c r="I48" i="35"/>
  <c r="J48" i="35"/>
  <c r="K48" i="35"/>
  <c r="L48" i="35"/>
  <c r="M48" i="35"/>
  <c r="N48" i="35"/>
  <c r="O48" i="35"/>
  <c r="F7" i="35"/>
  <c r="H52" i="37"/>
  <c r="I52" i="37"/>
  <c r="J52" i="37"/>
  <c r="K52" i="37"/>
  <c r="L52" i="37"/>
  <c r="M52" i="37"/>
  <c r="N52" i="37"/>
  <c r="O52" i="37"/>
  <c r="J7" i="37"/>
  <c r="F58" i="33"/>
  <c r="G58" i="33"/>
  <c r="H58" i="33"/>
  <c r="I58" i="33"/>
  <c r="J58" i="33"/>
  <c r="K58" i="33"/>
  <c r="L58" i="33"/>
  <c r="M58" i="33"/>
  <c r="N58" i="33"/>
  <c r="O58" i="33"/>
  <c r="C28" i="79"/>
  <c r="J7" i="34"/>
  <c r="B13" i="49"/>
  <c r="E6" i="49"/>
  <c r="E21" i="49"/>
  <c r="B16" i="49"/>
  <c r="E4" i="4"/>
  <c r="B5" i="62"/>
  <c r="B73" i="72"/>
  <c r="E9" i="49"/>
  <c r="B11" i="49"/>
  <c r="E7" i="49"/>
  <c r="B10" i="49"/>
  <c r="E11" i="49"/>
  <c r="B8" i="49"/>
  <c r="B4" i="49"/>
  <c r="E5" i="49"/>
  <c r="E10" i="49"/>
  <c r="E8" i="49"/>
  <c r="E16" i="49"/>
  <c r="B9" i="49"/>
  <c r="C4" i="4"/>
  <c r="B4" i="62"/>
  <c r="B71" i="72"/>
  <c r="B5" i="49"/>
  <c r="E22" i="49"/>
  <c r="B14" i="49"/>
  <c r="B7" i="49"/>
  <c r="B22" i="49"/>
  <c r="F69" i="67"/>
  <c r="J20" i="67"/>
  <c r="F70" i="67"/>
  <c r="F64" i="67"/>
  <c r="F65" i="67"/>
  <c r="I54" i="15"/>
  <c r="L56" i="15"/>
  <c r="J57" i="15"/>
  <c r="J55" i="15"/>
  <c r="J58" i="15"/>
  <c r="Q50" i="15"/>
  <c r="Q71" i="15"/>
  <c r="F71" i="67"/>
  <c r="M7" i="67"/>
  <c r="F50" i="67"/>
  <c r="F66" i="15"/>
  <c r="F51" i="67"/>
  <c r="C49" i="67"/>
  <c r="C6" i="67"/>
  <c r="B10" i="70"/>
  <c r="B11" i="70"/>
  <c r="I1" i="73"/>
  <c r="B39" i="1"/>
  <c r="B8" i="70"/>
  <c r="F63" i="67"/>
  <c r="C62" i="67"/>
  <c r="C34" i="67"/>
  <c r="F68" i="67"/>
  <c r="F66" i="67"/>
  <c r="C27" i="15"/>
  <c r="L58" i="67"/>
  <c r="L59" i="67"/>
  <c r="N59" i="67"/>
  <c r="M59" i="67"/>
  <c r="F51" i="15"/>
  <c r="F68" i="15"/>
  <c r="M59" i="15"/>
  <c r="L59" i="15"/>
  <c r="L58" i="15"/>
  <c r="N59" i="15"/>
  <c r="F64" i="15"/>
  <c r="F65" i="15"/>
  <c r="I54" i="67"/>
  <c r="J57" i="67"/>
  <c r="J55" i="67"/>
  <c r="J58" i="67"/>
  <c r="Q50" i="67"/>
  <c r="L56" i="67"/>
  <c r="C27" i="67"/>
  <c r="Q71" i="67"/>
  <c r="B12" i="70"/>
  <c r="B13" i="70"/>
  <c r="B9" i="70"/>
  <c r="E20" i="43"/>
  <c r="K1" i="73"/>
  <c r="F31" i="15"/>
  <c r="F59" i="67"/>
  <c r="F59" i="15"/>
  <c r="M17" i="15"/>
  <c r="M17" i="67"/>
  <c r="G1" i="73"/>
  <c r="C14" i="67"/>
  <c r="C17" i="67"/>
  <c r="C16" i="67"/>
  <c r="AE7" i="1"/>
  <c r="H7" i="33"/>
  <c r="C42" i="71"/>
  <c r="D41" i="71"/>
  <c r="G30" i="6"/>
  <c r="G31" i="6"/>
  <c r="E28" i="6"/>
  <c r="AA9" i="34"/>
  <c r="S9" i="34"/>
  <c r="AB11" i="33"/>
  <c r="U11" i="33"/>
  <c r="E48" i="43"/>
  <c r="B46" i="43"/>
  <c r="C24" i="43"/>
  <c r="BL5" i="3"/>
  <c r="I21" i="66"/>
  <c r="D1" i="66"/>
  <c r="E10" i="66"/>
  <c r="AZ469" i="3"/>
  <c r="AZ443" i="3"/>
  <c r="AZ402" i="3"/>
  <c r="AA44" i="39"/>
  <c r="S44" i="39"/>
  <c r="W11" i="33"/>
  <c r="AC11" i="33"/>
  <c r="AA11" i="33"/>
  <c r="S11" i="33"/>
  <c r="U17" i="34"/>
  <c r="AB17" i="34"/>
  <c r="AA17" i="34"/>
  <c r="S17" i="34"/>
  <c r="AA37" i="34"/>
  <c r="S37" i="34"/>
  <c r="H112" i="34"/>
  <c r="I112" i="34"/>
  <c r="J112" i="34"/>
  <c r="K112" i="34"/>
  <c r="L112" i="34"/>
  <c r="M112" i="34"/>
  <c r="H37" i="34"/>
  <c r="J37" i="34"/>
  <c r="AC25" i="34"/>
  <c r="W25" i="34"/>
  <c r="Q52" i="15"/>
  <c r="J7" i="33"/>
  <c r="W7" i="33"/>
  <c r="H7" i="37"/>
  <c r="F7" i="37"/>
  <c r="H7" i="35"/>
  <c r="J7" i="35"/>
  <c r="H7" i="34"/>
  <c r="AB7" i="34"/>
  <c r="F7" i="34"/>
  <c r="S7" i="34"/>
  <c r="F20" i="6"/>
  <c r="E20" i="6"/>
  <c r="K7" i="1"/>
  <c r="H14" i="3"/>
  <c r="G14" i="3"/>
  <c r="BC14" i="3"/>
  <c r="K5" i="3"/>
  <c r="N49" i="71"/>
  <c r="B48" i="71"/>
  <c r="AC38" i="40"/>
  <c r="W38" i="40"/>
  <c r="AC23" i="35"/>
  <c r="W23" i="35"/>
  <c r="U12" i="33"/>
  <c r="AB12" i="33"/>
  <c r="U39" i="40"/>
  <c r="AB39" i="40"/>
  <c r="AB24" i="36"/>
  <c r="U24" i="36"/>
  <c r="U12" i="36"/>
  <c r="AB12" i="36"/>
  <c r="E68" i="39"/>
  <c r="D70" i="39"/>
  <c r="F65" i="40"/>
  <c r="G63" i="40"/>
  <c r="F19" i="6"/>
  <c r="E19" i="6"/>
  <c r="K6" i="1"/>
  <c r="BB13" i="3"/>
  <c r="H13" i="3"/>
  <c r="I5" i="3"/>
  <c r="C8" i="71"/>
  <c r="D9" i="71"/>
  <c r="M19" i="43"/>
  <c r="T22" i="71"/>
  <c r="D22" i="71"/>
  <c r="AB38" i="40"/>
  <c r="U38" i="40"/>
  <c r="AA38" i="40"/>
  <c r="S38" i="40"/>
  <c r="U23" i="35"/>
  <c r="AB23" i="35"/>
  <c r="AC39" i="40"/>
  <c r="W39" i="40"/>
  <c r="AC24" i="36"/>
  <c r="W24" i="36"/>
  <c r="AC12" i="36"/>
  <c r="W12" i="36"/>
  <c r="C48" i="11"/>
  <c r="C30" i="11"/>
  <c r="C48" i="69"/>
  <c r="C30" i="69"/>
  <c r="C30" i="68"/>
  <c r="C48" i="68"/>
  <c r="P6" i="1"/>
  <c r="P16" i="1"/>
  <c r="C11" i="12"/>
  <c r="O16" i="1"/>
  <c r="B38" i="72"/>
  <c r="D20" i="53"/>
  <c r="B40" i="72"/>
  <c r="K4" i="4"/>
  <c r="B46" i="48"/>
  <c r="B4" i="72"/>
  <c r="S7" i="36"/>
  <c r="AA7" i="36"/>
  <c r="R36" i="36"/>
  <c r="U7" i="33"/>
  <c r="AB7" i="33"/>
  <c r="T48" i="33"/>
  <c r="G48" i="33"/>
  <c r="U7" i="37"/>
  <c r="AB7" i="37"/>
  <c r="T42" i="37"/>
  <c r="G42" i="37"/>
  <c r="S7" i="37"/>
  <c r="AA7" i="37"/>
  <c r="R42" i="37"/>
  <c r="AB7" i="35"/>
  <c r="T38" i="35"/>
  <c r="G38" i="35"/>
  <c r="U7" i="35"/>
  <c r="AC7" i="35"/>
  <c r="V38" i="35"/>
  <c r="I38" i="35"/>
  <c r="W7" i="35"/>
  <c r="U7" i="36"/>
  <c r="AB7" i="36"/>
  <c r="T36" i="36"/>
  <c r="G36" i="36"/>
  <c r="S7" i="21"/>
  <c r="AA7" i="21"/>
  <c r="R48" i="21"/>
  <c r="AB7" i="21"/>
  <c r="T48" i="21"/>
  <c r="G48" i="21"/>
  <c r="U7" i="21"/>
  <c r="U7" i="34"/>
  <c r="AC7" i="34"/>
  <c r="W7" i="34"/>
  <c r="AC7" i="37"/>
  <c r="V42" i="37"/>
  <c r="I42" i="37"/>
  <c r="W7" i="37"/>
  <c r="AA7" i="35"/>
  <c r="R38" i="35"/>
  <c r="S7" i="35"/>
  <c r="F7" i="33"/>
  <c r="J7" i="36"/>
  <c r="J7" i="21"/>
  <c r="M11" i="79"/>
  <c r="F11" i="79"/>
  <c r="C15" i="67"/>
  <c r="C18" i="67"/>
  <c r="B40" i="1"/>
  <c r="F24" i="79"/>
  <c r="O17" i="43"/>
  <c r="P17" i="43"/>
  <c r="N17" i="43"/>
  <c r="M17" i="43"/>
  <c r="G20" i="43"/>
  <c r="C20" i="43"/>
  <c r="Q73" i="15"/>
  <c r="Q60" i="15"/>
  <c r="Q73" i="67"/>
  <c r="Q60" i="67"/>
  <c r="Q74" i="15"/>
  <c r="Q61" i="15"/>
  <c r="Q61" i="67"/>
  <c r="Q74" i="67"/>
  <c r="M11" i="15"/>
  <c r="M11" i="67"/>
  <c r="J10" i="67"/>
  <c r="F11" i="15"/>
  <c r="F11" i="67"/>
  <c r="J6" i="67"/>
  <c r="M23" i="79"/>
  <c r="F36" i="79"/>
  <c r="F26" i="79"/>
  <c r="M28" i="79"/>
  <c r="J15" i="79"/>
  <c r="M9" i="79"/>
  <c r="F43" i="79"/>
  <c r="F41" i="15"/>
  <c r="F42" i="79"/>
  <c r="M29" i="15"/>
  <c r="F16" i="79"/>
  <c r="M27" i="79"/>
  <c r="C76" i="79"/>
  <c r="M24" i="79"/>
  <c r="L47" i="79"/>
  <c r="F9" i="79"/>
  <c r="F38" i="79"/>
  <c r="M6" i="79"/>
  <c r="M26" i="79"/>
  <c r="M8" i="79"/>
  <c r="F37" i="79"/>
  <c r="F7" i="79"/>
  <c r="F13" i="79"/>
  <c r="F8" i="79"/>
  <c r="F7" i="15"/>
  <c r="L48" i="79"/>
  <c r="F40" i="79"/>
  <c r="F43" i="15"/>
  <c r="M22" i="79"/>
  <c r="M29" i="79"/>
  <c r="F65" i="79"/>
  <c r="M59" i="79"/>
  <c r="N59" i="79"/>
  <c r="L59" i="79"/>
  <c r="L58" i="79"/>
  <c r="F51" i="79"/>
  <c r="C27" i="79"/>
  <c r="Q71" i="79"/>
  <c r="F66" i="79"/>
  <c r="F68" i="79"/>
  <c r="F64" i="79"/>
  <c r="I54" i="79"/>
  <c r="J57" i="79"/>
  <c r="J55" i="79"/>
  <c r="J58" i="79"/>
  <c r="Q50" i="79"/>
  <c r="J53" i="79"/>
  <c r="L56" i="79"/>
  <c r="T42" i="71"/>
  <c r="D42" i="71"/>
  <c r="E30" i="6"/>
  <c r="K14" i="1"/>
  <c r="M14" i="1"/>
  <c r="U37" i="34"/>
  <c r="AB37" i="34"/>
  <c r="T49" i="34"/>
  <c r="G49" i="34"/>
  <c r="AC37" i="34"/>
  <c r="V49" i="34"/>
  <c r="I49" i="34"/>
  <c r="I53" i="34"/>
  <c r="J53" i="34"/>
  <c r="W37" i="34"/>
  <c r="AA7" i="34"/>
  <c r="R49" i="34"/>
  <c r="E49" i="34"/>
  <c r="AC7" i="33"/>
  <c r="V48" i="33"/>
  <c r="I48" i="33"/>
  <c r="F71" i="79"/>
  <c r="M7" i="79"/>
  <c r="J6" i="79"/>
  <c r="J10" i="79"/>
  <c r="J5" i="79"/>
  <c r="J24" i="79"/>
  <c r="F50" i="79"/>
  <c r="C49" i="79"/>
  <c r="F71" i="15"/>
  <c r="F50" i="15"/>
  <c r="C49" i="15"/>
  <c r="M7" i="15"/>
  <c r="J6" i="15"/>
  <c r="J10" i="15"/>
  <c r="J5" i="15"/>
  <c r="F69" i="15"/>
  <c r="D8" i="71"/>
  <c r="M20" i="43"/>
  <c r="C19" i="43"/>
  <c r="H5" i="3"/>
  <c r="G13" i="3"/>
  <c r="M6" i="1"/>
  <c r="Q16" i="1"/>
  <c r="G16" i="1"/>
  <c r="H16" i="1"/>
  <c r="G65" i="40"/>
  <c r="H63" i="40"/>
  <c r="N47" i="71"/>
  <c r="N48" i="71"/>
  <c r="I4" i="6"/>
  <c r="G3" i="43"/>
  <c r="S2" i="43"/>
  <c r="T2" i="43"/>
  <c r="V2" i="43"/>
  <c r="BB5" i="3"/>
  <c r="BA13" i="3"/>
  <c r="F68" i="39"/>
  <c r="E70" i="39"/>
  <c r="BA14" i="3"/>
  <c r="AZ14" i="3"/>
  <c r="BC5" i="3"/>
  <c r="M7" i="1"/>
  <c r="C34" i="43"/>
  <c r="C36" i="43"/>
  <c r="C33" i="43"/>
  <c r="C35" i="43"/>
  <c r="T11" i="43"/>
  <c r="V11" i="43"/>
  <c r="T14" i="43"/>
  <c r="V14" i="43"/>
  <c r="T9" i="43"/>
  <c r="V9" i="43"/>
  <c r="T15" i="43"/>
  <c r="V15" i="43"/>
  <c r="T10" i="43"/>
  <c r="V10" i="43"/>
  <c r="C37" i="43"/>
  <c r="T12" i="43"/>
  <c r="V12" i="43"/>
  <c r="T13" i="43"/>
  <c r="V13" i="43"/>
  <c r="C38" i="43"/>
  <c r="T16" i="43"/>
  <c r="V16" i="43"/>
  <c r="T8" i="43"/>
  <c r="V8" i="43"/>
  <c r="C39" i="43"/>
  <c r="E39" i="43"/>
  <c r="C12" i="12"/>
  <c r="C15" i="12"/>
  <c r="S6" i="43"/>
  <c r="T6" i="43"/>
  <c r="V6" i="43"/>
  <c r="S5" i="43"/>
  <c r="T5" i="43"/>
  <c r="V5" i="43"/>
  <c r="C23" i="43"/>
  <c r="C21" i="43"/>
  <c r="C29" i="43"/>
  <c r="W7" i="36"/>
  <c r="AC7" i="36"/>
  <c r="V36" i="36"/>
  <c r="I36" i="36"/>
  <c r="G41" i="36"/>
  <c r="H41" i="36"/>
  <c r="G52" i="21"/>
  <c r="H52" i="21"/>
  <c r="I42" i="35"/>
  <c r="J42" i="35"/>
  <c r="G43" i="35"/>
  <c r="H43" i="35"/>
  <c r="G42" i="35"/>
  <c r="H42" i="35"/>
  <c r="AC7" i="21"/>
  <c r="V48" i="21"/>
  <c r="I48" i="21"/>
  <c r="G53" i="21"/>
  <c r="H53" i="21"/>
  <c r="W7" i="21"/>
  <c r="AA7" i="33"/>
  <c r="R48" i="33"/>
  <c r="S7" i="33"/>
  <c r="R39" i="35"/>
  <c r="E38" i="35"/>
  <c r="I46" i="37"/>
  <c r="J46" i="37"/>
  <c r="E48" i="21"/>
  <c r="R49" i="21"/>
  <c r="G40" i="36"/>
  <c r="H40" i="36"/>
  <c r="R43" i="37"/>
  <c r="E42" i="37"/>
  <c r="G47" i="37"/>
  <c r="H47" i="37"/>
  <c r="G46" i="37"/>
  <c r="H46" i="37"/>
  <c r="I52" i="33"/>
  <c r="J52" i="33"/>
  <c r="G52" i="33"/>
  <c r="H52" i="33"/>
  <c r="G53" i="33"/>
  <c r="H53" i="33"/>
  <c r="E36" i="36"/>
  <c r="R37" i="36"/>
  <c r="C53" i="79"/>
  <c r="C24" i="79"/>
  <c r="J5" i="67"/>
  <c r="J18" i="67"/>
  <c r="C19" i="67"/>
  <c r="C20" i="67"/>
  <c r="C26" i="67"/>
  <c r="F24" i="15"/>
  <c r="C24" i="15"/>
  <c r="F22" i="11"/>
  <c r="F22" i="69"/>
  <c r="F25" i="12"/>
  <c r="F24" i="67"/>
  <c r="C24" i="67"/>
  <c r="F22" i="68"/>
  <c r="C10" i="67"/>
  <c r="C5" i="67"/>
  <c r="C53" i="67"/>
  <c r="C48" i="67"/>
  <c r="C53" i="15"/>
  <c r="C16" i="79"/>
  <c r="C16" i="15"/>
  <c r="S7" i="43"/>
  <c r="T7" i="43"/>
  <c r="V7" i="43"/>
  <c r="S3" i="43"/>
  <c r="T3" i="43"/>
  <c r="V3" i="43"/>
  <c r="S4" i="43"/>
  <c r="T4" i="43"/>
  <c r="V4" i="43"/>
  <c r="K16" i="1"/>
  <c r="C34" i="69"/>
  <c r="C35" i="69"/>
  <c r="Q52" i="79"/>
  <c r="F1" i="79"/>
  <c r="Q61" i="79"/>
  <c r="Q74" i="79"/>
  <c r="Q73" i="79"/>
  <c r="Q60" i="79"/>
  <c r="G53" i="34"/>
  <c r="H53" i="34"/>
  <c r="G54" i="34"/>
  <c r="H54" i="34"/>
  <c r="R50" i="34"/>
  <c r="C49" i="34"/>
  <c r="C48" i="15"/>
  <c r="C60" i="15"/>
  <c r="J18" i="79"/>
  <c r="J26" i="79"/>
  <c r="C48" i="79"/>
  <c r="C66" i="79"/>
  <c r="J24" i="15"/>
  <c r="J18" i="15"/>
  <c r="J26" i="15"/>
  <c r="J29" i="15"/>
  <c r="BA5" i="3"/>
  <c r="E27" i="6"/>
  <c r="AZ13" i="3"/>
  <c r="AZ5" i="3"/>
  <c r="F22" i="43"/>
  <c r="F101" i="43"/>
  <c r="E22" i="43"/>
  <c r="D101" i="43"/>
  <c r="I101" i="43"/>
  <c r="AJ11" i="43"/>
  <c r="AJ13" i="43"/>
  <c r="AF11" i="43"/>
  <c r="AF13" i="43"/>
  <c r="AB11" i="43"/>
  <c r="AB13" i="43"/>
  <c r="Z7" i="43"/>
  <c r="AG11" i="43"/>
  <c r="AG13" i="43"/>
  <c r="AC11" i="43"/>
  <c r="AC13" i="43"/>
  <c r="Y11" i="43"/>
  <c r="Y13" i="43"/>
  <c r="B113" i="43"/>
  <c r="C101" i="43"/>
  <c r="N104" i="46"/>
  <c r="H101" i="43"/>
  <c r="K101" i="43"/>
  <c r="N101" i="43"/>
  <c r="H22" i="43"/>
  <c r="M101" i="43"/>
  <c r="E101" i="43"/>
  <c r="AH11" i="43"/>
  <c r="AH13" i="43"/>
  <c r="AD11" i="43"/>
  <c r="AD13" i="43"/>
  <c r="Z11" i="43"/>
  <c r="Z13" i="43"/>
  <c r="AI11" i="43"/>
  <c r="AI13" i="43"/>
  <c r="AE11" i="43"/>
  <c r="AE13" i="43"/>
  <c r="AA11" i="43"/>
  <c r="AA13" i="43"/>
  <c r="J22" i="43"/>
  <c r="G101" i="43"/>
  <c r="J101" i="43"/>
  <c r="L101" i="43"/>
  <c r="G22" i="43"/>
  <c r="F27" i="68"/>
  <c r="F28" i="12"/>
  <c r="C29" i="12"/>
  <c r="D28" i="12"/>
  <c r="F27" i="11"/>
  <c r="F27" i="69"/>
  <c r="M16" i="1"/>
  <c r="G68" i="39"/>
  <c r="F70" i="39"/>
  <c r="E8" i="6"/>
  <c r="E15" i="6"/>
  <c r="E13" i="6"/>
  <c r="E10" i="6"/>
  <c r="E11" i="6"/>
  <c r="E14" i="6"/>
  <c r="E12" i="6"/>
  <c r="H65" i="40"/>
  <c r="I63" i="40"/>
  <c r="F10" i="39"/>
  <c r="H10" i="40"/>
  <c r="J10" i="40"/>
  <c r="J10" i="39"/>
  <c r="F10" i="40"/>
  <c r="H10" i="39"/>
  <c r="G5" i="3"/>
  <c r="B3" i="3"/>
  <c r="G38" i="43"/>
  <c r="I38" i="43"/>
  <c r="E38" i="43"/>
  <c r="G33" i="43"/>
  <c r="I33" i="43"/>
  <c r="E33" i="43"/>
  <c r="G34" i="43"/>
  <c r="I34" i="43"/>
  <c r="E34" i="43"/>
  <c r="G37" i="43"/>
  <c r="I37" i="43"/>
  <c r="E37" i="43"/>
  <c r="G35" i="43"/>
  <c r="I35" i="43"/>
  <c r="E35" i="43"/>
  <c r="G36" i="43"/>
  <c r="I36" i="43"/>
  <c r="E36" i="43"/>
  <c r="C30" i="43"/>
  <c r="E30" i="43"/>
  <c r="C37" i="36"/>
  <c r="B2" i="36"/>
  <c r="B3" i="36"/>
  <c r="C36" i="36"/>
  <c r="E43" i="35"/>
  <c r="F43" i="35"/>
  <c r="E42" i="35"/>
  <c r="F42" i="35"/>
  <c r="I43" i="35"/>
  <c r="J43" i="35"/>
  <c r="E47" i="37"/>
  <c r="F47" i="37"/>
  <c r="E46" i="37"/>
  <c r="F46" i="37"/>
  <c r="C48" i="21"/>
  <c r="C49" i="21"/>
  <c r="E40" i="36"/>
  <c r="F40" i="36"/>
  <c r="E41" i="36"/>
  <c r="F41" i="36"/>
  <c r="C43" i="37"/>
  <c r="C42" i="37"/>
  <c r="E53" i="21"/>
  <c r="F53" i="21"/>
  <c r="E52" i="21"/>
  <c r="F52" i="21"/>
  <c r="E54" i="34"/>
  <c r="F54" i="34"/>
  <c r="E53" i="34"/>
  <c r="F53" i="34"/>
  <c r="C39" i="35"/>
  <c r="B2" i="35"/>
  <c r="B3" i="35"/>
  <c r="C38" i="35"/>
  <c r="R49" i="33"/>
  <c r="E48" i="33"/>
  <c r="I52" i="21"/>
  <c r="J52" i="21"/>
  <c r="I53" i="21"/>
  <c r="J53" i="21"/>
  <c r="I41" i="36"/>
  <c r="J41" i="36"/>
  <c r="I40" i="36"/>
  <c r="J40" i="36"/>
  <c r="I54" i="34"/>
  <c r="J54" i="34"/>
  <c r="I47" i="37"/>
  <c r="J47" i="37"/>
  <c r="J26" i="67"/>
  <c r="J29" i="67"/>
  <c r="J24" i="67"/>
  <c r="C38" i="67"/>
  <c r="C32" i="67"/>
  <c r="C26" i="69"/>
  <c r="D22" i="69"/>
  <c r="C44" i="69"/>
  <c r="D41" i="69"/>
  <c r="C60" i="67"/>
  <c r="C66" i="67"/>
  <c r="C26" i="68"/>
  <c r="D22" i="68"/>
  <c r="C44" i="68"/>
  <c r="D41" i="68"/>
  <c r="C26" i="12"/>
  <c r="D25" i="12"/>
  <c r="C26" i="11"/>
  <c r="D22" i="11"/>
  <c r="C44" i="11"/>
  <c r="D41" i="11"/>
  <c r="C23" i="11"/>
  <c r="C23" i="67"/>
  <c r="C29" i="67"/>
  <c r="AE6" i="1"/>
  <c r="C6" i="68"/>
  <c r="C7" i="68"/>
  <c r="C66" i="15"/>
  <c r="C38" i="69"/>
  <c r="C50" i="34"/>
  <c r="U7" i="1"/>
  <c r="C60" i="79"/>
  <c r="E149" i="3"/>
  <c r="E77" i="3"/>
  <c r="E212" i="3"/>
  <c r="E253" i="3"/>
  <c r="E167" i="3"/>
  <c r="E199" i="3"/>
  <c r="E141"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53" i="3"/>
  <c r="E175" i="3"/>
  <c r="E319" i="3"/>
  <c r="E530" i="3"/>
  <c r="E501" i="3"/>
  <c r="E343" i="3"/>
  <c r="E153" i="3"/>
  <c r="E305" i="3"/>
  <c r="E426" i="3"/>
  <c r="E508" i="3"/>
  <c r="E328" i="3"/>
  <c r="E347" i="3"/>
  <c r="E583" i="3"/>
  <c r="AA6" i="3"/>
  <c r="X6" i="3"/>
  <c r="E399" i="3"/>
  <c r="E336" i="3"/>
  <c r="E280" i="3"/>
  <c r="E246" i="3"/>
  <c r="E124" i="3"/>
  <c r="E293" i="3"/>
  <c r="E397" i="3"/>
  <c r="E314" i="3"/>
  <c r="E568" i="3"/>
  <c r="E511" i="3"/>
  <c r="E16" i="3"/>
  <c r="E536" i="3"/>
  <c r="AK6" i="3"/>
  <c r="E549" i="3"/>
  <c r="E434" i="3"/>
  <c r="E453" i="3"/>
  <c r="E306" i="3"/>
  <c r="E368" i="3"/>
  <c r="E296" i="3"/>
  <c r="E244" i="3"/>
  <c r="E262" i="3"/>
  <c r="E196" i="3"/>
  <c r="E136" i="3"/>
  <c r="E156" i="3"/>
  <c r="E236" i="3"/>
  <c r="E148" i="3"/>
  <c r="E269" i="3"/>
  <c r="E122" i="3"/>
  <c r="E89" i="3"/>
  <c r="K6" i="3"/>
  <c r="E14" i="3"/>
  <c r="I6" i="3"/>
  <c r="H6" i="3"/>
  <c r="AA10" i="40"/>
  <c r="S10" i="40"/>
  <c r="AC10" i="40"/>
  <c r="W10" i="40"/>
  <c r="AA10" i="39"/>
  <c r="S10" i="39"/>
  <c r="E64" i="39"/>
  <c r="E59" i="40"/>
  <c r="E60" i="40"/>
  <c r="E65" i="39"/>
  <c r="C34" i="11"/>
  <c r="C34" i="68"/>
  <c r="N16" i="1"/>
  <c r="L16" i="1"/>
  <c r="C47" i="11"/>
  <c r="D45" i="11"/>
  <c r="C29" i="11"/>
  <c r="D27" i="11"/>
  <c r="C29" i="68"/>
  <c r="D27" i="68"/>
  <c r="C47" i="68"/>
  <c r="D45" i="68"/>
  <c r="L106" i="43"/>
  <c r="L103" i="43"/>
  <c r="L105" i="43"/>
  <c r="L109" i="43"/>
  <c r="L107" i="43"/>
  <c r="L102" i="43"/>
  <c r="L104" i="43"/>
  <c r="G102" i="43"/>
  <c r="G109" i="43"/>
  <c r="G104" i="43"/>
  <c r="G105" i="43"/>
  <c r="G103" i="43"/>
  <c r="G107" i="43"/>
  <c r="G106" i="43"/>
  <c r="E106" i="43"/>
  <c r="E104" i="43"/>
  <c r="E105" i="43"/>
  <c r="E102" i="43"/>
  <c r="E103" i="43"/>
  <c r="E107" i="43"/>
  <c r="E109" i="43"/>
  <c r="B115" i="43"/>
  <c r="C115" i="43"/>
  <c r="I118" i="43"/>
  <c r="J118" i="43"/>
  <c r="K118" i="43"/>
  <c r="L118" i="43"/>
  <c r="M118" i="43"/>
  <c r="D115" i="43"/>
  <c r="E115" i="43"/>
  <c r="F115" i="43"/>
  <c r="G115" i="43"/>
  <c r="H115" i="43"/>
  <c r="D116" i="43"/>
  <c r="E116" i="43"/>
  <c r="F116" i="43"/>
  <c r="G116" i="43"/>
  <c r="H116" i="43"/>
  <c r="B116" i="43"/>
  <c r="C116" i="43"/>
  <c r="I117" i="43"/>
  <c r="J117" i="43"/>
  <c r="K117" i="43"/>
  <c r="L117" i="43"/>
  <c r="M117" i="43"/>
  <c r="I116" i="43"/>
  <c r="J116" i="43"/>
  <c r="K116" i="43"/>
  <c r="L116" i="43"/>
  <c r="M116" i="43"/>
  <c r="D117" i="43"/>
  <c r="E117" i="43"/>
  <c r="F117" i="43"/>
  <c r="G117" i="43"/>
  <c r="H117" i="43"/>
  <c r="D118" i="43"/>
  <c r="E118" i="43"/>
  <c r="F118" i="43"/>
  <c r="I115" i="43"/>
  <c r="J115" i="43"/>
  <c r="K115" i="43"/>
  <c r="L115" i="43"/>
  <c r="M115" i="43"/>
  <c r="G118" i="43"/>
  <c r="H118" i="43"/>
  <c r="B118" i="43"/>
  <c r="C118" i="43"/>
  <c r="B117" i="43"/>
  <c r="C117" i="43"/>
  <c r="I104" i="43"/>
  <c r="I105" i="43"/>
  <c r="I102" i="43"/>
  <c r="I103" i="43"/>
  <c r="I107" i="43"/>
  <c r="I109" i="43"/>
  <c r="I106" i="43"/>
  <c r="D22" i="43"/>
  <c r="E13" i="3"/>
  <c r="U10" i="39"/>
  <c r="AB10" i="39"/>
  <c r="AC10" i="39"/>
  <c r="W10" i="39"/>
  <c r="AB10" i="40"/>
  <c r="U10" i="40"/>
  <c r="I65" i="40"/>
  <c r="J63" i="40"/>
  <c r="E62" i="39"/>
  <c r="E57" i="40"/>
  <c r="E61" i="39"/>
  <c r="E56" i="40"/>
  <c r="E58" i="40"/>
  <c r="E63" i="39"/>
  <c r="F27" i="6"/>
  <c r="E51" i="40"/>
  <c r="E56" i="39"/>
  <c r="E16" i="6"/>
  <c r="G70" i="39"/>
  <c r="H68" i="39"/>
  <c r="C29" i="69"/>
  <c r="D27" i="69"/>
  <c r="C47" i="69"/>
  <c r="D45" i="69"/>
  <c r="J104" i="43"/>
  <c r="J103" i="43"/>
  <c r="J107" i="43"/>
  <c r="J109" i="43"/>
  <c r="J105" i="43"/>
  <c r="J106" i="43"/>
  <c r="J102" i="43"/>
  <c r="M102" i="43"/>
  <c r="M103" i="43"/>
  <c r="M104" i="43"/>
  <c r="M105" i="43"/>
  <c r="M106" i="43"/>
  <c r="M109" i="43"/>
  <c r="M107" i="43"/>
  <c r="N106" i="43"/>
  <c r="N102" i="43"/>
  <c r="N104" i="43"/>
  <c r="N103" i="43"/>
  <c r="N107" i="43"/>
  <c r="N105" i="43"/>
  <c r="N109" i="43"/>
  <c r="H102" i="43"/>
  <c r="H104" i="43"/>
  <c r="H107" i="43"/>
  <c r="H105" i="43"/>
  <c r="H103" i="43"/>
  <c r="H109" i="43"/>
  <c r="H106" i="43"/>
  <c r="C106" i="43"/>
  <c r="C102" i="43"/>
  <c r="C107" i="43"/>
  <c r="C104" i="43"/>
  <c r="C105" i="43"/>
  <c r="C109" i="43"/>
  <c r="C103" i="43"/>
  <c r="D106" i="43"/>
  <c r="D109" i="43"/>
  <c r="D104" i="43"/>
  <c r="D105" i="43"/>
  <c r="D102" i="43"/>
  <c r="D103" i="43"/>
  <c r="D107" i="43"/>
  <c r="F107" i="43"/>
  <c r="F103" i="43"/>
  <c r="F102" i="43"/>
  <c r="F109" i="43"/>
  <c r="F106" i="43"/>
  <c r="F104" i="43"/>
  <c r="F105" i="43"/>
  <c r="E3" i="6"/>
  <c r="AY6" i="3"/>
  <c r="K107" i="43"/>
  <c r="K106" i="43"/>
  <c r="K102" i="43"/>
  <c r="K109" i="43"/>
  <c r="K104" i="43"/>
  <c r="K103" i="43"/>
  <c r="K105" i="43"/>
  <c r="E31" i="6"/>
  <c r="K25" i="6"/>
  <c r="M25" i="6"/>
  <c r="I25" i="6"/>
  <c r="S25" i="6"/>
  <c r="K20" i="6"/>
  <c r="K19" i="6"/>
  <c r="K23" i="6"/>
  <c r="M23" i="6"/>
  <c r="I23" i="6"/>
  <c r="S23" i="6"/>
  <c r="K26" i="6"/>
  <c r="M26" i="6"/>
  <c r="I26" i="6"/>
  <c r="S26" i="6"/>
  <c r="K22" i="6"/>
  <c r="M22" i="6"/>
  <c r="I22" i="6"/>
  <c r="S22" i="6"/>
  <c r="K21" i="6"/>
  <c r="M21" i="6"/>
  <c r="I21" i="6"/>
  <c r="S21" i="6"/>
  <c r="K24" i="6"/>
  <c r="M24" i="6"/>
  <c r="I24" i="6"/>
  <c r="S24" i="6"/>
  <c r="C27" i="43"/>
  <c r="C48" i="33"/>
  <c r="C49" i="33"/>
  <c r="E53" i="33"/>
  <c r="F53" i="33"/>
  <c r="E52" i="33"/>
  <c r="F52" i="33"/>
  <c r="I53" i="33"/>
  <c r="J53" i="33"/>
  <c r="Q49" i="67"/>
  <c r="J14" i="67"/>
  <c r="C13" i="67"/>
  <c r="C36" i="67"/>
  <c r="C33" i="67"/>
  <c r="C31" i="67"/>
  <c r="J19" i="67"/>
  <c r="J17" i="67"/>
  <c r="C57" i="67"/>
  <c r="J59" i="67"/>
  <c r="J60" i="67"/>
  <c r="F41" i="79"/>
  <c r="F6" i="15"/>
  <c r="C6" i="15"/>
  <c r="C10" i="15"/>
  <c r="C5" i="15"/>
  <c r="F69" i="79"/>
  <c r="J29" i="79"/>
  <c r="I19" i="77"/>
  <c r="R24" i="31"/>
  <c r="S7" i="1"/>
  <c r="M20" i="6"/>
  <c r="I20" i="6"/>
  <c r="S20" i="6"/>
  <c r="AY83"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56" i="3"/>
  <c r="AY421" i="3"/>
  <c r="AY13" i="3"/>
  <c r="AY528" i="3"/>
  <c r="AY576" i="3"/>
  <c r="AY102" i="3"/>
  <c r="AY39" i="3"/>
  <c r="AY22" i="3"/>
  <c r="AY195" i="3"/>
  <c r="AY175" i="3"/>
  <c r="AY136" i="3"/>
  <c r="AY288" i="3"/>
  <c r="AY272" i="3"/>
  <c r="AY208" i="3"/>
  <c r="AY375" i="3"/>
  <c r="AY339" i="3"/>
  <c r="AY322" i="3"/>
  <c r="AY474" i="3"/>
  <c r="AY432" i="3"/>
  <c r="AY413" i="3"/>
  <c r="AY15" i="3"/>
  <c r="AY583" i="3"/>
  <c r="AY567"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500" i="3"/>
  <c r="AY547" i="3"/>
  <c r="AY568" i="3"/>
  <c r="AY107" i="3"/>
  <c r="AY71" i="3"/>
  <c r="AY54" i="3"/>
  <c r="AY200" i="3"/>
  <c r="AY164" i="3"/>
  <c r="AY143" i="3"/>
  <c r="AY293" i="3"/>
  <c r="AY257" i="3"/>
  <c r="AY240" i="3"/>
  <c r="AY386" i="3"/>
  <c r="AY351" i="3"/>
  <c r="AY307" i="3"/>
  <c r="AY477" i="3"/>
  <c r="AY443" i="3"/>
  <c r="AY400" i="3"/>
  <c r="AY521" i="3"/>
  <c r="AY566" i="3"/>
  <c r="BT6" i="3"/>
  <c r="AY466" i="3"/>
  <c r="AY437" i="3"/>
  <c r="AY558" i="3"/>
  <c r="AY560" i="3"/>
  <c r="BL6" i="3"/>
  <c r="AY91" i="3"/>
  <c r="AY55" i="3"/>
  <c r="AY38" i="3"/>
  <c r="AY184" i="3"/>
  <c r="AY148" i="3"/>
  <c r="AY128" i="3"/>
  <c r="AY277" i="3"/>
  <c r="AY241" i="3"/>
  <c r="AY224" i="3"/>
  <c r="AY391" i="3"/>
  <c r="AY354" i="3"/>
  <c r="AY338" i="3"/>
  <c r="AY490" i="3"/>
  <c r="AY448" i="3"/>
  <c r="AY429" i="3"/>
  <c r="BD6" i="3"/>
  <c r="AY511" i="3"/>
  <c r="AY586" i="3"/>
  <c r="AY180" i="3"/>
  <c r="AY409" i="3"/>
  <c r="AY470" i="3"/>
  <c r="AY335" i="3"/>
  <c r="AY225" i="3"/>
  <c r="AY297" i="3"/>
  <c r="AY276" i="3"/>
  <c r="AY188" i="3"/>
  <c r="AY115" i="3"/>
  <c r="AY176" i="3"/>
  <c r="AY66" i="3"/>
  <c r="AY245" i="3"/>
  <c r="AY106" i="3"/>
  <c r="AY428" i="3"/>
  <c r="AY318" i="3"/>
  <c r="AY371" i="3"/>
  <c r="AY268" i="3"/>
  <c r="AY58" i="3"/>
  <c r="AY131" i="3"/>
  <c r="AY59" i="3"/>
  <c r="AY155" i="3"/>
  <c r="AY23" i="3"/>
  <c r="E66" i="39"/>
  <c r="F31" i="6"/>
  <c r="D29" i="43"/>
  <c r="D113" i="43"/>
  <c r="C38" i="68"/>
  <c r="C35" i="68"/>
  <c r="S6" i="1"/>
  <c r="M19" i="6"/>
  <c r="K27" i="6"/>
  <c r="D19" i="11"/>
  <c r="C19" i="11"/>
  <c r="D37" i="11"/>
  <c r="C37" i="11"/>
  <c r="L18" i="9"/>
  <c r="M18" i="9"/>
  <c r="B118" i="9"/>
  <c r="B14" i="74"/>
  <c r="B1" i="74"/>
  <c r="D3" i="21"/>
  <c r="B2" i="21"/>
  <c r="B3" i="21"/>
  <c r="D3" i="33"/>
  <c r="B2" i="33"/>
  <c r="B3" i="33"/>
  <c r="D3" i="34"/>
  <c r="B2" i="34"/>
  <c r="B3" i="34"/>
  <c r="C17" i="4"/>
  <c r="B4" i="52"/>
  <c r="B43" i="72"/>
  <c r="E6" i="6"/>
  <c r="D3" i="37"/>
  <c r="B2" i="37"/>
  <c r="B3" i="37"/>
  <c r="D14" i="12"/>
  <c r="I68" i="39"/>
  <c r="H70" i="39"/>
  <c r="J65" i="40"/>
  <c r="K63" i="40"/>
  <c r="F50" i="68"/>
  <c r="F50" i="11"/>
  <c r="F50" i="69"/>
  <c r="C38" i="11"/>
  <c r="C35" i="11"/>
  <c r="AC6" i="3"/>
  <c r="E6" i="3"/>
  <c r="C19" i="68"/>
  <c r="Q70" i="67"/>
  <c r="C56" i="67"/>
  <c r="C65" i="67"/>
  <c r="C37" i="67"/>
  <c r="C30" i="67"/>
  <c r="C39" i="67"/>
  <c r="C75" i="67"/>
  <c r="Q48" i="67"/>
  <c r="L46" i="67"/>
  <c r="J22" i="67"/>
  <c r="J13" i="67"/>
  <c r="J23" i="67"/>
  <c r="C61" i="67"/>
  <c r="C59" i="67"/>
  <c r="C64" i="67"/>
  <c r="C17" i="15"/>
  <c r="C17" i="79"/>
  <c r="L51" i="67"/>
  <c r="C8" i="74"/>
  <c r="G25" i="77"/>
  <c r="U6" i="1"/>
  <c r="S24" i="31"/>
  <c r="R30" i="31"/>
  <c r="S30" i="31"/>
  <c r="R26" i="31"/>
  <c r="S26" i="31"/>
  <c r="R29" i="31"/>
  <c r="S29" i="31"/>
  <c r="R25" i="31"/>
  <c r="S25" i="31"/>
  <c r="R28" i="31"/>
  <c r="S28" i="31"/>
  <c r="R31" i="31"/>
  <c r="S31" i="31"/>
  <c r="R27" i="31"/>
  <c r="S27" i="31"/>
  <c r="C38" i="15"/>
  <c r="C32" i="15"/>
  <c r="C33" i="15"/>
  <c r="C33" i="11"/>
  <c r="C39" i="11"/>
  <c r="J68" i="39"/>
  <c r="I70" i="39"/>
  <c r="E6" i="70"/>
  <c r="T6" i="1"/>
  <c r="S16" i="1"/>
  <c r="AQ6" i="1"/>
  <c r="AR6" i="1"/>
  <c r="D1" i="43"/>
  <c r="E29" i="43"/>
  <c r="C26" i="43"/>
  <c r="B2" i="43"/>
  <c r="E7" i="70"/>
  <c r="T7" i="1"/>
  <c r="AQ7" i="1"/>
  <c r="AR7" i="1"/>
  <c r="L63" i="40"/>
  <c r="K65" i="40"/>
  <c r="D17" i="12"/>
  <c r="C17" i="12"/>
  <c r="C14" i="12"/>
  <c r="C16" i="12"/>
  <c r="D10" i="11"/>
  <c r="C10" i="11"/>
  <c r="D10" i="69"/>
  <c r="D10" i="68"/>
  <c r="D20" i="12"/>
  <c r="C20" i="12"/>
  <c r="C20" i="11"/>
  <c r="C25" i="11"/>
  <c r="C24" i="11"/>
  <c r="I19" i="6"/>
  <c r="M27" i="6"/>
  <c r="D19" i="6"/>
  <c r="C18" i="4"/>
  <c r="D23" i="6"/>
  <c r="D12" i="6"/>
  <c r="L19" i="9"/>
  <c r="M19" i="9"/>
  <c r="C118" i="9"/>
  <c r="C14" i="74"/>
  <c r="B2" i="74"/>
  <c r="D8" i="74"/>
  <c r="D15" i="6"/>
  <c r="D21" i="6"/>
  <c r="D20" i="6"/>
  <c r="D9" i="6"/>
  <c r="D28" i="6"/>
  <c r="D6" i="6"/>
  <c r="D11" i="6"/>
  <c r="D26" i="6"/>
  <c r="D8" i="6"/>
  <c r="D14" i="6"/>
  <c r="D10" i="6"/>
  <c r="D29" i="6"/>
  <c r="D25" i="6"/>
  <c r="D22" i="6"/>
  <c r="D24" i="6"/>
  <c r="D5" i="6"/>
  <c r="D13" i="6"/>
  <c r="E61" i="40"/>
  <c r="H21" i="6"/>
  <c r="H26" i="6"/>
  <c r="H22" i="6"/>
  <c r="H24" i="6"/>
  <c r="R24" i="6"/>
  <c r="H23" i="6"/>
  <c r="R23" i="6"/>
  <c r="H25" i="6"/>
  <c r="H20" i="6"/>
  <c r="R20" i="6"/>
  <c r="R7" i="1"/>
  <c r="C24" i="68"/>
  <c r="C58" i="67"/>
  <c r="C67" i="67"/>
  <c r="C68" i="67"/>
  <c r="C71" i="67"/>
  <c r="J16" i="67"/>
  <c r="J25" i="67"/>
  <c r="Q67" i="67"/>
  <c r="L57" i="67"/>
  <c r="L60" i="67"/>
  <c r="C40" i="67"/>
  <c r="Q69" i="67"/>
  <c r="Q68" i="67"/>
  <c r="C80" i="67"/>
  <c r="C79" i="67"/>
  <c r="M21" i="15"/>
  <c r="C14" i="15"/>
  <c r="F6" i="79"/>
  <c r="F35" i="15"/>
  <c r="C14" i="79"/>
  <c r="C42" i="11"/>
  <c r="R21" i="6"/>
  <c r="C6" i="79"/>
  <c r="C10" i="79"/>
  <c r="C5" i="79"/>
  <c r="C28" i="11"/>
  <c r="C27" i="11"/>
  <c r="B3" i="43"/>
  <c r="S22" i="31"/>
  <c r="C22" i="11"/>
  <c r="C31" i="11"/>
  <c r="C15" i="15"/>
  <c r="C18" i="15"/>
  <c r="C34" i="15"/>
  <c r="C31" i="15"/>
  <c r="F63" i="15"/>
  <c r="C62" i="15"/>
  <c r="J20" i="15"/>
  <c r="C15" i="79"/>
  <c r="C18" i="79"/>
  <c r="R26" i="6"/>
  <c r="C4" i="52"/>
  <c r="B45" i="72"/>
  <c r="A7" i="51"/>
  <c r="B7" i="72"/>
  <c r="A10" i="51"/>
  <c r="B9" i="72"/>
  <c r="I27" i="6"/>
  <c r="H19" i="6"/>
  <c r="S19" i="6"/>
  <c r="S27" i="6"/>
  <c r="D19" i="69"/>
  <c r="C10" i="69"/>
  <c r="C8" i="69"/>
  <c r="C5" i="69"/>
  <c r="R22" i="6"/>
  <c r="R25" i="6"/>
  <c r="D16" i="6"/>
  <c r="D30" i="6"/>
  <c r="D27" i="6"/>
  <c r="C10" i="68"/>
  <c r="B29" i="1"/>
  <c r="C8" i="68"/>
  <c r="C5" i="68"/>
  <c r="D19" i="68"/>
  <c r="D37" i="68"/>
  <c r="C37" i="68"/>
  <c r="C33" i="68"/>
  <c r="M63" i="40"/>
  <c r="L65" i="40"/>
  <c r="E2" i="70"/>
  <c r="J70" i="39"/>
  <c r="K68" i="39"/>
  <c r="C46" i="11"/>
  <c r="C45" i="11"/>
  <c r="C43" i="11"/>
  <c r="C41" i="11"/>
  <c r="T16" i="1"/>
  <c r="Q65" i="67"/>
  <c r="Q56" i="67"/>
  <c r="Q47" i="67"/>
  <c r="Q53" i="67"/>
  <c r="D2" i="67"/>
  <c r="C43" i="67"/>
  <c r="C83" i="67"/>
  <c r="C82" i="67"/>
  <c r="Q57" i="67"/>
  <c r="Q66" i="67"/>
  <c r="C45" i="67"/>
  <c r="C46" i="67"/>
  <c r="R22" i="31"/>
  <c r="B21" i="31"/>
  <c r="B20" i="31"/>
  <c r="C38" i="79"/>
  <c r="C32" i="79"/>
  <c r="C33" i="79"/>
  <c r="C19" i="79"/>
  <c r="C20" i="79"/>
  <c r="C26" i="79"/>
  <c r="C19" i="15"/>
  <c r="C20" i="15"/>
  <c r="C26" i="15"/>
  <c r="C39" i="68"/>
  <c r="C43" i="68"/>
  <c r="C42" i="68"/>
  <c r="C49" i="11"/>
  <c r="C51" i="11"/>
  <c r="C52" i="11"/>
  <c r="B2" i="11"/>
  <c r="B3" i="11"/>
  <c r="C19" i="69"/>
  <c r="C24" i="69"/>
  <c r="D37" i="69"/>
  <c r="C37" i="69"/>
  <c r="C33" i="69"/>
  <c r="K70" i="39"/>
  <c r="L68" i="39"/>
  <c r="N63" i="40"/>
  <c r="M65" i="40"/>
  <c r="C23" i="68"/>
  <c r="C20" i="68"/>
  <c r="D31" i="6"/>
  <c r="C23" i="69"/>
  <c r="C18" i="12"/>
  <c r="C21" i="12"/>
  <c r="R19" i="6"/>
  <c r="H27" i="6"/>
  <c r="L57" i="15"/>
  <c r="L60" i="15"/>
  <c r="Q66" i="15"/>
  <c r="Q75" i="67"/>
  <c r="B2" i="67"/>
  <c r="B3" i="67"/>
  <c r="Q62" i="67"/>
  <c r="C46" i="68"/>
  <c r="C45" i="68"/>
  <c r="C20" i="69"/>
  <c r="C28" i="69"/>
  <c r="C27" i="69"/>
  <c r="C22" i="12"/>
  <c r="C30" i="12"/>
  <c r="C28" i="12"/>
  <c r="C28" i="68"/>
  <c r="C27" i="68"/>
  <c r="C25" i="68"/>
  <c r="C22" i="68"/>
  <c r="M68" i="39"/>
  <c r="L70" i="39"/>
  <c r="C41" i="68"/>
  <c r="C23" i="15"/>
  <c r="C29" i="15"/>
  <c r="C23" i="79"/>
  <c r="C29" i="79"/>
  <c r="R6" i="1"/>
  <c r="R27" i="6"/>
  <c r="I5" i="6"/>
  <c r="I6" i="6"/>
  <c r="O63" i="40"/>
  <c r="O65" i="40"/>
  <c r="N65" i="40"/>
  <c r="H7" i="40"/>
  <c r="C39" i="69"/>
  <c r="C43" i="69"/>
  <c r="C42" i="69"/>
  <c r="C56" i="11"/>
  <c r="C57" i="11"/>
  <c r="Q57" i="15"/>
  <c r="M21" i="79"/>
  <c r="F35" i="79"/>
  <c r="C49" i="68"/>
  <c r="C51" i="68"/>
  <c r="C25" i="69"/>
  <c r="C22" i="69"/>
  <c r="C31" i="69"/>
  <c r="C46" i="69"/>
  <c r="C45" i="69"/>
  <c r="C41" i="69"/>
  <c r="C31" i="68"/>
  <c r="C27" i="12"/>
  <c r="C25" i="12"/>
  <c r="C32" i="12"/>
  <c r="B2" i="12"/>
  <c r="B3" i="12"/>
  <c r="J20" i="79"/>
  <c r="F63" i="79"/>
  <c r="C62" i="79"/>
  <c r="C34" i="79"/>
  <c r="C31" i="79"/>
  <c r="U7" i="40"/>
  <c r="AB7" i="40"/>
  <c r="T42" i="40"/>
  <c r="G42" i="40"/>
  <c r="Q49" i="79"/>
  <c r="C57" i="79"/>
  <c r="J19" i="79"/>
  <c r="C13" i="79"/>
  <c r="J14" i="79"/>
  <c r="J59" i="79"/>
  <c r="J60" i="79"/>
  <c r="Q48" i="79"/>
  <c r="C36" i="79"/>
  <c r="N68" i="39"/>
  <c r="M70" i="39"/>
  <c r="J7" i="40"/>
  <c r="F7" i="40"/>
  <c r="R16" i="1"/>
  <c r="C57" i="15"/>
  <c r="J59" i="15"/>
  <c r="J60" i="15"/>
  <c r="J14" i="15"/>
  <c r="C36" i="15"/>
  <c r="J19" i="15"/>
  <c r="J17" i="15"/>
  <c r="Q49" i="15"/>
  <c r="C13" i="15"/>
  <c r="L57" i="79"/>
  <c r="L60" i="79"/>
  <c r="Q57" i="79"/>
  <c r="C52" i="68"/>
  <c r="B2" i="68"/>
  <c r="C49" i="69"/>
  <c r="C51" i="69"/>
  <c r="C52" i="69"/>
  <c r="B2" i="69"/>
  <c r="B3" i="69"/>
  <c r="Q48" i="15"/>
  <c r="L46" i="15"/>
  <c r="AC7" i="40"/>
  <c r="V42" i="40"/>
  <c r="I42" i="40"/>
  <c r="W7" i="40"/>
  <c r="O68" i="39"/>
  <c r="O70" i="39"/>
  <c r="N70" i="39"/>
  <c r="Q70" i="79"/>
  <c r="C75" i="79"/>
  <c r="C56" i="79"/>
  <c r="C65" i="79"/>
  <c r="C37" i="79"/>
  <c r="C30" i="79"/>
  <c r="C61" i="79"/>
  <c r="C59" i="79"/>
  <c r="C64" i="79"/>
  <c r="C56" i="15"/>
  <c r="C65" i="15"/>
  <c r="C75" i="15"/>
  <c r="Q70" i="15"/>
  <c r="C37" i="15"/>
  <c r="C30" i="15"/>
  <c r="J22" i="15"/>
  <c r="J13" i="15"/>
  <c r="J23" i="15"/>
  <c r="C64" i="15"/>
  <c r="C61" i="15"/>
  <c r="C59" i="15"/>
  <c r="AA7" i="40"/>
  <c r="R42" i="40"/>
  <c r="S7" i="40"/>
  <c r="J7" i="39"/>
  <c r="H7" i="39"/>
  <c r="F7" i="39"/>
  <c r="J13" i="79"/>
  <c r="J23" i="79"/>
  <c r="J22" i="79"/>
  <c r="G46" i="40"/>
  <c r="H46" i="40"/>
  <c r="G47" i="40"/>
  <c r="H47" i="40"/>
  <c r="J17" i="79"/>
  <c r="L46" i="79"/>
  <c r="Q66" i="79"/>
  <c r="C19" i="9"/>
  <c r="C57" i="68"/>
  <c r="C56" i="68"/>
  <c r="C21" i="9"/>
  <c r="C102" i="9"/>
  <c r="B3" i="68"/>
  <c r="C57" i="69"/>
  <c r="C56" i="69"/>
  <c r="C58" i="79"/>
  <c r="C67" i="79"/>
  <c r="C68" i="79"/>
  <c r="C71" i="79"/>
  <c r="C58" i="15"/>
  <c r="C67" i="15"/>
  <c r="C68" i="15"/>
  <c r="C71" i="15"/>
  <c r="J16" i="15"/>
  <c r="J25" i="15"/>
  <c r="J16" i="79"/>
  <c r="J25" i="79"/>
  <c r="C39" i="15"/>
  <c r="C80" i="15"/>
  <c r="C79" i="15"/>
  <c r="C39" i="79"/>
  <c r="C80" i="79"/>
  <c r="C79" i="79"/>
  <c r="U7" i="39"/>
  <c r="AB7" i="39"/>
  <c r="T47" i="39"/>
  <c r="G47" i="39"/>
  <c r="I46" i="40"/>
  <c r="J46" i="40"/>
  <c r="S7" i="39"/>
  <c r="AA7" i="39"/>
  <c r="R47" i="39"/>
  <c r="AC7" i="39"/>
  <c r="V47" i="39"/>
  <c r="I47" i="39"/>
  <c r="I51" i="39"/>
  <c r="J51" i="39"/>
  <c r="W7" i="39"/>
  <c r="R43" i="40"/>
  <c r="E42" i="40"/>
  <c r="C20" i="9"/>
  <c r="C103" i="9"/>
  <c r="C43" i="40"/>
  <c r="C42" i="40"/>
  <c r="G51" i="39"/>
  <c r="H51" i="39"/>
  <c r="G52" i="39"/>
  <c r="H52" i="39"/>
  <c r="Q69" i="79"/>
  <c r="Q68" i="79"/>
  <c r="C40" i="79"/>
  <c r="E47" i="40"/>
  <c r="F47" i="40"/>
  <c r="E46" i="40"/>
  <c r="F46" i="40"/>
  <c r="E47" i="39"/>
  <c r="R48" i="39"/>
  <c r="I47" i="40"/>
  <c r="J47" i="40"/>
  <c r="Q69" i="15"/>
  <c r="Q68" i="15"/>
  <c r="C40" i="15"/>
  <c r="L51" i="15"/>
  <c r="L51" i="79"/>
  <c r="Q67" i="15"/>
  <c r="Q67" i="79"/>
  <c r="E51" i="39"/>
  <c r="F51" i="39"/>
  <c r="I52" i="39"/>
  <c r="J52" i="39"/>
  <c r="E52" i="39"/>
  <c r="F52" i="39"/>
  <c r="Q47" i="15"/>
  <c r="Q53" i="15"/>
  <c r="Q65" i="15"/>
  <c r="Q75" i="15"/>
  <c r="Q56" i="15"/>
  <c r="Q62" i="15"/>
  <c r="C43" i="15"/>
  <c r="C83" i="15"/>
  <c r="C82" i="15"/>
  <c r="B2" i="15"/>
  <c r="C46" i="15"/>
  <c r="C48" i="39"/>
  <c r="C47" i="39"/>
  <c r="Q56" i="79"/>
  <c r="Q62" i="79"/>
  <c r="C43" i="79"/>
  <c r="Q65" i="79"/>
  <c r="Q75" i="79"/>
  <c r="Q47" i="79"/>
  <c r="Q53" i="79"/>
  <c r="C83" i="79"/>
  <c r="C82" i="79"/>
  <c r="C46" i="79"/>
  <c r="B2" i="79"/>
  <c r="B55" i="40"/>
  <c r="F55" i="40"/>
  <c r="B60" i="40"/>
  <c r="F60" i="40"/>
  <c r="B57" i="40"/>
  <c r="F57" i="40"/>
  <c r="B59" i="40"/>
  <c r="F59" i="40"/>
  <c r="B56" i="40"/>
  <c r="F56" i="40"/>
  <c r="B54" i="40"/>
  <c r="F54" i="40"/>
  <c r="B53" i="40"/>
  <c r="F53" i="40"/>
  <c r="F61" i="40"/>
  <c r="B2" i="40"/>
  <c r="B3" i="40"/>
  <c r="B58" i="40"/>
  <c r="F58" i="40"/>
  <c r="B52" i="40"/>
  <c r="F52" i="40"/>
  <c r="B51" i="40"/>
  <c r="F51" i="40"/>
  <c r="AO7" i="1"/>
  <c r="E7" i="76"/>
  <c r="B6" i="76"/>
  <c r="E6" i="76"/>
  <c r="AO6" i="1"/>
  <c r="B7" i="76"/>
  <c r="E2" i="76"/>
  <c r="B2" i="76"/>
  <c r="B6" i="70"/>
  <c r="B7" i="70"/>
  <c r="B3" i="79"/>
  <c r="B65" i="39"/>
  <c r="F65" i="39"/>
  <c r="B60" i="39"/>
  <c r="F60" i="39"/>
  <c r="B58" i="39"/>
  <c r="F58" i="39"/>
  <c r="B64" i="39"/>
  <c r="F64" i="39"/>
  <c r="B57" i="39"/>
  <c r="F57" i="39"/>
  <c r="B62" i="39"/>
  <c r="F62" i="39"/>
  <c r="B61" i="39"/>
  <c r="F61" i="39"/>
  <c r="B56" i="39"/>
  <c r="F56" i="39"/>
  <c r="F66" i="39"/>
  <c r="B2" i="39"/>
  <c r="B3" i="39"/>
  <c r="B59" i="39"/>
  <c r="F59" i="39"/>
  <c r="B63" i="39"/>
  <c r="F63" i="39"/>
  <c r="B3" i="15"/>
  <c r="B2" i="70"/>
  <c r="B3" i="76"/>
  <c r="D19" i="9"/>
  <c r="B3" i="70"/>
  <c r="D102" i="9"/>
  <c r="D21" i="9"/>
  <c r="D22" i="9"/>
  <c r="G19" i="9"/>
  <c r="C32" i="9"/>
  <c r="D35" i="9"/>
  <c r="D20" i="9"/>
  <c r="D34" i="9"/>
  <c r="G20" i="9"/>
  <c r="D103" i="9"/>
  <c r="G21" i="9"/>
  <c r="C35" i="9"/>
  <c r="F118" i="9"/>
  <c r="H118" i="9"/>
  <c r="C34" i="9"/>
  <c r="D118" i="9"/>
  <c r="D119" i="9"/>
  <c r="D5" i="52"/>
  <c r="B49" i="72"/>
  <c r="I118" i="9"/>
  <c r="H101" i="9"/>
  <c r="H119" i="9"/>
  <c r="H5" i="52"/>
  <c r="C104" i="9"/>
  <c r="D14" i="74"/>
  <c r="H4" i="52"/>
  <c r="G118" i="9"/>
  <c r="G4" i="52"/>
  <c r="B52" i="72"/>
  <c r="F4" i="52"/>
  <c r="B51" i="72"/>
  <c r="F119" i="9"/>
  <c r="F5" i="52"/>
  <c r="B53" i="72"/>
  <c r="D4" i="52"/>
  <c r="B47" i="72"/>
  <c r="F14" i="74"/>
  <c r="E14" i="74"/>
  <c r="M48" i="9"/>
  <c r="H107" i="9"/>
  <c r="H109" i="9"/>
  <c r="D5" i="53"/>
  <c r="D45" i="9"/>
  <c r="E118" i="9"/>
  <c r="E4" i="52"/>
  <c r="B48" i="72"/>
  <c r="I4" i="52"/>
  <c r="H102" i="9"/>
  <c r="D7" i="53"/>
  <c r="B21" i="72"/>
  <c r="C105" i="9"/>
  <c r="D52" i="9"/>
  <c r="C85" i="9"/>
  <c r="C72" i="9"/>
  <c r="C64" i="9"/>
  <c r="C63" i="9"/>
  <c r="C67" i="9"/>
  <c r="C68" i="9"/>
  <c r="D54" i="9"/>
  <c r="D53" i="9"/>
  <c r="C78" i="9"/>
  <c r="C73" i="9"/>
  <c r="C93" i="9"/>
  <c r="C86" i="9"/>
  <c r="D55" i="9"/>
  <c r="M53" i="9"/>
  <c r="H110" i="9"/>
  <c r="D18" i="53"/>
  <c r="B35" i="72"/>
  <c r="D16" i="53"/>
  <c r="M49" i="9"/>
  <c r="D124" i="9"/>
  <c r="B20" i="72"/>
  <c r="D6" i="53"/>
  <c r="B22" i="72"/>
  <c r="H108" i="9"/>
  <c r="D15" i="53"/>
  <c r="B31" i="72"/>
  <c r="D122" i="9"/>
  <c r="D13" i="53"/>
  <c r="D10" i="52"/>
  <c r="D125" i="9"/>
  <c r="D11" i="52"/>
  <c r="H14" i="74"/>
  <c r="D17" i="53"/>
  <c r="B36" i="72"/>
  <c r="B34" i="72"/>
  <c r="C95" i="9"/>
  <c r="G14" i="74"/>
  <c r="D123" i="9"/>
  <c r="D9" i="52"/>
  <c r="D8" i="52"/>
  <c r="B30" i="72"/>
  <c r="D14" i="53"/>
  <c r="B32" i="72"/>
  <c r="L67" i="9"/>
  <c r="M67" i="9"/>
  <c r="L64" i="9"/>
  <c r="M64" i="9"/>
  <c r="L63" i="9"/>
  <c r="M63" i="9"/>
  <c r="L65" i="9"/>
  <c r="M65" i="9"/>
  <c r="L66" i="9"/>
  <c r="M66" i="9"/>
  <c r="L68" i="9"/>
  <c r="M68" i="9"/>
  <c r="C79" i="9"/>
  <c r="C80" i="9"/>
  <c r="E80" i="9"/>
  <c r="E81" i="9"/>
  <c r="M69" i="9"/>
  <c r="N69" i="9"/>
  <c r="C96" i="9"/>
  <c r="E96" i="9"/>
  <c r="E97" i="9"/>
  <c r="C97" i="9"/>
  <c r="D58" i="9"/>
  <c r="D56" i="9"/>
  <c r="M54" i="9"/>
  <c r="N57" i="9"/>
  <c r="C81" i="9"/>
  <c r="N59" i="9"/>
  <c r="N58" i="9"/>
  <c r="P57" i="9"/>
  <c r="N60" i="9"/>
  <c r="N61" i="9"/>
  <c r="D15" i="74"/>
  <c r="H15" i="74"/>
  <c r="B7" i="74"/>
  <c r="E15" i="74"/>
  <c r="G15" i="74"/>
  <c r="B6" i="74"/>
  <c r="F15" i="74"/>
  <c r="B5" i="74"/>
  <c r="D5" i="74"/>
  <c r="C5" i="74"/>
  <c r="C6" i="74"/>
  <c r="D6"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<sst xmlns="http://schemas.openxmlformats.org/spreadsheetml/2006/main" count="9871" uniqueCount="3837">
  <si>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</si>
  <si>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</si>
  <si>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</si>
  <si>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</si>
  <si>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</si>
  <si>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</si>
  <si>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</si>
  <si>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</si>
  <si>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</si>
  <si>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</si>
  <si>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</si>
  <si>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</si>
  <si>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</si>
  <si>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</si>
  <si>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</si>
  <si>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</si>
  <si>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</si>
  <si>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</si>
  <si>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</si>
  <si>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</si>
  <si>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</si>
  <si>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</si>
  <si>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</si>
  <si>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</si>
  <si>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</si>
  <si>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</si>
  <si>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</si>
  <si>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</si>
  <si>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</si>
  <si>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</si>
  <si>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</si>
  <si>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</si>
  <si>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</si>
  <si>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</si>
  <si>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</si>
  <si>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</si>
  <si>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</si>
  <si>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</si>
  <si>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</si>
  <si>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</si>
  <si>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</si>
  <si>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</si>
  <si>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</si>
  <si>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</si>
  <si>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</si>
  <si>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</si>
  <si>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</si>
  <si>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</si>
  <si>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</si>
  <si>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</si>
  <si>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</si>
  <si>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</si>
  <si>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</si>
  <si>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</si>
  <si>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</si>
  <si>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</si>
  <si>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</si>
  <si>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</si>
  <si>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</si>
  <si>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</si>
  <si>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</si>
  <si>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</si>
  <si>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</si>
  <si>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</si>
  <si>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</si>
  <si>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</si>
  <si>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</si>
  <si>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</si>
  <si>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</si>
  <si>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</si>
  <si>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</si>
  <si>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</si>
  <si>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</si>
  <si>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</si>
  <si>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</si>
  <si>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</si>
  <si>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</si>
  <si>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</si>
  <si>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</si>
  <si>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</si>
  <si>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</si>
  <si>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</si>
  <si>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</si>
  <si>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</si>
  <si>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</si>
  <si>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</si>
  <si>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</si>
  <si>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</si>
  <si>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</si>
  <si>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</si>
  <si>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</si>
  <si>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</si>
  <si>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</si>
  <si>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</si>
  <si>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</si>
  <si>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</si>
  <si>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</si>
  <si>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</si>
  <si>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</si>
  <si>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</si>
  <si>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</si>
  <si>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</si>
  <si>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</si>
  <si>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</si>
  <si>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</si>
  <si>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</si>
  <si>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</si>
  <si>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</si>
  <si>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</si>
  <si>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</si>
  <si>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</si>
  <si>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</si>
  <si>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</si>
  <si>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</si>
  <si>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</si>
  <si>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</si>
  <si>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</si>
  <si>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</si>
  <si>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</si>
  <si>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</si>
  <si>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</si>
  <si>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</si>
  <si>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</si>
  <si>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</si>
  <si>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</si>
  <si>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</si>
  <si>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</si>
  <si>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</si>
  <si>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</si>
  <si>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</si>
  <si>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</si>
  <si>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</si>
  <si>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</si>
  <si>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</si>
  <si>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</si>
  <si>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</si>
  <si>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</si>
  <si>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</si>
  <si>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</si>
  <si>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</si>
  <si>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</si>
  <si>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</si>
  <si>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</si>
  <si>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</si>
  <si>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</si>
  <si>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</si>
  <si>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</si>
  <si>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</si>
  <si>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</si>
  <si>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</si>
  <si>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</si>
  <si>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</si>
  <si>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</si>
  <si>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</si>
  <si>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</si>
  <si>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</si>
  <si>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</si>
  <si>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</si>
  <si>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</si>
  <si>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</si>
  <si>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</si>
  <si>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</si>
  <si>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</si>
  <si>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</si>
  <si>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</si>
  <si>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</si>
  <si>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</si>
  <si>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</si>
  <si>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</si>
  <si>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</si>
  <si>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</si>
  <si>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</si>
  <si>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</si>
  <si>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</si>
  <si>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</si>
  <si>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</si>
  <si>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</si>
  <si>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</si>
  <si>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</si>
  <si>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</si>
  <si>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</si>
  <si>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</si>
  <si>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</si>
  <si>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</si>
  <si>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</si>
  <si>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</si>
  <si>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</si>
  <si>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</si>
  <si>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</si>
  <si>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</si>
  <si>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</si>
  <si>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</si>
  <si>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</si>
  <si>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</si>
  <si>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</si>
  <si>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</si>
  <si>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</si>
  <si>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</si>
  <si>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</si>
  <si>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</si>
  <si>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</si>
  <si>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</si>
  <si>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</si>
  <si>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</si>
  <si>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</si>
  <si>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</si>
  <si>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</si>
  <si>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</si>
  <si>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</si>
  <si>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</si>
  <si>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</si>
  <si>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</si>
  <si>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</si>
  <si>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</si>
  <si>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</si>
  <si>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</si>
  <si>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</si>
  <si>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</si>
  <si>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</si>
  <si>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</si>
  <si>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</si>
  <si>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</si>
  <si>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</si>
  <si>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</si>
  <si>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</si>
  <si>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</si>
  <si>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</si>
  <si>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</si>
  <si>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</si>
  <si>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</si>
  <si>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</si>
  <si>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</si>
  <si>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</si>
  <si>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</si>
  <si>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</si>
  <si>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</si>
  <si>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</si>
  <si>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</si>
  <si>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</si>
  <si>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</si>
  <si>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</si>
  <si>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</si>
  <si>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</si>
  <si>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</si>
  <si>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</si>
  <si>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</si>
  <si>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</si>
  <si>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</si>
  <si>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</si>
  <si>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</si>
  <si>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</si>
  <si>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</si>
  <si>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</si>
  <si>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</si>
  <si>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</si>
  <si>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</si>
  <si>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</si>
  <si>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</si>
  <si>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</si>
  <si>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</si>
  <si>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</si>
  <si>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</si>
  <si>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</si>
  <si>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</si>
  <si>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</si>
  <si>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</si>
  <si>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</si>
  <si>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</si>
  <si>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</si>
  <si>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</si>
  <si>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</si>
  <si>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</si>
  <si>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</si>
  <si>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</si>
  <si>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</si>
  <si>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</si>
  <si>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</si>
  <si>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</si>
  <si>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</si>
  <si>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</si>
  <si>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</si>
  <si>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</si>
  <si>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</si>
  <si>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</si>
  <si>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</si>
  <si>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</si>
  <si>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</si>
  <si>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</si>
  <si>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</si>
  <si>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</si>
  <si>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</si>
  <si>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</si>
  <si>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</si>
  <si>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</si>
  <si>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</si>
  <si>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</si>
  <si>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</si>
  <si>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</si>
  <si>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</si>
  <si>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</si>
  <si>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</si>
  <si>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</si>
  <si>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</si>
  <si>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</si>
  <si>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</si>
  <si>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</si>
  <si>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</si>
  <si>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</si>
  <si>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</si>
  <si>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</si>
  <si>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</si>
  <si>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</si>
  <si>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</si>
  <si>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</si>
  <si>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</si>
  <si>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</si>
  <si>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</si>
  <si>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</si>
  <si>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</si>
  <si>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</si>
  <si>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</si>
  <si>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</si>
  <si>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</si>
  <si>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</si>
  <si>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</si>
  <si>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</si>
  <si>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</si>
  <si>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</si>
  <si>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</si>
  <si>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</si>
  <si>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</si>
  <si>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</si>
  <si>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</si>
  <si>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</si>
  <si>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</si>
  <si>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</si>
  <si>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</si>
  <si>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</si>
  <si>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</si>
  <si>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</si>
  <si>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</si>
  <si>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</si>
  <si>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</si>
  <si>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</si>
  <si>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</si>
  <si>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</si>
  <si>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</si>
  <si>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</si>
  <si>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</si>
  <si>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</si>
  <si>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</si>
  <si>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</si>
  <si>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</si>
  <si>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</si>
  <si>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</si>
  <si>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</si>
  <si>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</si>
  <si>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</si>
  <si>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</si>
  <si>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</si>
  <si>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</si>
  <si>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</si>
  <si>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</si>
  <si>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</si>
  <si>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</si>
  <si>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</si>
  <si>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</si>
  <si>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</si>
  <si>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</si>
  <si>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</si>
  <si>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</si>
  <si>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</si>
  <si>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</si>
  <si>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</si>
  <si>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</si>
  <si>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</si>
  <si>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</si>
  <si>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</si>
  <si>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</si>
  <si>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</si>
  <si>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</si>
  <si>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</si>
  <si>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</si>
  <si>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</si>
  <si>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</si>
  <si>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</si>
  <si>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</si>
  <si>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</si>
  <si>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</si>
  <si>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</si>
  <si>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</si>
  <si>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</si>
  <si>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</si>
  <si>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</si>
  <si>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</si>
  <si>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</si>
  <si>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</si>
  <si>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</si>
  <si>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</si>
  <si>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</si>
  <si>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</si>
  <si>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</si>
  <si>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</si>
  <si>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</si>
  <si>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</si>
  <si>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</si>
  <si>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</si>
  <si>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</si>
  <si>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</si>
  <si>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</si>
  <si>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</si>
  <si>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</si>
  <si>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</si>
  <si>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</si>
  <si>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</si>
  <si>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</si>
  <si>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</si>
  <si>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</si>
  <si>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</si>
  <si>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</si>
  <si>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</si>
  <si>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</si>
  <si>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</si>
  <si>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</si>
  <si>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</si>
  <si>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</si>
  <si>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</si>
  <si>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</si>
  <si>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</si>
  <si>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</si>
  <si>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</si>
  <si>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</si>
  <si>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</si>
  <si>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</si>
  <si>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</si>
  <si>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</si>
  <si>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</si>
  <si>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</si>
  <si>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</si>
  <si>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</si>
  <si>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</si>
  <si>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</si>
  <si>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</si>
  <si>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</si>
  <si>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</si>
  <si>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</si>
  <si>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</si>
  <si>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</si>
  <si>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</si>
  <si>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</si>
  <si>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</si>
  <si>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</si>
  <si>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</si>
  <si>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</si>
  <si>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</si>
  <si>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</si>
  <si>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</si>
  <si>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</si>
  <si>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</si>
  <si>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</si>
  <si>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</si>
  <si>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</si>
  <si>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</si>
  <si>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</si>
  <si>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</si>
  <si>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</si>
  <si>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</si>
  <si>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</si>
  <si>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</si>
  <si>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</si>
  <si>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</si>
  <si>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</si>
  <si>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</si>
  <si>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</si>
  <si>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</si>
  <si>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</si>
  <si>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</si>
  <si>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</si>
  <si>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</si>
  <si>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</si>
  <si>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</si>
  <si>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</si>
  <si>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</si>
  <si>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</si>
  <si>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</si>
  <si>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</si>
  <si>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</si>
  <si>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</si>
  <si>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</si>
  <si>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</si>
  <si>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</si>
  <si>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</si>
  <si>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</si>
  <si>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</si>
  <si>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</si>
  <si>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</si>
  <si>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</si>
  <si>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</si>
  <si>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</si>
  <si>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</si>
  <si>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</si>
  <si>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</si>
  <si>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</si>
  <si>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</si>
  <si>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</si>
  <si>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</si>
  <si>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</si>
  <si>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</si>
  <si>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</si>
  <si>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</si>
  <si>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</si>
  <si>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</si>
  <si>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</si>
  <si>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</si>
  <si>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</si>
  <si>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</si>
  <si>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</si>
  <si>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</si>
  <si>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</si>
  <si>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</si>
  <si>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</si>
  <si>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</si>
  <si>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</si>
  <si>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</si>
  <si>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</si>
  <si>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</si>
  <si>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</si>
  <si>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</si>
  <si>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</si>
  <si>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</si>
  <si>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</si>
  <si>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</si>
  <si>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</si>
  <si>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</si>
  <si>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</si>
  <si>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</si>
  <si>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</si>
  <si>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</si>
  <si>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</si>
  <si>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</si>
  <si>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</si>
  <si>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</si>
  <si>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</si>
  <si>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</si>
  <si>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</si>
  <si>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</si>
  <si>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</si>
  <si>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</si>
  <si>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</si>
  <si>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</si>
  <si>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</si>
  <si>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</si>
  <si>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</si>
  <si>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</si>
  <si>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</si>
  <si>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</si>
  <si>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</si>
  <si>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</si>
  <si>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</si>
  <si>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</si>
  <si>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</si>
  <si>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</si>
  <si>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</si>
  <si>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</si>
  <si>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</si>
  <si>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</si>
  <si>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</si>
  <si>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</si>
  <si>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</si>
  <si>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</si>
  <si>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</si>
  <si>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</si>
  <si>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</si>
  <si>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</si>
  <si>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</si>
  <si>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</si>
  <si>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</si>
  <si>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</si>
  <si>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</si>
  <si>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</si>
  <si>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</si>
  <si>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</si>
  <si>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</si>
  <si>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</si>
  <si>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</si>
  <si>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</si>
  <si>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</si>
  <si>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</si>
  <si>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</si>
  <si>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</si>
  <si>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</si>
  <si>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</si>
  <si>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</si>
  <si>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</si>
  <si>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</si>
  <si>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</si>
  <si>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</si>
  <si>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</si>
  <si>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</si>
  <si>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</si>
  <si>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</si>
  <si>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</si>
  <si>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</si>
  <si>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</si>
  <si>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</si>
  <si>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</si>
  <si>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</si>
  <si>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</si>
  <si>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</si>
  <si>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</si>
  <si>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</si>
  <si>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</si>
  <si>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</si>
  <si>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</si>
  <si>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</si>
  <si>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</si>
  <si>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</si>
  <si>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</si>
  <si>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</si>
  <si>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</si>
  <si>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</si>
  <si>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</si>
  <si>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</si>
  <si>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</si>
  <si>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</si>
  <si>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</si>
  <si>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</si>
  <si>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</si>
  <si>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</si>
  <si>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</si>
  <si>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</si>
  <si>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</si>
  <si>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</si>
  <si>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</si>
  <si>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</si>
  <si>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</si>
  <si>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</si>
  <si>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</si>
  <si>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</si>
  <si>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</si>
  <si>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</si>
  <si>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</si>
  <si>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</si>
  <si>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</si>
  <si>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</si>
  <si>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</si>
  <si>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</si>
  <si>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</si>
  <si>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</si>
  <si>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</si>
  <si>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</si>
  <si>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</si>
  <si>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</si>
  <si>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</si>
  <si>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</si>
  <si>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</si>
  <si>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</si>
  <si>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</si>
  <si>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</si>
  <si>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</si>
  <si>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</si>
  <si>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</si>
  <si>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</si>
  <si>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</si>
  <si>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</si>
  <si>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</si>
  <si>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</si>
  <si>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</si>
  <si>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</si>
  <si>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</si>
  <si>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</si>
  <si>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</si>
  <si>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</si>
  <si>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</si>
  <si>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</si>
  <si>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</si>
  <si>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</si>
  <si>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</si>
  <si>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</si>
  <si>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</si>
  <si>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</si>
  <si>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</si>
  <si>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</si>
  <si>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</si>
  <si>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</si>
  <si>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</si>
  <si>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</si>
  <si>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</si>
  <si>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</si>
  <si>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</si>
  <si>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</si>
  <si>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</si>
  <si>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</si>
  <si>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</si>
  <si>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</si>
  <si>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</si>
  <si>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</si>
  <si>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</si>
  <si>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</si>
  <si>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</si>
  <si>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</si>
  <si>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</si>
  <si>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</si>
  <si>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</si>
  <si>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</si>
  <si>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</si>
  <si>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</si>
  <si>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</si>
  <si>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</si>
  <si>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</si>
  <si>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</si>
  <si>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</si>
  <si>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</si>
  <si>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</si>
  <si>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</si>
  <si>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</si>
  <si>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</si>
  <si>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</si>
  <si>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</si>
  <si>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</si>
  <si>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</si>
  <si>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</si>
  <si>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</si>
  <si>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</si>
  <si>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</si>
  <si>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</si>
  <si>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</si>
  <si>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</si>
  <si>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</si>
  <si>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</si>
  <si>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</si>
  <si>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</si>
  <si>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</si>
  <si>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</si>
  <si>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</si>
  <si>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</si>
  <si>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</si>
  <si>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</si>
  <si>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</si>
  <si>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</si>
  <si>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</si>
  <si>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</si>
  <si>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</si>
  <si>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</si>
  <si>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</si>
  <si>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</si>
  <si>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</si>
  <si>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</si>
  <si>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</si>
  <si>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</si>
  <si>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</si>
  <si>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</si>
  <si>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</si>
  <si>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</si>
  <si>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</si>
  <si>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</si>
  <si>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</si>
  <si>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</si>
  <si>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</si>
  <si>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</si>
  <si>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</si>
  <si>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</si>
  <si>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</si>
  <si>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</si>
  <si>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</si>
  <si>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</si>
  <si>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</si>
  <si>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</si>
  <si>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</si>
  <si>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</si>
  <si>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</si>
  <si>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</si>
  <si>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</si>
  <si>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</si>
  <si>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</si>
  <si>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</si>
  <si>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</si>
  <si>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</si>
  <si>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</si>
  <si>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</si>
  <si>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</si>
  <si>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</si>
  <si>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</si>
  <si>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</si>
  <si>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</si>
  <si>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</si>
  <si>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</si>
  <si>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</si>
  <si>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</si>
  <si>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</si>
  <si>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</si>
  <si>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</si>
  <si>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</si>
  <si>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</si>
  <si>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</si>
  <si>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</si>
  <si>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</si>
  <si>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</si>
  <si>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</si>
  <si>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</si>
  <si>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</si>
  <si>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</si>
  <si>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</si>
  <si>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</si>
  <si>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</si>
  <si>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</si>
  <si>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</si>
  <si>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</si>
  <si>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</si>
  <si>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</si>
  <si>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</si>
  <si>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</si>
  <si>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</si>
  <si>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</si>
  <si>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</si>
  <si>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</si>
  <si>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</si>
  <si>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</si>
  <si>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</si>
  <si>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</si>
  <si>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</si>
  <si>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</si>
  <si>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</si>
  <si>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</si>
  <si>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</si>
  <si>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</si>
  <si>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</si>
  <si>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</si>
  <si>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</si>
  <si>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</si>
  <si>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</si>
  <si>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</si>
  <si>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</si>
  <si>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</si>
  <si>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</si>
  <si>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</si>
  <si>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</si>
  <si>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</si>
  <si>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</si>
  <si>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</si>
  <si>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</si>
  <si>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</si>
  <si>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</si>
  <si>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</si>
  <si>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</si>
  <si>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</si>
  <si>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</si>
  <si>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</si>
  <si>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</si>
  <si>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</si>
  <si>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</si>
  <si>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</si>
  <si>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</si>
  <si>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</si>
  <si>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</si>
  <si>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</si>
  <si>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</si>
  <si>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</si>
  <si>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</si>
  <si>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</si>
  <si>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</si>
  <si>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</si>
  <si>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</si>
  <si>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</si>
  <si>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</si>
  <si>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</si>
  <si>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</si>
  <si>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</si>
  <si>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</si>
  <si>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</si>
  <si>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</si>
  <si>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</si>
  <si>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</si>
  <si>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</si>
  <si>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</si>
  <si>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</si>
  <si>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</si>
  <si>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</si>
  <si>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</si>
  <si>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</si>
  <si>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</si>
  <si>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</si>
  <si>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</si>
  <si>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</si>
  <si>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</si>
  <si>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</si>
  <si>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</si>
  <si>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</si>
  <si>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</si>
  <si>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</si>
  <si>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</si>
  <si>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</si>
  <si>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</si>
  <si>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</si>
  <si>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</si>
  <si>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</si>
  <si>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</si>
  <si>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</si>
  <si>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</si>
  <si>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</si>
  <si>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</si>
  <si>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</si>
  <si>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</si>
  <si>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</si>
  <si>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</si>
  <si>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</si>
  <si>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</si>
  <si>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</si>
  <si>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</si>
  <si>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</si>
  <si>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</si>
  <si>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</si>
  <si>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</si>
  <si>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</si>
  <si>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</si>
  <si>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</si>
  <si>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</si>
  <si>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</si>
  <si>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</si>
  <si>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</si>
  <si>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</si>
  <si>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</si>
  <si>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</si>
  <si>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</si>
  <si>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</si>
  <si>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</si>
  <si>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</si>
  <si>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</si>
  <si>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</si>
  <si>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</si>
  <si>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</si>
  <si>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</si>
  <si>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</si>
  <si>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</si>
  <si>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</si>
  <si>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</si>
  <si>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</si>
  <si>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</si>
  <si>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</si>
  <si>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</si>
  <si>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</si>
  <si>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</si>
  <si>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</si>
  <si>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</si>
  <si>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</si>
  <si>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</si>
  <si>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</si>
  <si>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</si>
  <si>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</si>
  <si>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</si>
  <si>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</si>
  <si>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</si>
  <si>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</si>
  <si>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</si>
  <si>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</si>
  <si>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</si>
  <si>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</si>
  <si>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</si>
  <si>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</si>
  <si>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</si>
  <si>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</si>
  <si>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</si>
  <si>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</si>
  <si>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</si>
  <si>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</si>
  <si>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</si>
  <si>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</si>
  <si>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</si>
  <si>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</si>
  <si>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</si>
  <si>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</si>
  <si>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</si>
  <si>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</si>
  <si>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</si>
  <si>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</si>
  <si>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</si>
  <si>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</si>
  <si>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</si>
  <si>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</si>
  <si>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</si>
  <si>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</si>
  <si>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</si>
  <si>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</si>
  <si>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</si>
  <si>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</si>
  <si>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</si>
  <si>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</si>
  <si>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</si>
  <si>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</si>
  <si>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</si>
  <si>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</si>
  <si>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</si>
  <si>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</si>
  <si>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</si>
  <si>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</si>
  <si>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</si>
  <si>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</si>
  <si>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</si>
  <si>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</si>
  <si>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</si>
  <si>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</si>
  <si>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</si>
  <si>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</si>
  <si>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</si>
  <si>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</si>
  <si>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</si>
  <si>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</si>
  <si>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</si>
  <si>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</si>
  <si>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</si>
  <si>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</si>
  <si>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</si>
  <si>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</si>
  <si>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</si>
  <si>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</si>
  <si>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</si>
  <si>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</si>
  <si>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</si>
  <si>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</si>
  <si>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</si>
  <si>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</si>
  <si>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</si>
  <si>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</si>
  <si>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</si>
  <si>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</si>
  <si>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</si>
  <si>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</si>
  <si>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</si>
  <si>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</si>
  <si>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</si>
  <si>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</si>
  <si>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</si>
  <si>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</si>
  <si>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</si>
  <si>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</si>
  <si>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</si>
  <si>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</si>
  <si>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</si>
  <si>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</si>
  <si>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</si>
  <si>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</si>
  <si>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</si>
  <si>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</si>
  <si>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</si>
  <si>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</si>
  <si>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</si>
  <si>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</si>
  <si>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</si>
  <si>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</si>
  <si>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</si>
  <si>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</si>
  <si>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</si>
  <si>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</si>
  <si>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</si>
  <si>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</si>
  <si>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</si>
  <si>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</si>
  <si>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</si>
  <si>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</si>
  <si>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</si>
  <si>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</si>
  <si>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</si>
  <si>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</si>
  <si>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</si>
  <si>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</si>
  <si>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</si>
  <si>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</si>
  <si>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</si>
  <si>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</si>
  <si>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</si>
  <si>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</si>
  <si>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</si>
  <si>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</si>
  <si>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</si>
  <si>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</si>
  <si>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</si>
  <si>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</si>
  <si>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</si>
  <si>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</si>
  <si>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</si>
  <si>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</si>
  <si>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</si>
  <si>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</si>
  <si>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</si>
  <si>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</si>
  <si>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</si>
  <si>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</si>
  <si>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</si>
  <si>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</si>
  <si>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</si>
  <si>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</si>
  <si>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</si>
  <si>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</si>
  <si>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</si>
  <si>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</si>
  <si>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</si>
  <si>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</si>
  <si>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</si>
  <si>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</si>
  <si>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</si>
  <si>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</si>
  <si>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</si>
  <si>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</si>
  <si>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</si>
  <si>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</si>
  <si>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</si>
  <si>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</si>
  <si>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</si>
  <si>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</si>
  <si>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</si>
  <si>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</si>
  <si>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</si>
  <si>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</si>
  <si>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</si>
  <si>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</si>
  <si>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</si>
  <si>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</si>
  <si>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</si>
  <si>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</si>
  <si>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</si>
  <si>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</si>
  <si>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</si>
  <si>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</si>
  <si>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</si>
  <si>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</si>
  <si>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</si>
  <si>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</si>
  <si>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</si>
  <si>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</si>
  <si>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</si>
  <si>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</si>
  <si>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</si>
  <si>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</si>
  <si>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</si>
  <si>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</si>
  <si>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</si>
  <si>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</si>
  <si>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</si>
  <si>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</si>
  <si>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</si>
  <si>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</si>
  <si>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</si>
  <si>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</si>
  <si>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</si>
  <si>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</si>
  <si>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</si>
  <si>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</si>
  <si>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</si>
  <si>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</si>
  <si>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</si>
  <si>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</si>
  <si>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</si>
  <si>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</si>
  <si>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</si>
  <si>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</si>
  <si>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</si>
  <si>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</si>
  <si>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</si>
  <si>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</si>
  <si>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</si>
  <si>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</si>
  <si>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</si>
  <si>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</si>
  <si>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</si>
  <si>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</si>
  <si>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</si>
  <si>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</si>
  <si>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</si>
  <si>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</si>
  <si>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</si>
  <si>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</si>
  <si>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</si>
  <si>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</si>
  <si>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</si>
  <si>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</si>
  <si>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</si>
  <si>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</si>
  <si>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</si>
  <si>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</si>
  <si>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</si>
  <si>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</si>
  <si>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</si>
  <si>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</si>
  <si>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</si>
  <si>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</si>
  <si>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</si>
  <si>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</si>
  <si>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</si>
  <si>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</si>
  <si>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</si>
  <si>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</si>
  <si>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</si>
  <si>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</si>
  <si>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</si>
  <si>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</si>
  <si>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</si>
  <si>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</si>
  <si>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</si>
  <si>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</si>
  <si>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</si>
  <si>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</si>
  <si>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</si>
  <si>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</si>
  <si>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</si>
  <si>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</si>
  <si>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</si>
  <si>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</si>
  <si>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</si>
  <si>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</si>
  <si>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</si>
  <si>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</si>
  <si>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</si>
  <si>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</si>
  <si>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</si>
  <si>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</si>
  <si>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</si>
  <si>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</si>
  <si>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</si>
  <si>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</si>
  <si>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</si>
  <si>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</si>
  <si>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</si>
  <si>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</si>
  <si>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</si>
  <si>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</si>
  <si>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</si>
  <si>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</si>
  <si>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</si>
  <si>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</si>
  <si>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</si>
  <si>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</si>
  <si>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</si>
  <si>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</si>
  <si>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</si>
  <si>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</si>
  <si>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</si>
  <si>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</si>
  <si>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</si>
  <si>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</si>
  <si>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</si>
  <si>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</si>
  <si>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</si>
  <si>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</si>
  <si>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</si>
  <si>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</si>
  <si>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</si>
  <si>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</si>
  <si>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</si>
  <si>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</si>
  <si>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</si>
  <si>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</si>
  <si>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</si>
  <si>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</si>
  <si>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</si>
  <si>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</si>
  <si>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</si>
  <si>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</si>
  <si>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</si>
  <si>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</si>
  <si>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</si>
  <si>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</si>
  <si>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</si>
  <si>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</si>
  <si>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</si>
  <si>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</si>
  <si>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</si>
  <si>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</si>
  <si>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</si>
  <si>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</si>
  <si>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</si>
  <si>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</si>
  <si>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</si>
  <si>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</si>
  <si>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</si>
  <si>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</si>
  <si>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</si>
  <si>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</si>
  <si>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</si>
  <si>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</si>
  <si>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</si>
  <si>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</si>
  <si>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</si>
  <si>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</si>
  <si>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</si>
  <si>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</si>
  <si>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</si>
  <si>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</si>
  <si>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</si>
  <si>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</si>
  <si>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</si>
  <si>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</si>
  <si>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</si>
  <si>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</si>
  <si>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</si>
  <si>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</si>
  <si>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</si>
  <si>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</si>
  <si>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</si>
  <si>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</si>
  <si>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</si>
  <si>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</si>
  <si>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</si>
  <si>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</si>
  <si>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</si>
  <si>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</si>
  <si>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</si>
  <si>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</si>
  <si>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</si>
  <si>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</si>
  <si>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</si>
  <si>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</si>
  <si>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</si>
  <si>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</si>
  <si>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</si>
  <si>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</si>
  <si>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</si>
  <si>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</si>
  <si>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</si>
  <si>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</si>
  <si>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</si>
  <si>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</si>
  <si>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</si>
  <si>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</si>
  <si>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</si>
  <si>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</si>
  <si>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</si>
  <si>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</si>
  <si>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</si>
  <si>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</si>
  <si>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</si>
  <si>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</si>
  <si>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</si>
  <si>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</si>
  <si>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</si>
  <si>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</si>
  <si>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</si>
  <si>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</si>
  <si>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</si>
  <si>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</si>
  <si>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</si>
  <si>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</si>
  <si>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</si>
  <si>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</si>
  <si>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</si>
  <si>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</si>
  <si>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</si>
  <si>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</si>
  <si>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</si>
  <si>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</si>
  <si>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</si>
  <si>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</si>
  <si>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</si>
  <si>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</si>
  <si>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</si>
  <si>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</si>
  <si>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</si>
  <si>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</si>
  <si>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</si>
  <si>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</si>
  <si>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</si>
  <si>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</si>
  <si>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</si>
  <si>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</si>
  <si>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</si>
  <si>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</si>
  <si>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</si>
  <si>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</si>
  <si>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</si>
  <si>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</si>
  <si>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</si>
  <si>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</si>
  <si>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</si>
  <si>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</si>
  <si>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</si>
  <si>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</si>
  <si>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</si>
  <si>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</si>
  <si>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</si>
  <si>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</si>
  <si>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</si>
  <si>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</si>
  <si>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</si>
  <si>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</si>
  <si>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</si>
  <si>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</si>
  <si>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</si>
  <si>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</si>
  <si>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</si>
  <si>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</si>
  <si>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</si>
  <si>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</si>
  <si>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</si>
  <si>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</si>
  <si>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</si>
  <si>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</si>
  <si>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</si>
  <si>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</si>
  <si>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</si>
  <si>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</si>
  <si>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</si>
  <si>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</si>
  <si>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</si>
  <si>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</si>
  <si>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</si>
  <si>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</si>
  <si>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</si>
  <si>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</si>
  <si>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</si>
  <si>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</si>
  <si>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</si>
  <si>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</si>
  <si>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</si>
  <si>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</si>
  <si>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</si>
  <si>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</si>
  <si>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</si>
  <si>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</si>
  <si>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</si>
  <si>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</si>
  <si>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</si>
  <si>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</si>
  <si>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</si>
  <si>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</si>
  <si>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</si>
  <si>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</si>
  <si>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</si>
  <si>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</si>
  <si>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</si>
  <si>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</si>
  <si>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</si>
  <si>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</si>
  <si>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</si>
  <si>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</si>
  <si>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</si>
  <si>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</si>
  <si>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</si>
  <si>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</si>
  <si>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</si>
  <si>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</si>
  <si>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</si>
  <si>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</si>
  <si>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</si>
  <si>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</si>
  <si>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</si>
  <si>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</si>
  <si>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</si>
  <si>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</si>
  <si>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</si>
  <si>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</si>
  <si>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</si>
  <si>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</si>
  <si>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</si>
  <si>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</si>
  <si>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</si>
  <si>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</si>
  <si>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</si>
  <si>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</si>
  <si>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</si>
  <si>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</si>
  <si>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</si>
  <si>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</si>
  <si>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</si>
  <si>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</si>
  <si>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</si>
  <si>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</si>
  <si>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</si>
  <si>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</si>
  <si>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</si>
  <si>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</si>
  <si>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</si>
  <si>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</si>
  <si>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</si>
  <si>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</si>
  <si>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</si>
  <si>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</si>
  <si>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</si>
  <si>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</si>
  <si>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</si>
  <si>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</si>
  <si>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</si>
  <si>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</si>
  <si>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</si>
  <si>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</si>
  <si>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</si>
  <si>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</si>
  <si>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</si>
  <si>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</si>
  <si>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</si>
  <si>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</si>
  <si>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</si>
  <si>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</si>
  <si>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</si>
  <si>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</si>
  <si>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</si>
  <si>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</si>
  <si>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</si>
  <si>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</si>
  <si>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</si>
  <si>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</si>
  <si>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</si>
  <si>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</si>
  <si>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</si>
  <si>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</si>
  <si>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</si>
  <si>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</si>
  <si>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</si>
  <si>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</si>
  <si>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</si>
  <si>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</si>
  <si>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</si>
  <si>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</si>
  <si>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</si>
  <si>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</si>
  <si>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</si>
  <si>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</si>
  <si>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</si>
  <si>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</si>
  <si>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</si>
  <si>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</si>
  <si>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</si>
  <si>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</si>
  <si>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</si>
  <si>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</si>
  <si>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</si>
  <si>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</si>
  <si>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</si>
  <si>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</si>
  <si>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</si>
  <si>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</si>
  <si>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</si>
  <si>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</si>
  <si>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</si>
  <si>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</si>
  <si>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</si>
  <si>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</si>
  <si>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</si>
  <si>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</si>
  <si>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</si>
  <si>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</si>
  <si>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</si>
  <si>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</si>
  <si>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</si>
  <si>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</si>
  <si>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</si>
  <si>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</si>
  <si>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</si>
  <si>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</si>
  <si>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</si>
  <si>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</si>
  <si>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</si>
  <si>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</si>
  <si>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</si>
  <si>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</si>
  <si>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</si>
  <si>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</si>
  <si>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</si>
  <si>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</si>
  <si>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</si>
  <si>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</si>
  <si>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</si>
  <si>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</si>
  <si>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</si>
  <si>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</si>
  <si>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</si>
  <si>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</si>
  <si>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</si>
  <si>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</si>
  <si>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</si>
  <si>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</si>
  <si>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</si>
  <si>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</si>
  <si>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</si>
  <si>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</si>
  <si>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</si>
  <si>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</si>
  <si>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</si>
  <si>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</si>
  <si>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</si>
  <si>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</si>
  <si>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</si>
  <si>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</si>
  <si>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</si>
  <si>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</si>
  <si>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</si>
  <si>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</si>
  <si>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</si>
  <si>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</si>
  <si>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</si>
  <si>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</si>
  <si>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</si>
  <si>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</si>
  <si>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</si>
  <si>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</si>
  <si>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</si>
  <si>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</si>
  <si>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</si>
  <si>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</si>
  <si>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</si>
  <si>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</si>
  <si>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</si>
  <si>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</si>
  <si>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</si>
  <si>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</si>
  <si>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</si>
  <si>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</si>
  <si>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</si>
  <si>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</si>
  <si>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</si>
  <si>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</si>
  <si>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</si>
  <si>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</si>
  <si>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</si>
  <si>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</si>
  <si>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</si>
  <si>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</si>
  <si>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</si>
  <si>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</si>
  <si>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</si>
  <si>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</si>
  <si>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</si>
  <si>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</si>
  <si>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</si>
  <si>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</si>
  <si>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</si>
  <si>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</si>
  <si>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</si>
  <si>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</si>
  <si>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</si>
  <si>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</si>
  <si>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</si>
  <si>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</si>
  <si>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</si>
  <si>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</si>
  <si>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</si>
  <si>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</si>
  <si>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</si>
  <si>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</si>
  <si>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</si>
  <si>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</si>
  <si>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</si>
  <si>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</si>
  <si>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</si>
  <si>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</si>
  <si>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</si>
  <si>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</si>
  <si>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</si>
  <si>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</si>
  <si>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</si>
  <si>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</si>
  <si>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</si>
  <si>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</si>
  <si>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</si>
  <si>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</si>
  <si>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</si>
  <si>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</si>
  <si>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</si>
  <si>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</si>
  <si>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</si>
  <si>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</si>
  <si>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</si>
  <si>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</si>
  <si>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</si>
  <si>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</si>
  <si>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</si>
  <si>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</si>
  <si>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</si>
  <si>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</si>
  <si>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</si>
  <si>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</si>
  <si>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</si>
  <si>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</si>
  <si>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</si>
  <si>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</si>
  <si>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</si>
  <si>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</si>
  <si>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</si>
  <si>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</si>
  <si>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</si>
  <si>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</si>
  <si>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</si>
  <si>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</si>
  <si>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</si>
  <si>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</si>
  <si>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</si>
  <si>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</si>
  <si>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</si>
  <si>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</si>
  <si>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</si>
  <si>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</si>
  <si>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</si>
  <si>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</si>
  <si>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</si>
  <si>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</si>
  <si>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</si>
  <si>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</si>
  <si>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</si>
  <si>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</si>
  <si>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</si>
  <si>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</si>
  <si>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</si>
  <si>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</si>
  <si>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</si>
  <si>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</si>
  <si>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</si>
  <si>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</si>
  <si>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</si>
  <si>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</si>
  <si>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</si>
  <si>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</si>
  <si>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</si>
  <si>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</si>
  <si>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</si>
  <si>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</si>
  <si>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</si>
  <si>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</si>
  <si>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</si>
  <si>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</si>
  <si>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</si>
  <si>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</si>
  <si>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</si>
  <si>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</si>
  <si>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</si>
  <si>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</si>
  <si>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</si>
  <si>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</si>
  <si>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</si>
  <si>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</si>
  <si>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</si>
  <si>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</si>
  <si>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</si>
  <si>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</si>
  <si>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</si>
  <si>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</si>
  <si>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</si>
  <si>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</si>
  <si>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</si>
  <si>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</si>
  <si>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</si>
  <si>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</si>
  <si>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</si>
  <si>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</si>
  <si>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</si>
  <si>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</si>
  <si>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</si>
  <si>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</si>
  <si>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</si>
  <si>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</si>
  <si>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</si>
  <si>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</si>
  <si>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</si>
  <si>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</si>
  <si>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</si>
  <si>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</si>
  <si>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</si>
  <si>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</si>
  <si>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</si>
  <si>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</si>
  <si>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</si>
  <si>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</si>
  <si>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</si>
  <si>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</si>
  <si>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</si>
  <si>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</si>
  <si>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</si>
  <si>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</si>
  <si>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</si>
  <si>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</si>
  <si>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</si>
  <si>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</si>
  <si>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</si>
  <si>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</si>
  <si>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</si>
  <si>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</si>
  <si>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</si>
  <si>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</si>
  <si>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</si>
  <si>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</si>
  <si>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</si>
  <si>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</si>
  <si>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</si>
  <si>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</si>
  <si>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</si>
  <si>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</si>
  <si>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</si>
  <si>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</si>
  <si>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</si>
  <si>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</si>
  <si>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</si>
  <si>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</si>
  <si>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</si>
  <si>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</si>
  <si>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</si>
  <si>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</si>
  <si>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</si>
  <si>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</si>
  <si>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</si>
  <si>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</si>
  <si>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</si>
  <si>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</si>
  <si>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</si>
  <si>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</si>
  <si>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</si>
  <si>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</si>
  <si>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</si>
  <si>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</si>
  <si>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</si>
  <si>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</si>
  <si>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</si>
  <si>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</si>
  <si>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</si>
  <si>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</si>
  <si>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</si>
  <si>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</si>
  <si>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</si>
  <si>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</si>
  <si>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</si>
  <si>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</si>
  <si>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</si>
  <si>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</si>
  <si>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</si>
  <si>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</si>
  <si>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</si>
  <si>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</si>
  <si>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</si>
  <si>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</si>
  <si>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</si>
  <si>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</si>
  <si>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</si>
  <si>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</si>
  <si>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</si>
  <si>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</si>
  <si>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</si>
  <si>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</si>
  <si>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</si>
  <si>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</si>
  <si>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</si>
  <si>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</si>
  <si>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</si>
  <si>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</si>
  <si>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</si>
  <si>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</si>
  <si>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</si>
  <si>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</si>
  <si>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</si>
  <si>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</si>
  <si>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</si>
  <si>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</si>
  <si>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</si>
  <si>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</si>
  <si>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</si>
  <si>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</si>
  <si>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</si>
  <si>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</si>
  <si>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</si>
  <si>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</si>
  <si>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</si>
  <si>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</si>
  <si>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</si>
  <si>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</si>
  <si>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</si>
  <si>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</si>
  <si>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</si>
  <si>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</si>
  <si>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</si>
  <si>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</si>
  <si>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</si>
  <si>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</si>
  <si>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</si>
  <si>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</si>
  <si>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</si>
  <si>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</si>
  <si>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</si>
  <si>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</si>
  <si>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</si>
  <si>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</si>
  <si>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</si>
  <si>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</si>
  <si>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</si>
  <si>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</si>
  <si>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</si>
  <si>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</si>
  <si>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</si>
  <si>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</si>
  <si>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</si>
  <si>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</si>
  <si>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</si>
  <si>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</si>
  <si>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</si>
  <si>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</si>
  <si>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</si>
  <si>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</si>
  <si>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</si>
  <si>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</si>
  <si>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</si>
  <si>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</si>
  <si>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</si>
  <si>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</si>
  <si>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</si>
  <si>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</si>
  <si>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</si>
  <si>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</si>
  <si>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</si>
  <si>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</si>
  <si>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</si>
  <si>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</si>
  <si>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</si>
  <si>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</si>
  <si>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</si>
  <si>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</si>
  <si>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</si>
  <si>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</si>
  <si>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</si>
  <si>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</si>
  <si>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</si>
  <si>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</si>
  <si>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</si>
  <si>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</si>
  <si>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</si>
  <si>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</si>
  <si>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</si>
  <si>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</si>
  <si>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</si>
  <si>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</si>
  <si>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</si>
  <si>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</si>
  <si>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</si>
  <si>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</si>
  <si>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</si>
  <si>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</si>
  <si>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</si>
  <si>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</si>
  <si>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</si>
  <si>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</si>
  <si>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</si>
  <si>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</si>
  <si>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</si>
  <si>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</si>
  <si>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</si>
  <si>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</si>
  <si>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</si>
  <si>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</si>
  <si>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</si>
  <si>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</si>
  <si>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</si>
  <si>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</si>
  <si>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</si>
  <si>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</si>
  <si>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</si>
  <si>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</si>
  <si>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</si>
  <si>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</si>
  <si>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</si>
  <si>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</si>
  <si>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</si>
  <si>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</si>
  <si>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</si>
  <si>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</si>
  <si>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</si>
  <si>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</si>
  <si>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</si>
  <si>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</si>
  <si>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</si>
  <si>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</si>
  <si>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</si>
  <si>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</si>
  <si>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</si>
  <si>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</si>
  <si>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</si>
  <si>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</si>
  <si>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</si>
  <si>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</si>
  <si>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</si>
  <si>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</si>
  <si>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</si>
  <si>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</si>
  <si>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</si>
  <si>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</si>
  <si>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</si>
  <si>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</si>
  <si>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</si>
  <si>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</si>
  <si>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</si>
  <si>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</si>
  <si>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</si>
  <si>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</si>
  <si>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</si>
  <si>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</si>
  <si>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</si>
  <si>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</si>
  <si>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</si>
  <si>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</si>
  <si>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</si>
  <si>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</si>
  <si>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</si>
  <si>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</si>
  <si>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</si>
  <si>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</si>
  <si>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</si>
  <si>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</si>
  <si>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</si>
  <si>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</si>
  <si>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</si>
  <si>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</si>
  <si>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</si>
  <si>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</si>
  <si>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</si>
  <si>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</si>
  <si>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</si>
  <si>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</si>
  <si>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</si>
  <si>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</si>
  <si>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</si>
  <si>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</si>
  <si>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</si>
  <si>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</si>
  <si>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</si>
  <si>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</si>
  <si>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</si>
  <si>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</si>
  <si>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</si>
  <si>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</si>
  <si>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</si>
  <si>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</si>
  <si>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</si>
  <si>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</si>
  <si>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</si>
  <si>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</si>
  <si>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</si>
  <si>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</si>
  <si>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</si>
  <si>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</si>
  <si>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</si>
  <si>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</si>
  <si>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</si>
  <si>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</si>
  <si>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</si>
  <si>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</si>
  <si>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</si>
  <si>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</si>
  <si>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</si>
  <si>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</si>
  <si>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</si>
  <si>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</si>
  <si>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</si>
  <si>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</si>
  <si>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</si>
  <si>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</si>
  <si>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</si>
  <si>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</si>
  <si>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</si>
  <si>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</si>
  <si>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</si>
  <si>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</si>
  <si>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</si>
  <si>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</si>
  <si>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</si>
  <si>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</si>
  <si>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</si>
  <si>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</si>
  <si>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</si>
  <si>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</si>
  <si>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</si>
  <si>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</si>
  <si>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</si>
  <si>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</si>
  <si>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</si>
  <si>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</si>
  <si>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</si>
  <si>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</si>
  <si>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</si>
  <si>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</si>
  <si>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</si>
  <si>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</si>
  <si>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</si>
  <si>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</si>
  <si>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</si>
  <si>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</si>
  <si>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</si>
  <si>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</si>
  <si>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</si>
  <si>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</si>
  <si>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</si>
  <si>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</si>
  <si>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</si>
  <si>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</si>
  <si>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</si>
  <si>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</si>
  <si>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</si>
  <si>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</si>
  <si>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</si>
  <si>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</si>
  <si>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</si>
  <si>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</si>
  <si>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</si>
  <si>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</si>
  <si>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</si>
  <si>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</si>
  <si>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</si>
  <si>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</si>
  <si>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</si>
  <si>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</si>
  <si>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</si>
  <si>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</si>
  <si>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</si>
  <si>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</si>
  <si>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</si>
  <si>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</si>
  <si>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</si>
  <si>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</si>
  <si>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</si>
  <si>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</si>
  <si>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</si>
  <si>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</si>
  <si>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</si>
  <si>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</si>
  <si>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</si>
  <si>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</si>
  <si>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</si>
  <si>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</si>
  <si>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</si>
  <si>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</si>
  <si>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</si>
  <si>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</si>
  <si>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</si>
  <si>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</si>
  <si>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</si>
  <si>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</si>
  <si>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</si>
  <si>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</si>
  <si>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</si>
  <si>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</si>
  <si>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</si>
  <si>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</si>
  <si>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</si>
  <si>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</si>
  <si>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</si>
  <si>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</si>
  <si>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</si>
  <si>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</si>
  <si>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</si>
  <si>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</si>
  <si>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</si>
  <si>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</si>
  <si>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</si>
  <si>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</si>
  <si>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</si>
  <si>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</si>
  <si>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</si>
  <si>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</si>
  <si>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</si>
  <si>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</si>
  <si>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</si>
  <si>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</si>
  <si>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</si>
  <si>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</si>
  <si>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</si>
  <si>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</si>
  <si>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</si>
  <si>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</si>
  <si>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</si>
  <si>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</si>
  <si>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</si>
  <si>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</si>
  <si>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</si>
  <si>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</si>
  <si>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</si>
  <si>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</si>
  <si>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</si>
  <si>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</si>
  <si>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</si>
  <si>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</si>
  <si>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</si>
  <si>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</si>
  <si>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</si>
  <si>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</si>
  <si>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</si>
  <si>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</si>
  <si>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</si>
  <si>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</si>
  <si>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</si>
  <si>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</si>
  <si>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</si>
  <si>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</si>
  <si>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</si>
  <si>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</si>
  <si>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</si>
  <si>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</si>
  <si>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</si>
  <si>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</si>
  <si>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</si>
  <si>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</si>
  <si>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</si>
  <si>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</si>
  <si>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</si>
  <si>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</si>
  <si>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</si>
  <si>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</si>
  <si>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</si>
  <si>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</si>
  <si>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</si>
  <si>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</si>
  <si>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</si>
  <si>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</si>
  <si>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</si>
  <si>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</si>
  <si>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</si>
  <si>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</si>
  <si>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</si>
  <si>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</si>
  <si>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</si>
  <si>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</si>
  <si>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</si>
  <si>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</si>
  <si>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</si>
  <si>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</si>
  <si>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</si>
  <si>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</si>
  <si>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</si>
  <si>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</si>
  <si>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</si>
  <si>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</si>
  <si>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</si>
  <si>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</si>
  <si>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</si>
  <si>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</si>
  <si>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</si>
  <si>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</si>
  <si>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</si>
  <si>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</si>
  <si>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</si>
  <si>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</si>
  <si>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</si>
  <si>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</si>
  <si>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</si>
  <si>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</si>
  <si>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</si>
  <si>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</si>
  <si>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</si>
  <si>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</si>
  <si>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</si>
  <si>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</si>
  <si>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</si>
  <si>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</si>
  <si>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</si>
  <si>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</si>
  <si>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</si>
  <si>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</si>
  <si>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</si>
  <si>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</si>
  <si>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</si>
  <si>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</si>
  <si>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</si>
  <si>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</si>
  <si>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</si>
  <si>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</si>
  <si>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</si>
  <si>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</si>
  <si>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</si>
  <si>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</si>
  <si>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</si>
  <si>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</si>
  <si>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</si>
  <si>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</si>
  <si>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</si>
  <si>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</si>
  <si>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</si>
  <si>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</si>
  <si>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</si>
  <si>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</si>
  <si>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</si>
  <si>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</si>
  <si>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</si>
  <si>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</si>
  <si>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</si>
  <si>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</si>
  <si>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</si>
  <si>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</si>
  <si>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</si>
  <si>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</si>
  <si>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</si>
  <si>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</si>
  <si>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</si>
  <si>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</si>
  <si>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</si>
  <si>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</si>
  <si>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</si>
  <si>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</si>
  <si>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</si>
  <si>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</si>
  <si>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</si>
  <si>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</si>
  <si>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</si>
  <si>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</si>
  <si>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</si>
  <si>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</si>
  <si>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</si>
  <si>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</si>
  <si>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</si>
  <si>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</si>
  <si>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</si>
  <si>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</si>
  <si>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</si>
  <si>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</si>
  <si>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</si>
  <si>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</si>
  <si>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</si>
  <si>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</si>
  <si>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</si>
  <si>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</si>
  <si>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</si>
  <si>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</si>
  <si>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</si>
  <si>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</si>
  <si>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</si>
  <si>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</si>
  <si>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</si>
  <si>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</si>
  <si>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</si>
  <si>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</si>
  <si>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</si>
  <si>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</si>
  <si>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</si>
  <si>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</si>
  <si>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</si>
  <si>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</si>
  <si>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</si>
  <si>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</si>
  <si>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</si>
  <si>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</si>
  <si>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</si>
  <si>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</si>
  <si>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</si>
  <si>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</si>
  <si>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</si>
  <si>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</si>
  <si>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</si>
  <si>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</si>
  <si>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</si>
  <si>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</si>
  <si>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</si>
  <si>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</si>
  <si>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</si>
  <si>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</si>
  <si>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</si>
  <si>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</si>
  <si>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</si>
  <si>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</si>
  <si>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</si>
  <si>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</si>
  <si>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</si>
  <si>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</si>
  <si>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</si>
  <si>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</si>
  <si>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</si>
  <si>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</si>
  <si>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</si>
  <si>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</si>
  <si>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</si>
  <si>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</si>
  <si>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</si>
  <si>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</si>
  <si>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</si>
  <si>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</si>
  <si>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</si>
  <si>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</si>
  <si>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</si>
  <si>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</si>
  <si>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</si>
  <si>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</si>
  <si>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</si>
  <si>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</si>
  <si>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</si>
  <si>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</si>
  <si>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</si>
  <si>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</si>
  <si>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</si>
  <si>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</si>
  <si>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</si>
  <si>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</si>
  <si>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</si>
  <si>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</si>
  <si>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</si>
  <si>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</si>
  <si>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</si>
  <si>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</si>
  <si>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</si>
  <si>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</si>
  <si>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</si>
  <si>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</si>
  <si>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</si>
  <si>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</si>
  <si>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</si>
  <si>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</si>
  <si>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</si>
  <si>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</si>
  <si>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</si>
  <si>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</si>
  <si>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</si>
  <si>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</si>
  <si>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</si>
  <si>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</si>
  <si>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</si>
  <si>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</si>
  <si>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</si>
  <si>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</si>
  <si>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</si>
  <si>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</si>
  <si>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</si>
  <si>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</si>
  <si>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</si>
  <si>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</si>
  <si>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</si>
  <si>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</si>
  <si>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</si>
  <si>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</si>
  <si>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</si>
  <si>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</si>
  <si>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</si>
  <si>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</si>
  <si>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</si>
  <si>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</si>
  <si>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</si>
  <si>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</si>
  <si>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</si>
  <si>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</si>
  <si>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</si>
  <si>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</si>
  <si>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</si>
  <si>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</si>
  <si>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</si>
  <si>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</si>
  <si>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</si>
  <si>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</si>
  <si>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</si>
  <si>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</si>
  <si>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</si>
  <si>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</si>
  <si>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</si>
  <si>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</si>
  <si>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</si>
  <si>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</si>
  <si>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</si>
  <si>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</si>
  <si>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</si>
  <si>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</si>
  <si>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</si>
  <si>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</si>
  <si>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</si>
  <si>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</si>
  <si>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</si>
  <si>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</si>
  <si>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</si>
  <si>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</si>
  <si>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</si>
  <si>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</si>
  <si>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</si>
  <si>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</si>
  <si>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</si>
  <si>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</si>
  <si>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</si>
  <si>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</si>
  <si>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</si>
  <si>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</si>
  <si>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</si>
  <si>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</si>
  <si>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</si>
  <si>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</si>
  <si>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</si>
  <si>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</si>
  <si>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</si>
  <si>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</si>
  <si>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</si>
  <si>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</si>
  <si>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</si>
  <si>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</si>
  <si>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</si>
  <si>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</si>
  <si>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</si>
  <si>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</si>
  <si>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</si>
  <si>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</si>
  <si>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</si>
  <si>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</si>
  <si>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</si>
  <si>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</si>
  <si>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</si>
  <si>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</si>
  <si>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</si>
  <si>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</si>
  <si>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</si>
  <si>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</si>
  <si>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</si>
  <si>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</si>
  <si>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</si>
  <si>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</si>
  <si>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</si>
  <si>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</si>
  <si>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</si>
  <si>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</si>
  <si>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</si>
  <si>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</si>
  <si>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</si>
  <si>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</si>
  <si>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</si>
  <si>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</si>
  <si>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</si>
  <si>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</si>
  <si>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</si>
  <si>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</si>
  <si>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</si>
  <si>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</si>
  <si>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</si>
  <si>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</si>
  <si>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</si>
  <si>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</si>
  <si>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</si>
  <si>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</si>
  <si>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</si>
  <si>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</si>
  <si>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</si>
  <si>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</si>
  <si>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</si>
  <si>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</si>
  <si>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</si>
  <si>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</si>
  <si>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</si>
  <si>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</si>
  <si>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</si>
  <si>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</si>
  <si>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</si>
  <si>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</si>
  <si>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</si>
  <si>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</si>
  <si>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</si>
  <si>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</si>
  <si>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</si>
  <si>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</si>
  <si>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</si>
  <si>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</si>
  <si>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</si>
  <si>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</si>
  <si>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</si>
  <si>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</si>
  <si>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</si>
  <si>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</si>
  <si>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</si>
  <si>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</si>
  <si>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</si>
  <si>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</si>
  <si>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</si>
  <si>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</si>
  <si>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</si>
  <si>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</si>
  <si>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</si>
  <si>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</si>
  <si>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</si>
  <si>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</si>
  <si>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</si>
  <si>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</si>
  <si>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</si>
  <si>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</si>
  <si>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</si>
  <si>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</si>
  <si>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</si>
  <si>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</si>
  <si>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</si>
  <si>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</si>
  <si>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</si>
  <si>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</si>
  <si>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</si>
  <si>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</si>
  <si>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</si>
  <si>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</si>
  <si>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</si>
  <si>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</si>
  <si>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</si>
  <si>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</si>
  <si>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</si>
  <si>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</si>
  <si>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</si>
  <si>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</si>
  <si>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</si>
  <si>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</si>
  <si>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</si>
  <si>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</si>
  <si>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</si>
  <si>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</si>
  <si>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</si>
  <si>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</si>
  <si>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</si>
  <si>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</si>
  <si>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</si>
  <si>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</si>
  <si>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</si>
  <si>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</si>
  <si>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</si>
  <si>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</si>
  <si>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</si>
  <si>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</si>
  <si>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</si>
  <si>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</si>
  <si>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</si>
  <si>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</si>
  <si>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</si>
  <si>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</si>
  <si>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</si>
  <si>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</si>
  <si>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</si>
  <si>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</si>
  <si>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</si>
  <si>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</si>
  <si>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</si>
  <si>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</si>
  <si>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</si>
  <si>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</si>
  <si>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</si>
  <si>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</si>
  <si>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</si>
  <si>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</si>
  <si>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</si>
  <si>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</si>
  <si>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</si>
  <si>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</si>
  <si>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</si>
  <si>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</si>
  <si>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</si>
  <si>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</si>
  <si>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</si>
  <si>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</si>
  <si>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</si>
  <si>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</si>
  <si>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</si>
  <si>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</si>
  <si>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</si>
  <si>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</si>
  <si>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</si>
  <si>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</si>
  <si>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</si>
  <si>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</si>
  <si>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</si>
  <si>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</si>
  <si>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</si>
  <si>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</si>
  <si>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</si>
  <si>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</si>
  <si>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</si>
  <si>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</si>
  <si>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</si>
  <si>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</si>
  <si>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</si>
  <si>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</si>
  <si>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</si>
  <si>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</si>
  <si>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</si>
  <si>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</si>
  <si>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</si>
  <si>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</si>
  <si>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</si>
  <si>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</si>
  <si>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</si>
  <si>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</si>
  <si>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</si>
  <si>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</si>
  <si>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</si>
  <si>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</si>
  <si>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</si>
  <si>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</si>
  <si>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</si>
  <si>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</si>
  <si>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</si>
  <si>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</si>
  <si>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</si>
  <si>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</si>
  <si>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</si>
  <si>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</si>
  <si>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</si>
  <si>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</si>
  <si>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</si>
  <si>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</si>
  <si>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</si>
  <si>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</si>
  <si>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</si>
  <si>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</si>
  <si>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</si>
  <si>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</si>
  <si>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</si>
  <si>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</si>
  <si>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</si>
  <si>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</si>
  <si>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</si>
  <si>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</si>
  <si>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</si>
  <si>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</si>
  <si>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</si>
  <si>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</si>
  <si>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</si>
  <si>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</si>
  <si>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</si>
  <si>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</si>
  <si>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</si>
  <si>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</si>
  <si>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</si>
  <si>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</si>
  <si>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</si>
  <si>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</si>
  <si>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</si>
  <si>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</si>
  <si>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</si>
  <si>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</si>
  <si>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</si>
  <si>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</si>
  <si>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</si>
  <si>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</si>
  <si>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</si>
  <si>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</si>
  <si>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</si>
  <si>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</si>
  <si>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</si>
  <si>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</si>
  <si>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</si>
  <si>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</si>
  <si>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</si>
  <si>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</si>
  <si>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</si>
  <si>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</si>
  <si>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</si>
  <si>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</si>
  <si>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</si>
  <si>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</si>
  <si>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</si>
  <si>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</si>
  <si>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</si>
  <si>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</si>
  <si>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</si>
  <si>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</si>
  <si>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</si>
  <si>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</si>
  <si>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</si>
  <si>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</si>
  <si>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</si>
  <si>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</si>
  <si>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</si>
  <si>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</si>
  <si>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</si>
  <si>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</si>
  <si>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</si>
  <si>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</si>
  <si>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</si>
  <si>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</si>
  <si>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</si>
  <si>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</si>
  <si>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</si>
  <si>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</si>
  <si>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</si>
  <si>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</si>
  <si>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</si>
  <si>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</si>
  <si>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</si>
  <si>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</si>
  <si>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</si>
  <si>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</si>
  <si>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</si>
  <si>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</si>
  <si>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</si>
  <si>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</si>
  <si>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</si>
  <si>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</si>
  <si>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</si>
  <si>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</si>
  <si>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</si>
  <si>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</si>
  <si>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</si>
  <si>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</si>
  <si>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</si>
  <si>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</si>
  <si>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</si>
  <si>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</si>
  <si>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</si>
  <si>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</si>
  <si>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</si>
  <si>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</si>
  <si>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</si>
  <si>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</si>
  <si>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</si>
  <si>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</si>
  <si>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</si>
  <si>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</si>
  <si>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</si>
  <si>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</si>
  <si>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</si>
  <si>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</si>
  <si>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</si>
  <si>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</si>
  <si>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</si>
  <si>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</si>
  <si>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</si>
  <si>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</si>
  <si>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</si>
  <si>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</si>
  <si>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</si>
  <si>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</si>
  <si>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</si>
  <si>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</si>
  <si>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</si>
  <si>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</si>
  <si>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</si>
  <si>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</si>
  <si>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</si>
  <si>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</si>
  <si>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</si>
  <si>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</si>
  <si>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</si>
  <si>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</si>
  <si>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</si>
  <si>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</si>
  <si>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</si>
  <si>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</si>
  <si>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</si>
  <si>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</si>
  <si>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</si>
  <si>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</si>
  <si>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</si>
  <si>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</si>
  <si>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</si>
  <si>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</si>
  <si>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</si>
  <si>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</si>
  <si>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</si>
  <si>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</si>
  <si>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</si>
  <si>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</si>
  <si>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</si>
  <si>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</si>
  <si>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</si>
  <si>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</si>
  <si>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</si>
  <si>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</si>
  <si>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</si>
  <si>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</si>
  <si>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</si>
  <si>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</si>
  <si>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</si>
  <si>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</si>
  <si>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</si>
  <si>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</si>
  <si>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</si>
  <si>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</si>
  <si>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</si>
  <si>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</si>
  <si>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</si>
  <si>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</si>
  <si>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</si>
  <si>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</si>
  <si>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</si>
  <si>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</si>
  <si>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</si>
  <si>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</si>
  <si>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</si>
  <si>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</si>
  <si>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</si>
  <si>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</si>
  <si>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</si>
  <si>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</si>
  <si>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</si>
  <si>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</si>
  <si>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</si>
  <si>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</si>
  <si>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</si>
  <si>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</si>
  <si>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</si>
  <si>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</si>
  <si>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</si>
  <si>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</si>
  <si>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</si>
  <si>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</si>
  <si>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</si>
  <si>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</si>
  <si>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</si>
  <si>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</si>
  <si>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</si>
  <si>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</si>
  <si>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</si>
  <si>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</si>
  <si>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</si>
  <si>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</si>
  <si>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</si>
  <si>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</si>
  <si>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</si>
  <si>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</si>
  <si>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</si>
  <si>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</si>
  <si>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</si>
  <si>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</si>
  <si>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</si>
  <si>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</si>
  <si>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</si>
  <si>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</si>
  <si>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</si>
  <si>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</si>
  <si>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</si>
  <si>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</si>
  <si>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</si>
  <si>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</si>
  <si>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</si>
  <si>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</si>
  <si>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</si>
  <si>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</si>
  <si>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</si>
  <si>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</si>
  <si>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</si>
  <si>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</si>
  <si>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</si>
  <si>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</si>
  <si>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</si>
  <si>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</si>
  <si>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</si>
  <si>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</si>
  <si>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</si>
  <si>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</si>
  <si>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</si>
  <si>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</si>
  <si>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</si>
  <si>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</si>
  <si>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</si>
  <si>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</si>
  <si>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</si>
  <si>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</si>
  <si>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</si>
  <si>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</si>
  <si>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</si>
  <si>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</si>
  <si>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</si>
  <si>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</si>
  <si>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</si>
  <si>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</si>
  <si>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</si>
  <si>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</si>
  <si>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</si>
  <si>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</si>
  <si>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</si>
  <si>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</si>
  <si>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</si>
  <si>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</si>
  <si>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</si>
  <si>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</si>
  <si>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</si>
  <si>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</si>
  <si>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</si>
  <si>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</si>
  <si>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</si>
  <si>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</si>
  <si>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</si>
  <si>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</si>
  <si>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</si>
  <si>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</si>
  <si>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</si>
  <si>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</si>
  <si>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</si>
  <si>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</si>
  <si>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</si>
  <si>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</si>
  <si>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</si>
  <si>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</si>
  <si>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</si>
  <si>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</si>
  <si>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</si>
  <si>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</si>
  <si>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</si>
  <si>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</si>
  <si>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</si>
  <si>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</si>
  <si>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</si>
  <si>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</si>
  <si>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</si>
  <si>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</si>
  <si>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</si>
  <si>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</si>
  <si>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</si>
  <si>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</si>
  <si>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</si>
  <si>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</si>
  <si>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</si>
  <si>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</si>
  <si>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</si>
  <si>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</si>
  <si>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</si>
  <si>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</si>
  <si>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</si>
  <si>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</si>
  <si>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</si>
  <si>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</si>
  <si>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</si>
  <si>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</si>
  <si>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</si>
  <si>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</si>
  <si>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</si>
  <si>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</si>
  <si>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</si>
  <si>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</si>
  <si>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</si>
  <si>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</si>
  <si>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</si>
  <si>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</si>
  <si>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</si>
  <si>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</si>
  <si>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</si>
  <si>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</si>
  <si>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</si>
  <si>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</si>
  <si>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</si>
  <si>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</si>
  <si>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</si>
  <si>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</si>
  <si>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</si>
  <si>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</si>
  <si>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</si>
  <si>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</si>
  <si>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</si>
  <si>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</si>
  <si>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</si>
  <si>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</si>
  <si>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</si>
  <si>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</si>
  <si>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</si>
  <si>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</si>
  <si>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</si>
  <si>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</si>
  <si>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</si>
  <si>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</si>
  <si>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</si>
  <si>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</si>
  <si>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</si>
  <si>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</si>
  <si>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</si>
  <si>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</si>
  <si>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</si>
  <si>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</si>
  <si>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</si>
  <si>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</si>
  <si>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</si>
  <si>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</si>
  <si>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</si>
  <si>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</si>
  <si>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</si>
  <si>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</si>
  <si>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</si>
  <si>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</si>
  <si>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</si>
  <si>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</si>
  <si>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3号楼1层</t>
    <phoneticPr fontId="254" type="noConversion"/>
  </si>
  <si>
    <t>3号楼2层</t>
    <phoneticPr fontId="254" type="noConversion"/>
  </si>
  <si>
    <t>合计</t>
    <phoneticPr fontId="254" type="noConversion"/>
  </si>
  <si>
    <t>3号楼3层</t>
    <phoneticPr fontId="254" type="noConversion"/>
  </si>
  <si>
    <t>3号楼4层</t>
    <phoneticPr fontId="254" type="noConversion"/>
  </si>
  <si>
    <t>3号楼6层</t>
    <phoneticPr fontId="254" type="noConversion"/>
  </si>
  <si>
    <t>3号楼5层</t>
    <phoneticPr fontId="254" type="noConversion"/>
  </si>
  <si>
    <t>小计</t>
    <phoneticPr fontId="254" type="noConversion"/>
  </si>
  <si>
    <t>3号楼合计</t>
    <phoneticPr fontId="254" type="noConversion"/>
  </si>
  <si>
    <t>2号楼-1层</t>
    <phoneticPr fontId="254" type="noConversion"/>
  </si>
  <si>
    <t>2号楼1层</t>
    <phoneticPr fontId="254" type="noConversion"/>
  </si>
  <si>
    <t>2号楼2层</t>
    <phoneticPr fontId="254" type="noConversion"/>
  </si>
  <si>
    <t>2号楼3层</t>
    <phoneticPr fontId="254" type="noConversion"/>
  </si>
  <si>
    <t>2号楼5层</t>
    <phoneticPr fontId="254" type="noConversion"/>
  </si>
  <si>
    <t>2号楼6层</t>
    <phoneticPr fontId="254" type="noConversion"/>
  </si>
  <si>
    <t>2号楼7层</t>
    <phoneticPr fontId="254" type="noConversion"/>
  </si>
  <si>
    <t>房间</t>
  </si>
  <si>
    <t>合同编号</t>
  </si>
  <si>
    <t>认购日期</t>
  </si>
  <si>
    <t>签约日期</t>
  </si>
  <si>
    <t>政府网签日期</t>
  </si>
  <si>
    <t>合同总价</t>
  </si>
  <si>
    <t>付款方式</t>
  </si>
  <si>
    <t>销售代表</t>
  </si>
  <si>
    <t>合同交房日期</t>
  </si>
  <si>
    <t>运营交房日期</t>
  </si>
  <si>
    <t>实际交房日期</t>
  </si>
  <si>
    <t>房款款齐日期</t>
  </si>
  <si>
    <t>补差款金额</t>
  </si>
  <si>
    <t>补差款款齐日期</t>
  </si>
  <si>
    <t>附加条款</t>
  </si>
  <si>
    <t>移交状态</t>
  </si>
  <si>
    <t>办理日期</t>
  </si>
  <si>
    <t>办理人</t>
  </si>
  <si>
    <t>发证机关</t>
  </si>
  <si>
    <t>有效期限</t>
  </si>
  <si>
    <t>提核检资料类型</t>
  </si>
  <si>
    <t>BJCCGCSY-2--110</t>
  </si>
  <si>
    <t>Y2087280</t>
  </si>
  <si>
    <t>2018-03-13</t>
  </si>
  <si>
    <t>2018-03-26</t>
  </si>
  <si>
    <t>一次性付款</t>
  </si>
  <si>
    <t>孙禹</t>
  </si>
  <si>
    <t>2018-12-31</t>
  </si>
  <si>
    <t>BJCCGCSY-2--121</t>
  </si>
  <si>
    <t>Y2087276</t>
  </si>
  <si>
    <t>苏媛媛</t>
  </si>
  <si>
    <t>BJCCGCSY-2--125</t>
  </si>
  <si>
    <t>Y2081465</t>
  </si>
  <si>
    <t>2018-02-09</t>
  </si>
  <si>
    <t>3 全款分期首付二成</t>
  </si>
  <si>
    <t>2018-04-12</t>
  </si>
  <si>
    <t>BJCCGCCW-2--197</t>
  </si>
  <si>
    <t>Y2084039</t>
  </si>
  <si>
    <t>2017-12-31</t>
  </si>
  <si>
    <t>2018-03-20</t>
  </si>
  <si>
    <t>车位全款分期</t>
  </si>
  <si>
    <t>孙冬</t>
  </si>
  <si>
    <t>2020-12-31</t>
  </si>
  <si>
    <t>BJCCGCCW-2--031</t>
  </si>
  <si>
    <t>Y2084031</t>
  </si>
  <si>
    <t>2017-12-30</t>
  </si>
  <si>
    <t>毕佳佳</t>
  </si>
  <si>
    <t>BJCCGCCW-2--034</t>
  </si>
  <si>
    <t>Y2084033</t>
  </si>
  <si>
    <t>BJCCGCCW-2--037</t>
  </si>
  <si>
    <t>Y2084035</t>
  </si>
  <si>
    <t>BJCCGCCW-2--038</t>
  </si>
  <si>
    <t>Y2084036</t>
  </si>
  <si>
    <t>Y2084042</t>
  </si>
  <si>
    <t>2018-03-18</t>
  </si>
  <si>
    <t>李叙函</t>
  </si>
  <si>
    <t>BJCCGCCW-2--199</t>
  </si>
  <si>
    <t>Y2084041</t>
  </si>
  <si>
    <t>BJCCGCSY-3-236</t>
  </si>
  <si>
    <t>Y2060490</t>
  </si>
  <si>
    <t>2017-12-29</t>
  </si>
  <si>
    <t>2018-01-23</t>
  </si>
  <si>
    <t>BJCCGCSY-3-239</t>
  </si>
  <si>
    <t>Y2075562</t>
  </si>
  <si>
    <t>2018-02-02</t>
  </si>
  <si>
    <t>BJCCGCSY-3-238</t>
  </si>
  <si>
    <t>Y2060493</t>
  </si>
  <si>
    <t>2 按揭付款首付五成</t>
  </si>
  <si>
    <t>BJCCGCCW-2--043</t>
  </si>
  <si>
    <t>Y2086595</t>
  </si>
  <si>
    <t>2018-03-19</t>
  </si>
  <si>
    <t>BJCCGCCW-2--007</t>
  </si>
  <si>
    <t>Y2086540</t>
  </si>
  <si>
    <t>BJCCGCCW-2--040</t>
  </si>
  <si>
    <t>Y2086593</t>
  </si>
  <si>
    <t>BJCCGCCW-2--008</t>
  </si>
  <si>
    <t>Y2086543</t>
  </si>
  <si>
    <t>BJCCGCCW-2--009</t>
  </si>
  <si>
    <t>Y2086547</t>
  </si>
  <si>
    <t>BJCCGCCW-2--010</t>
  </si>
  <si>
    <t>Y2086550</t>
  </si>
  <si>
    <t>BJCCGCCW-2--011</t>
  </si>
  <si>
    <t>Y2086555</t>
  </si>
  <si>
    <t>BJCCGCCW-2--012</t>
  </si>
  <si>
    <t>Y2086592</t>
  </si>
  <si>
    <t>BJCCGCCW-2--006</t>
  </si>
  <si>
    <t>Y2084017</t>
  </si>
  <si>
    <t>刘孟姣</t>
  </si>
  <si>
    <t>BJCCGCSY-2--105</t>
  </si>
  <si>
    <t>Y2075199</t>
  </si>
  <si>
    <t>2017-12-22</t>
  </si>
  <si>
    <t>2018-04-18</t>
  </si>
  <si>
    <t>BJCCGCSY-3-237</t>
  </si>
  <si>
    <t>Y2075155</t>
  </si>
  <si>
    <t>2017-12-28</t>
  </si>
  <si>
    <t>BJCCGCBG-2-332</t>
  </si>
  <si>
    <t>Y2075166</t>
  </si>
  <si>
    <t>2017-12-21</t>
  </si>
  <si>
    <t>2018-04-20</t>
  </si>
  <si>
    <t>BJCCGCBG-2-333</t>
  </si>
  <si>
    <t>Y2075169</t>
  </si>
  <si>
    <t>BJCCGCBG-2-334</t>
  </si>
  <si>
    <t>Y2075190</t>
  </si>
  <si>
    <t>BJCCGCBG-2-335</t>
  </si>
  <si>
    <t>Y2075192</t>
  </si>
  <si>
    <t>BJCCGCBG-2-336</t>
  </si>
  <si>
    <t>Y2075193</t>
  </si>
  <si>
    <t>BJCCGCBG-2-337</t>
  </si>
  <si>
    <t>Y2075195</t>
  </si>
  <si>
    <t>BJCCGCSY-3-235</t>
  </si>
  <si>
    <t>Y2073467</t>
  </si>
  <si>
    <t>BJCCGCSY-3-141</t>
  </si>
  <si>
    <t>Y2073464</t>
  </si>
  <si>
    <t>BJCCGCBG-2-339</t>
  </si>
  <si>
    <t>Y2077169</t>
  </si>
  <si>
    <t>2017-11-30</t>
  </si>
  <si>
    <t>2017-12-09</t>
  </si>
  <si>
    <t>2018-01-17</t>
  </si>
  <si>
    <t>8全款分期首付一成</t>
  </si>
  <si>
    <t>BJCCGCBG-2-340</t>
  </si>
  <si>
    <t>Y2077172</t>
  </si>
  <si>
    <t>BJCCGCBG-2-341</t>
  </si>
  <si>
    <t>Y2077174</t>
  </si>
  <si>
    <t>BJCCGCBG-2-342</t>
  </si>
  <si>
    <t>Y2077177</t>
  </si>
  <si>
    <t>BJCCGCSY-2--104</t>
  </si>
  <si>
    <t>Y2071749</t>
  </si>
  <si>
    <t>2017-12-01</t>
  </si>
  <si>
    <t>2017-12-13</t>
  </si>
  <si>
    <t>3 全款分期首付五成</t>
  </si>
  <si>
    <t>BJCCGCSY-2--107</t>
  </si>
  <si>
    <t>Y2077166</t>
  </si>
  <si>
    <t>2017-11-28</t>
  </si>
  <si>
    <t>2017-11-29</t>
  </si>
  <si>
    <t>2018-01-15</t>
  </si>
  <si>
    <t>孙杨阳</t>
  </si>
  <si>
    <t>BJCCGCBG-2-344</t>
  </si>
  <si>
    <t>Y2067669</t>
  </si>
  <si>
    <t>2017-11-11</t>
  </si>
  <si>
    <t>2017-11-25</t>
  </si>
  <si>
    <t>BJCCGCSY-2--101</t>
  </si>
  <si>
    <t>Y2073733</t>
  </si>
  <si>
    <t>2017-11-24</t>
  </si>
  <si>
    <t>2017-12-20</t>
  </si>
  <si>
    <t>BJCCGCSY-2--106</t>
  </si>
  <si>
    <t>Y2067579</t>
  </si>
  <si>
    <t>BJCCGCSY-2--103</t>
  </si>
  <si>
    <t>Y2028592</t>
  </si>
  <si>
    <t>2017-11-21</t>
  </si>
  <si>
    <t>2017-11-27</t>
  </si>
  <si>
    <t>BJCCGCSY-2--108</t>
  </si>
  <si>
    <t>Y2067586</t>
  </si>
  <si>
    <t>刘志阳</t>
  </si>
  <si>
    <t>BJCCGCSY-2--109</t>
  </si>
  <si>
    <t>Y2067590</t>
  </si>
  <si>
    <t>BJCCGCSY-2--102</t>
  </si>
  <si>
    <t>Y2071938</t>
  </si>
  <si>
    <t>2017-11-22</t>
  </si>
  <si>
    <t>2017-12-16</t>
  </si>
  <si>
    <t>BJCCGCSY-3-230</t>
  </si>
  <si>
    <t>Y2067162</t>
  </si>
  <si>
    <t>2017-11-13</t>
  </si>
  <si>
    <t>BJCCGCBG-2-323</t>
  </si>
  <si>
    <t>Y2070702</t>
  </si>
  <si>
    <t>2017-11-09</t>
  </si>
  <si>
    <t>2017-11-19</t>
  </si>
  <si>
    <t>薛海燕</t>
  </si>
  <si>
    <t>BJCCGCBG-2-325</t>
  </si>
  <si>
    <t>Y2072286</t>
  </si>
  <si>
    <t>2017-10-31</t>
  </si>
  <si>
    <t>2017-12-18</t>
  </si>
  <si>
    <t>BJCCGCBG-2-326</t>
  </si>
  <si>
    <t>Y2072292</t>
  </si>
  <si>
    <t>BJCCGCBG-2-301</t>
  </si>
  <si>
    <t>Y2067526</t>
  </si>
  <si>
    <t>BJCCGCBG-2-302</t>
  </si>
  <si>
    <t>Y2067529</t>
  </si>
  <si>
    <t>BJCCGCBG-2-329</t>
  </si>
  <si>
    <t>Y2072577</t>
  </si>
  <si>
    <t>BJCCGCSY-3-138</t>
  </si>
  <si>
    <t>Y2065086</t>
  </si>
  <si>
    <t>BJCCGCBG-2-328</t>
  </si>
  <si>
    <t>Y2065089</t>
  </si>
  <si>
    <t>BJCCGCBG-2-305</t>
  </si>
  <si>
    <t>Y2065286</t>
  </si>
  <si>
    <t>2017-03-25</t>
  </si>
  <si>
    <t>2017-11-03</t>
  </si>
  <si>
    <t>BJCCGCBG-2-306</t>
  </si>
  <si>
    <t>Y2065287</t>
  </si>
  <si>
    <t>BJCCGCBG-2-307</t>
  </si>
  <si>
    <t>Y2065288</t>
  </si>
  <si>
    <t>BJCCGCBG-2-310</t>
  </si>
  <si>
    <t>Y2065671</t>
  </si>
  <si>
    <t>BJCCGCBG-2-303</t>
  </si>
  <si>
    <t>Y2070744</t>
  </si>
  <si>
    <t>BJCCGCBG-2-304</t>
  </si>
  <si>
    <t>Y2070747</t>
  </si>
  <si>
    <t>BJCCGCBG-2-319</t>
  </si>
  <si>
    <t>Y2070731</t>
  </si>
  <si>
    <t>全款分期首付一成</t>
  </si>
  <si>
    <t>2017-11-04</t>
  </si>
  <si>
    <t>BJCCGCSY-3-232</t>
  </si>
  <si>
    <t>Y2072568</t>
  </si>
  <si>
    <t>2017-10-27</t>
  </si>
  <si>
    <t>2017-10-30</t>
  </si>
  <si>
    <t>BJCCGCSY-3-137</t>
  </si>
  <si>
    <t>Y2064674</t>
  </si>
  <si>
    <t>BJCCGCSY-3-140</t>
  </si>
  <si>
    <t>Y2074053</t>
  </si>
  <si>
    <t>2017-10-13</t>
  </si>
  <si>
    <t>2017-10-19</t>
  </si>
  <si>
    <t>王众</t>
  </si>
  <si>
    <t>BJCCGCSY-3-146</t>
  </si>
  <si>
    <t>Y2075198</t>
  </si>
  <si>
    <t>2017-09-30</t>
  </si>
  <si>
    <t>2018-03-23</t>
  </si>
  <si>
    <t>BJCCGCSY-3-148</t>
  </si>
  <si>
    <t>Y2073113</t>
  </si>
  <si>
    <t>BJCCGCSY-3-233</t>
  </si>
  <si>
    <t>Y2060487</t>
  </si>
  <si>
    <t>2017-11-20</t>
  </si>
  <si>
    <t>2 全款分期首付二成</t>
  </si>
  <si>
    <t>BJCCGCSY-3-144</t>
  </si>
  <si>
    <t>Y2060464</t>
  </si>
  <si>
    <t>2017-09-28</t>
  </si>
  <si>
    <t>BJCCGCSY-3-134</t>
  </si>
  <si>
    <t>Y2065608</t>
  </si>
  <si>
    <t>1 全款分期首付五成</t>
  </si>
  <si>
    <t>2017-10-11</t>
  </si>
  <si>
    <t>BJCCGCSY-3-135</t>
  </si>
  <si>
    <t>Y2065615</t>
  </si>
  <si>
    <t>BJCCGCSY-3-147</t>
  </si>
  <si>
    <t>Y2066864</t>
  </si>
  <si>
    <t>BJCCGCSY-3-133</t>
  </si>
  <si>
    <t>Y2060440</t>
  </si>
  <si>
    <t>2017-09-29</t>
  </si>
  <si>
    <t>BJCCGCSY-3-231</t>
  </si>
  <si>
    <t>Y2060477</t>
  </si>
  <si>
    <t>BJCCGCSY-3-234</t>
  </si>
  <si>
    <t>Y2060488</t>
  </si>
  <si>
    <t>BJCCGCSY-3-241</t>
  </si>
  <si>
    <t>Y2060500</t>
  </si>
  <si>
    <t>1 全款分期首付二成</t>
  </si>
  <si>
    <t>BJCCGCSY-3-243</t>
  </si>
  <si>
    <t>Y2060504</t>
  </si>
  <si>
    <t>BJCCGCSY-3-145</t>
  </si>
  <si>
    <t>Y2060472</t>
  </si>
  <si>
    <t>BJCCGCSY-3-240</t>
  </si>
  <si>
    <t>Y2060499</t>
  </si>
  <si>
    <t>2017-11-16</t>
  </si>
  <si>
    <t>2017-10-20</t>
  </si>
  <si>
    <t>BJCCGCSY-3-142</t>
  </si>
  <si>
    <t>Y2060462</t>
  </si>
  <si>
    <t>2017-11-15</t>
  </si>
  <si>
    <t>BJCCGCSY-3-143</t>
  </si>
  <si>
    <t>Y2060463</t>
  </si>
  <si>
    <t>BJCCGCSY-3-139</t>
  </si>
  <si>
    <t>Y2066854</t>
  </si>
  <si>
    <t>BJCCGCSY-3-136</t>
  </si>
  <si>
    <t>Y2067150</t>
  </si>
  <si>
    <t>BJCCGCSY-2-112</t>
  </si>
  <si>
    <t>Y2028219</t>
  </si>
  <si>
    <t>2017-07-29</t>
  </si>
  <si>
    <t>2017-07-31</t>
  </si>
  <si>
    <t>2017-08-18</t>
  </si>
  <si>
    <t>全款分期首付二成</t>
  </si>
  <si>
    <t>BJCCGCSY-2--123</t>
  </si>
  <si>
    <t>Y2051282</t>
  </si>
  <si>
    <t>2017-04-22</t>
  </si>
  <si>
    <t>2017-07-07</t>
  </si>
  <si>
    <t>BJCCGCSY-2-220</t>
  </si>
  <si>
    <t>Y2028577</t>
  </si>
  <si>
    <t>2017-06-23</t>
  </si>
  <si>
    <t>2017-06-30</t>
  </si>
  <si>
    <t>2017-09-27</t>
  </si>
  <si>
    <t>BJCCGCSY-2-124</t>
  </si>
  <si>
    <t>Y2066898</t>
  </si>
  <si>
    <t>BJCCGCSY-2-209</t>
  </si>
  <si>
    <t>Y2028474</t>
  </si>
  <si>
    <t>2017-03-23</t>
  </si>
  <si>
    <t>BJCCGCSY-2-120</t>
  </si>
  <si>
    <t>Y2028057</t>
  </si>
  <si>
    <t>2017-03-24</t>
  </si>
  <si>
    <t>2017-03-31</t>
  </si>
  <si>
    <t>李卓</t>
  </si>
  <si>
    <t>BJCCGCSY-2-121</t>
  </si>
  <si>
    <t>Y2028058</t>
  </si>
  <si>
    <t>BJCCGCSY-2-122</t>
  </si>
  <si>
    <t>Y2028061</t>
  </si>
  <si>
    <t>2017-03-22</t>
  </si>
  <si>
    <t>4 全款分期首付五成</t>
  </si>
  <si>
    <t>BJCCGCSY-2-123</t>
  </si>
  <si>
    <t>Y2028081</t>
  </si>
  <si>
    <t>2017-12-08</t>
  </si>
  <si>
    <t>BJCCGCSY-2-218</t>
  </si>
  <si>
    <t>Y2028572</t>
  </si>
  <si>
    <t>BJCCGCSY-2-219</t>
  </si>
  <si>
    <t>Y2028580</t>
  </si>
  <si>
    <t>BJCCGCSY-2-203</t>
  </si>
  <si>
    <t>Y2028403</t>
  </si>
  <si>
    <t>2017-08-20</t>
  </si>
  <si>
    <t>BJCCGCSY-2-129</t>
  </si>
  <si>
    <t>Y2028170</t>
  </si>
  <si>
    <t>BJCCGCSY-2--115</t>
  </si>
  <si>
    <t>Y2030137</t>
  </si>
  <si>
    <t>分期付款</t>
  </si>
  <si>
    <t>2018-01-20</t>
  </si>
  <si>
    <t>BJCCGCSY-2-207</t>
  </si>
  <si>
    <t>Y2028470</t>
  </si>
  <si>
    <t>徐玲玲</t>
  </si>
  <si>
    <t>2018-01-11</t>
  </si>
  <si>
    <t>BJCCGCSY-2--122</t>
  </si>
  <si>
    <t>Y2029602</t>
  </si>
  <si>
    <t>北京市公安局朝阳分局</t>
  </si>
  <si>
    <t>2004.11.15-长期</t>
  </si>
  <si>
    <t>BJCCGCSY-2-228</t>
  </si>
  <si>
    <t>Y2028292</t>
  </si>
  <si>
    <t>2017-12-24</t>
  </si>
  <si>
    <t>BJCCGCSY-2--118</t>
  </si>
  <si>
    <t>Y2029647</t>
  </si>
  <si>
    <t>2017-12-26</t>
  </si>
  <si>
    <t>BJCCGCSY-2-104</t>
  </si>
  <si>
    <t>Y2028065</t>
  </si>
  <si>
    <t>BJCCGCSY-2-201</t>
  </si>
  <si>
    <t>Y2028543</t>
  </si>
  <si>
    <t>BJCCGCSY-2--116</t>
  </si>
  <si>
    <t>Y2029568</t>
  </si>
  <si>
    <t>BJCCGCSY-2--117</t>
  </si>
  <si>
    <t>Y2029603</t>
  </si>
  <si>
    <t>BJCCGCSY-2-110</t>
  </si>
  <si>
    <t>Y2028125</t>
  </si>
  <si>
    <t>2017-12-04</t>
  </si>
  <si>
    <t>BJCCGCSY-2-105</t>
  </si>
  <si>
    <t>Y2028070</t>
  </si>
  <si>
    <t>2017-11-14</t>
  </si>
  <si>
    <t>BJCCGCSY-2-206</t>
  </si>
  <si>
    <t>Y2028469</t>
  </si>
  <si>
    <t>BJCCGCSY-2--111</t>
  </si>
  <si>
    <t>Y2029950</t>
  </si>
  <si>
    <t>BJCCGCSY-2-208</t>
  </si>
  <si>
    <t>Y2028472</t>
  </si>
  <si>
    <t>按揭付款</t>
  </si>
  <si>
    <t>BJCCGCSY-2--119</t>
  </si>
  <si>
    <t>Y2029418</t>
  </si>
  <si>
    <t>2018-01-25</t>
  </si>
  <si>
    <t>BJCCGCSY-2--126</t>
  </si>
  <si>
    <t>Y2030052</t>
  </si>
  <si>
    <t>BJCCGCSY-2-210</t>
  </si>
  <si>
    <t>Y2028475</t>
  </si>
  <si>
    <t>2017-12-12</t>
  </si>
  <si>
    <t>BJCCGCSY-2-227</t>
  </si>
  <si>
    <t>Y2028282</t>
  </si>
  <si>
    <t>BJCCGCSY-2-226</t>
  </si>
  <si>
    <t>Y2028288</t>
  </si>
  <si>
    <t>BJCCGCSY-2-111</t>
  </si>
  <si>
    <t>Y2028189</t>
  </si>
  <si>
    <t>2017-12-14</t>
  </si>
  <si>
    <t>BJCCGCSY-2-113</t>
  </si>
  <si>
    <t>Y2028220</t>
  </si>
  <si>
    <t>BJCCGCSY-2-109</t>
  </si>
  <si>
    <t>Y2028116</t>
  </si>
  <si>
    <t>2018-03-14</t>
  </si>
  <si>
    <t>BJCCGCSY-2-213</t>
  </si>
  <si>
    <t>Y2028550</t>
  </si>
  <si>
    <t>BJCCGCSY-2-118</t>
  </si>
  <si>
    <t>Y2028045</t>
  </si>
  <si>
    <t>2017-12-19</t>
  </si>
  <si>
    <t>BJCCGCSY-2-101</t>
  </si>
  <si>
    <t>Y2000982</t>
  </si>
  <si>
    <t>BJCCGCSY-2-102</t>
  </si>
  <si>
    <t>Y2028055</t>
  </si>
  <si>
    <t>BJCCGCSY-2-103</t>
  </si>
  <si>
    <t>Y2028060</t>
  </si>
  <si>
    <t>BJCCGCSY-2-224</t>
  </si>
  <si>
    <t>Y2028560</t>
  </si>
  <si>
    <t>BJCCGCSY-2-225</t>
  </si>
  <si>
    <t>Y2029457</t>
  </si>
  <si>
    <t>BJCCGCSY-2-116</t>
  </si>
  <si>
    <t>Y2028022</t>
  </si>
  <si>
    <t>BJCCGCSY-2--112</t>
  </si>
  <si>
    <t>Y2028914</t>
  </si>
  <si>
    <t>BJCCGCSY-2-212</t>
  </si>
  <si>
    <t>Y2028477</t>
  </si>
  <si>
    <t>BJCCGCSY-2-108</t>
  </si>
  <si>
    <t>Y2028105</t>
  </si>
  <si>
    <t>BJCCGCSY-2-106</t>
  </si>
  <si>
    <t>Y2028082</t>
  </si>
  <si>
    <t>2017-11-12</t>
  </si>
  <si>
    <t>BJCCGCSY-2-126</t>
  </si>
  <si>
    <t>Y2028120</t>
  </si>
  <si>
    <t>BJCCGCSY-2-119</t>
  </si>
  <si>
    <t>Y2028053</t>
  </si>
  <si>
    <t>苏彤</t>
  </si>
  <si>
    <t>BJCCGCSY-2-125</t>
  </si>
  <si>
    <t>Y2028107</t>
  </si>
  <si>
    <t>2017-11-18</t>
  </si>
  <si>
    <t>BJCCGCSY-2-221</t>
  </si>
  <si>
    <t>Y2028568</t>
  </si>
  <si>
    <t>BJCCGCSY-2-216</t>
  </si>
  <si>
    <t>Y2028557</t>
  </si>
  <si>
    <t>BJCCGCSY-2-107</t>
  </si>
  <si>
    <t>Y2028089</t>
  </si>
  <si>
    <t>王海锋</t>
  </si>
  <si>
    <t>BJCCGCSY-2-204</t>
  </si>
  <si>
    <t>Y2028406</t>
  </si>
  <si>
    <t>BJCCGCSY-2--114</t>
  </si>
  <si>
    <t>Y2029616</t>
  </si>
  <si>
    <t>BJCCGCSY-2-217</t>
  </si>
  <si>
    <t>Y2028563</t>
  </si>
  <si>
    <t>2017-11-23</t>
  </si>
  <si>
    <t>BJCCGCSY-2-205</t>
  </si>
  <si>
    <t>Y2028468</t>
  </si>
  <si>
    <t>BJCCGCSY-2-215</t>
  </si>
  <si>
    <t>Y2028552</t>
  </si>
  <si>
    <t>BJCCGCSY-2-115</t>
  </si>
  <si>
    <t>Y2028224</t>
  </si>
  <si>
    <t>BJCCGCSY-2--113</t>
  </si>
  <si>
    <t>Y2029499</t>
  </si>
  <si>
    <t>BJCCGCSY-2-214</t>
  </si>
  <si>
    <t>Y2028548</t>
  </si>
  <si>
    <t>BJCCGCSY-2-117</t>
  </si>
  <si>
    <t>Y2028037</t>
  </si>
  <si>
    <t>BJCCGCSY-2-222</t>
  </si>
  <si>
    <t>Y2028316</t>
  </si>
  <si>
    <t>BJCCGCSY-2-128</t>
  </si>
  <si>
    <t>Y2028129</t>
  </si>
  <si>
    <t>BJCCGCSY-2-130</t>
  </si>
  <si>
    <t>Y2028184</t>
  </si>
  <si>
    <t>BJCCGCSY-2-131</t>
  </si>
  <si>
    <t>Y2028193</t>
  </si>
  <si>
    <t>BJCCGCSY-2-132</t>
  </si>
  <si>
    <t>Y2028200</t>
  </si>
  <si>
    <t>BJCCGCSY-2-149</t>
  </si>
  <si>
    <t>Y2028209</t>
  </si>
  <si>
    <t>BJCCGCSY-2-150</t>
  </si>
  <si>
    <t>Y2028213</t>
  </si>
  <si>
    <t>BJCCGCSY-2-114</t>
  </si>
  <si>
    <t>Y2028223</t>
  </si>
  <si>
    <t>BJCCGCSY-2-127</t>
  </si>
  <si>
    <t>Y2028127</t>
  </si>
  <si>
    <t>BJCCGCSY-2-211</t>
  </si>
  <si>
    <t>Y2028335</t>
  </si>
  <si>
    <t>BJCCGCSY-2-223</t>
  </si>
  <si>
    <t>Y2028415</t>
  </si>
  <si>
    <t>拆分房号</t>
    <phoneticPr fontId="3" type="noConversion"/>
  </si>
  <si>
    <t>公式套用格式1</t>
    <phoneticPr fontId="3" type="noConversion"/>
  </si>
  <si>
    <t>公式套用2</t>
    <phoneticPr fontId="3" type="noConversion"/>
  </si>
  <si>
    <t>实测建面</t>
    <phoneticPr fontId="3" type="noConversion"/>
  </si>
  <si>
    <t>实测套内</t>
    <phoneticPr fontId="3" type="noConversion"/>
  </si>
  <si>
    <t>预测建筑面积</t>
    <phoneticPr fontId="3" type="noConversion"/>
  </si>
  <si>
    <t>预测套内面积</t>
    <phoneticPr fontId="3" type="noConversion"/>
  </si>
  <si>
    <t>2-224</t>
  </si>
  <si>
    <t>2-225</t>
  </si>
  <si>
    <t>2-101</t>
  </si>
  <si>
    <t>2-132</t>
  </si>
  <si>
    <t>2-119</t>
  </si>
  <si>
    <t>2--108</t>
  </si>
  <si>
    <t>2--109</t>
  </si>
  <si>
    <t>2-215</t>
  </si>
  <si>
    <t>2-336</t>
  </si>
  <si>
    <t>2-310</t>
  </si>
  <si>
    <t>3-236</t>
  </si>
  <si>
    <t>3-239</t>
  </si>
  <si>
    <t>3-238</t>
  </si>
  <si>
    <t>2-333</t>
  </si>
  <si>
    <t>2-334</t>
  </si>
  <si>
    <t>2--122</t>
  </si>
  <si>
    <t>2-335</t>
  </si>
  <si>
    <t>2-114</t>
  </si>
  <si>
    <t>2-131</t>
  </si>
  <si>
    <t>2-124</t>
  </si>
  <si>
    <t>2--117</t>
  </si>
  <si>
    <t>2--123</t>
  </si>
  <si>
    <t>2--121</t>
  </si>
  <si>
    <t>3-237</t>
  </si>
  <si>
    <t>2--118</t>
  </si>
  <si>
    <t>2--103</t>
  </si>
  <si>
    <t>2-118</t>
  </si>
  <si>
    <t>2--104</t>
  </si>
  <si>
    <t>2-332</t>
  </si>
  <si>
    <t>2--116</t>
  </si>
  <si>
    <t>3-235</t>
  </si>
  <si>
    <t>3-141</t>
  </si>
  <si>
    <t>2--110</t>
  </si>
  <si>
    <t>2-301</t>
  </si>
  <si>
    <t>2-337</t>
  </si>
  <si>
    <t>2-302</t>
  </si>
  <si>
    <t>2-344</t>
  </si>
  <si>
    <t>2-129</t>
  </si>
  <si>
    <t>2-303</t>
  </si>
  <si>
    <t>2-304</t>
  </si>
  <si>
    <t>2-305</t>
  </si>
  <si>
    <t>2-339</t>
  </si>
  <si>
    <t>2-340</t>
  </si>
  <si>
    <t>2-341</t>
  </si>
  <si>
    <t>2-342</t>
  </si>
  <si>
    <t>3-230</t>
  </si>
  <si>
    <t>2--113</t>
  </si>
  <si>
    <t>2--112</t>
  </si>
  <si>
    <t>2--106</t>
  </si>
  <si>
    <t>2-117</t>
  </si>
  <si>
    <t>2-105</t>
  </si>
  <si>
    <t>2--125</t>
  </si>
  <si>
    <t>3-138</t>
  </si>
  <si>
    <t>2-228</t>
  </si>
  <si>
    <t>2--114</t>
  </si>
  <si>
    <t>2-104</t>
  </si>
  <si>
    <t>2--111</t>
  </si>
  <si>
    <t>2-223</t>
  </si>
  <si>
    <t>2-216</t>
  </si>
  <si>
    <t>2--101</t>
  </si>
  <si>
    <t>2-120</t>
  </si>
  <si>
    <t>3-232</t>
  </si>
  <si>
    <t>3-137</t>
  </si>
  <si>
    <t>3-140</t>
  </si>
  <si>
    <t>3-146</t>
  </si>
  <si>
    <t>3-148</t>
  </si>
  <si>
    <t>3-233</t>
  </si>
  <si>
    <t>3-144</t>
  </si>
  <si>
    <t>3-134</t>
  </si>
  <si>
    <t>3-135</t>
  </si>
  <si>
    <t>3-147</t>
  </si>
  <si>
    <t>3-133</t>
  </si>
  <si>
    <t>3-231</t>
  </si>
  <si>
    <t>3-234</t>
  </si>
  <si>
    <t>3-241</t>
  </si>
  <si>
    <t>3-243</t>
  </si>
  <si>
    <t>3-145</t>
  </si>
  <si>
    <t>3-240</t>
  </si>
  <si>
    <t>3-142</t>
  </si>
  <si>
    <t>3-143</t>
  </si>
  <si>
    <t>3-139</t>
  </si>
  <si>
    <t>3-136</t>
  </si>
  <si>
    <t>2-128</t>
  </si>
  <si>
    <t>2-328</t>
  </si>
  <si>
    <t>2-127</t>
  </si>
  <si>
    <t>2--119</t>
  </si>
  <si>
    <t>2-220</t>
  </si>
  <si>
    <t>2--102</t>
  </si>
  <si>
    <t>2-109</t>
  </si>
  <si>
    <t>2--126</t>
  </si>
  <si>
    <t>2-126</t>
  </si>
  <si>
    <t>2-123</t>
  </si>
  <si>
    <t>2--107</t>
  </si>
  <si>
    <t>2-102</t>
  </si>
  <si>
    <t>2-122</t>
  </si>
  <si>
    <t>2-323</t>
  </si>
  <si>
    <t>2-125</t>
  </si>
  <si>
    <t>2-319</t>
  </si>
  <si>
    <t>2-306</t>
  </si>
  <si>
    <t>2-121</t>
  </si>
  <si>
    <t>2-325</t>
  </si>
  <si>
    <t>2-329</t>
  </si>
  <si>
    <t>2-326</t>
  </si>
  <si>
    <t>2--105</t>
  </si>
  <si>
    <t>2-103</t>
  </si>
  <si>
    <t>2-211</t>
  </si>
  <si>
    <t>2-307</t>
  </si>
  <si>
    <t>2-106</t>
  </si>
  <si>
    <t>2-203</t>
  </si>
  <si>
    <t>2-116</t>
  </si>
  <si>
    <t>2-214</t>
  </si>
  <si>
    <t>2-130</t>
  </si>
  <si>
    <t>2-113</t>
  </si>
  <si>
    <t>2-206</t>
  </si>
  <si>
    <t>2-111</t>
  </si>
  <si>
    <t>2-115</t>
  </si>
  <si>
    <t>2-210</t>
  </si>
  <si>
    <t>2-107</t>
  </si>
  <si>
    <t>2-110</t>
  </si>
  <si>
    <t>2-204</t>
  </si>
  <si>
    <t>2-208</t>
  </si>
  <si>
    <t>2-207</t>
  </si>
  <si>
    <t>2-205</t>
  </si>
  <si>
    <t>2-219</t>
  </si>
  <si>
    <t>2-108</t>
  </si>
  <si>
    <t>2-218</t>
  </si>
  <si>
    <t>2-221</t>
  </si>
  <si>
    <t>2-209</t>
  </si>
  <si>
    <t>2-112</t>
  </si>
  <si>
    <t>2-222</t>
  </si>
  <si>
    <t>2-217</t>
  </si>
  <si>
    <t>2--115</t>
  </si>
  <si>
    <t>2-212</t>
  </si>
  <si>
    <t>2-226</t>
  </si>
  <si>
    <t>2-149</t>
  </si>
  <si>
    <t>2-227</t>
  </si>
  <si>
    <t>2-213</t>
  </si>
  <si>
    <t>2-201</t>
  </si>
  <si>
    <t>2-150</t>
  </si>
  <si>
    <t>BJCCGCCW-2--200</t>
    <phoneticPr fontId="3" type="noConversion"/>
  </si>
  <si>
    <t>2--200</t>
  </si>
  <si>
    <t>2--199</t>
  </si>
  <si>
    <t>2--197</t>
  </si>
  <si>
    <t>2--043</t>
  </si>
  <si>
    <t>2--040</t>
  </si>
  <si>
    <t>2--038</t>
  </si>
  <si>
    <t>2--037</t>
  </si>
  <si>
    <t>2--034</t>
  </si>
  <si>
    <t>2--031</t>
  </si>
  <si>
    <t>2--012</t>
  </si>
  <si>
    <t>2--011</t>
  </si>
  <si>
    <t>2--010</t>
  </si>
  <si>
    <t>2--009</t>
  </si>
  <si>
    <t>2--008</t>
  </si>
  <si>
    <t>2--007</t>
  </si>
  <si>
    <t>2--006</t>
  </si>
  <si>
    <t>已售面积</t>
    <phoneticPr fontId="254" type="noConversion"/>
  </si>
  <si>
    <t>未售面积</t>
    <phoneticPr fontId="254" type="noConversion"/>
  </si>
  <si>
    <t>1层</t>
    <phoneticPr fontId="254" type="noConversion"/>
  </si>
  <si>
    <t>2层</t>
    <phoneticPr fontId="254" type="noConversion"/>
  </si>
  <si>
    <t>3层</t>
    <phoneticPr fontId="254" type="noConversion"/>
  </si>
  <si>
    <r>
      <t>B</t>
    </r>
    <r>
      <rPr>
        <sz val="11"/>
        <color theme="1"/>
        <rFont val="宋体"/>
        <family val="3"/>
        <charset val="134"/>
        <scheme val="minor"/>
      </rPr>
      <t>1层</t>
    </r>
    <phoneticPr fontId="254" type="noConversion"/>
  </si>
  <si>
    <t>4层</t>
    <phoneticPr fontId="254" type="noConversion"/>
  </si>
  <si>
    <t>5层</t>
    <phoneticPr fontId="254" type="noConversion"/>
  </si>
  <si>
    <t>6层</t>
    <phoneticPr fontId="254" type="noConversion"/>
  </si>
  <si>
    <t>2号楼</t>
    <phoneticPr fontId="254" type="noConversion"/>
  </si>
  <si>
    <t>3号楼</t>
    <phoneticPr fontId="254" type="noConversion"/>
  </si>
  <si>
    <t>7层</t>
    <phoneticPr fontId="254" type="noConversion"/>
  </si>
  <si>
    <t>吴薇</t>
  </si>
  <si>
    <t>刘梅</t>
  </si>
  <si>
    <t>抵押</t>
  </si>
  <si>
    <t>房地产抵押价值</t>
  </si>
  <si>
    <t>已注销及未注销</t>
  </si>
  <si>
    <t>出让</t>
  </si>
  <si>
    <t>北京市</t>
  </si>
  <si>
    <t>企业</t>
  </si>
  <si>
    <t>收益法商业</t>
  </si>
  <si>
    <t>收益法商业</t>
    <phoneticPr fontId="16" type="noConversion"/>
  </si>
  <si>
    <t>收益法办公</t>
  </si>
  <si>
    <t>收益法办公</t>
    <phoneticPr fontId="16" type="noConversion"/>
  </si>
  <si>
    <t>商业</t>
    <phoneticPr fontId="6" type="noConversion"/>
  </si>
  <si>
    <r>
      <rPr>
        <sz val="12"/>
        <color theme="9" tint="-0.249977111117893"/>
        <rFont val="宋体"/>
        <family val="3"/>
        <charset val="134"/>
      </rPr>
      <t>商业</t>
    </r>
    <r>
      <rPr>
        <sz val="12"/>
        <color theme="9" tint="-0.249977111117893"/>
        <rFont val="Arial"/>
        <family val="2"/>
      </rPr>
      <t>36.66</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</si>
  <si>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）丰不动产权第</t>
    </r>
    <r>
      <rPr>
        <sz val="12"/>
        <color theme="9" tint="-0.249977111117893"/>
        <rFont val="Arial"/>
        <family val="2"/>
      </rPr>
      <t>0028591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</si>
  <si>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</si>
  <si>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否</t>
  </si>
  <si>
    <t>复印件</t>
  </si>
  <si>
    <t>通路</t>
  </si>
  <si>
    <t>通电</t>
  </si>
  <si>
    <t>通讯</t>
  </si>
  <si>
    <t>通上水</t>
  </si>
  <si>
    <t>通下水</t>
  </si>
  <si>
    <t>通热</t>
  </si>
  <si>
    <t>燃气</t>
  </si>
  <si>
    <t>建筑面积</t>
    <phoneticPr fontId="254" type="noConversion"/>
  </si>
  <si>
    <t>土地面积</t>
    <phoneticPr fontId="254" type="noConversion"/>
  </si>
  <si>
    <t>分摊土地面积</t>
    <phoneticPr fontId="254" type="noConversion"/>
  </si>
  <si>
    <t>地上商业</t>
    <phoneticPr fontId="3" type="noConversion"/>
  </si>
  <si>
    <t>地上办公</t>
    <phoneticPr fontId="3" type="noConversion"/>
  </si>
  <si>
    <t>地下商业</t>
    <phoneticPr fontId="3" type="noConversion"/>
  </si>
  <si>
    <t>地上</t>
  </si>
  <si>
    <t>底商</t>
  </si>
  <si>
    <t>办公楼</t>
  </si>
  <si>
    <t>地下</t>
  </si>
  <si>
    <t>商业</t>
    <phoneticPr fontId="7" type="noConversion"/>
  </si>
  <si>
    <t>办公</t>
    <phoneticPr fontId="7" type="noConversion"/>
  </si>
  <si>
    <t>成新度</t>
  </si>
  <si>
    <t>批发零售用地</t>
  </si>
  <si>
    <t>宗地容积率</t>
  </si>
  <si>
    <t>不临58条商业街</t>
  </si>
  <si>
    <t>无</t>
  </si>
  <si>
    <t>500米范围内</t>
  </si>
  <si>
    <t>七通一平</t>
  </si>
  <si>
    <t>一致</t>
  </si>
  <si>
    <t>一般</t>
  </si>
  <si>
    <t>较好</t>
  </si>
  <si>
    <t>较差</t>
  </si>
  <si>
    <t>好</t>
  </si>
  <si>
    <t>未包含在土地购买价格中</t>
  </si>
  <si>
    <t>全部缴纳</t>
  </si>
  <si>
    <t>已包含在土地取得成本中</t>
  </si>
  <si>
    <t>押一</t>
  </si>
  <si>
    <t>按租金收入计税</t>
  </si>
  <si>
    <t>钢混</t>
  </si>
  <si>
    <t>非生产用房</t>
  </si>
  <si>
    <t>成本法</t>
  </si>
  <si>
    <t>收益法（汇总）</t>
  </si>
  <si>
    <t>现房</t>
  </si>
  <si>
    <t>租金</t>
  </si>
  <si>
    <t>正常</t>
    <phoneticPr fontId="31" type="noConversion"/>
  </si>
  <si>
    <t>商业</t>
    <phoneticPr fontId="31" type="noConversion"/>
  </si>
  <si>
    <t>30-40（含）</t>
  </si>
  <si>
    <t>七通</t>
  </si>
  <si>
    <t>七通</t>
    <phoneticPr fontId="31" type="noConversion"/>
  </si>
  <si>
    <t>较好</t>
    <phoneticPr fontId="31" type="noConversion"/>
  </si>
  <si>
    <t>较好</t>
    <phoneticPr fontId="31" type="noConversion"/>
  </si>
  <si>
    <t>单面临街</t>
    <phoneticPr fontId="31" type="noConversion"/>
  </si>
  <si>
    <t>单面临街</t>
    <phoneticPr fontId="31" type="noConversion"/>
  </si>
  <si>
    <t>单面临街</t>
    <phoneticPr fontId="31" type="noConversion"/>
  </si>
  <si>
    <t>单面临街</t>
    <phoneticPr fontId="31" type="noConversion"/>
  </si>
  <si>
    <t>较大</t>
    <phoneticPr fontId="31" type="noConversion"/>
  </si>
  <si>
    <t>办公底商</t>
    <phoneticPr fontId="31" type="noConversion"/>
  </si>
  <si>
    <t>花乡</t>
    <phoneticPr fontId="143" type="noConversion"/>
  </si>
  <si>
    <t>育菲园东里</t>
    <phoneticPr fontId="143" type="noConversion"/>
  </si>
  <si>
    <t>住宅底商</t>
    <phoneticPr fontId="31" type="noConversion"/>
  </si>
  <si>
    <t>住宅底商</t>
    <phoneticPr fontId="31" type="noConversion"/>
  </si>
  <si>
    <t>住宅底商</t>
    <phoneticPr fontId="31" type="noConversion"/>
  </si>
  <si>
    <t>商业楼底商</t>
    <phoneticPr fontId="31" type="noConversion"/>
  </si>
  <si>
    <t>办公底商</t>
    <phoneticPr fontId="31" type="noConversion"/>
  </si>
  <si>
    <t>钢混</t>
    <phoneticPr fontId="31" type="noConversion"/>
  </si>
  <si>
    <t>钢混</t>
    <phoneticPr fontId="31" type="noConversion"/>
  </si>
  <si>
    <t>精装</t>
    <phoneticPr fontId="31" type="noConversion"/>
  </si>
  <si>
    <t>标准层高</t>
    <phoneticPr fontId="31" type="noConversion"/>
  </si>
  <si>
    <t>标准层高</t>
    <phoneticPr fontId="31" type="noConversion"/>
  </si>
  <si>
    <t>毛坯</t>
    <phoneticPr fontId="31" type="noConversion"/>
  </si>
  <si>
    <t>普装</t>
    <phoneticPr fontId="31" type="noConversion"/>
  </si>
  <si>
    <t>简装</t>
    <phoneticPr fontId="31" type="noConversion"/>
  </si>
  <si>
    <t>1层</t>
    <phoneticPr fontId="254" type="noConversion"/>
  </si>
  <si>
    <t>2层</t>
    <phoneticPr fontId="254" type="noConversion"/>
  </si>
  <si>
    <r>
      <t>B</t>
    </r>
    <r>
      <rPr>
        <sz val="11"/>
        <color theme="1"/>
        <rFont val="宋体"/>
        <family val="3"/>
        <charset val="134"/>
        <scheme val="minor"/>
      </rPr>
      <t>1层</t>
    </r>
    <phoneticPr fontId="254" type="noConversion"/>
  </si>
  <si>
    <t>楼层系数</t>
    <phoneticPr fontId="254" type="noConversion"/>
  </si>
  <si>
    <t>租金</t>
    <phoneticPr fontId="254" type="noConversion"/>
  </si>
  <si>
    <t>面积占比</t>
    <phoneticPr fontId="254" type="noConversion"/>
  </si>
  <si>
    <t>项目局部</t>
  </si>
  <si>
    <t>正常</t>
    <phoneticPr fontId="32" type="noConversion"/>
  </si>
  <si>
    <t>办公</t>
    <phoneticPr fontId="32" type="noConversion"/>
  </si>
  <si>
    <t>40-50（含）</t>
  </si>
  <si>
    <t>一般</t>
    <phoneticPr fontId="32" type="noConversion"/>
  </si>
  <si>
    <t>较好</t>
    <phoneticPr fontId="32" type="noConversion"/>
  </si>
  <si>
    <t>较好</t>
    <phoneticPr fontId="32" type="noConversion"/>
  </si>
  <si>
    <t>七通</t>
    <phoneticPr fontId="32" type="noConversion"/>
  </si>
  <si>
    <t>支路</t>
  </si>
  <si>
    <t>支路芳菲路</t>
    <phoneticPr fontId="32" type="noConversion"/>
  </si>
  <si>
    <t>四环</t>
    <phoneticPr fontId="32" type="noConversion"/>
  </si>
  <si>
    <r>
      <rPr>
        <sz val="11"/>
        <rFont val="宋体"/>
        <family val="3"/>
        <charset val="134"/>
      </rPr>
      <t>次干道</t>
    </r>
    <r>
      <rPr>
        <sz val="11"/>
        <rFont val="Arial"/>
        <family val="2"/>
      </rPr>
      <t>-</t>
    </r>
    <r>
      <rPr>
        <sz val="11"/>
        <rFont val="宋体"/>
        <family val="3"/>
        <charset val="134"/>
      </rPr>
      <t>中环西路</t>
    </r>
    <phoneticPr fontId="32" type="noConversion"/>
  </si>
  <si>
    <r>
      <rPr>
        <sz val="11"/>
        <rFont val="宋体"/>
        <family val="3"/>
        <charset val="134"/>
      </rPr>
      <t>次干道</t>
    </r>
    <r>
      <rPr>
        <sz val="11"/>
        <rFont val="Arial"/>
        <family val="2"/>
      </rPr>
      <t>-</t>
    </r>
    <r>
      <rPr>
        <sz val="11"/>
        <rFont val="宋体"/>
        <family val="3"/>
        <charset val="134"/>
      </rPr>
      <t>丰科路</t>
    </r>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</si>
  <si>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</si>
  <si>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</si>
  <si>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</si>
  <si>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</si>
  <si>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</si>
  <si>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</si>
  <si>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中区</t>
    <phoneticPr fontId="32" type="noConversion"/>
  </si>
  <si>
    <t>低区</t>
    <phoneticPr fontId="32" type="noConversion"/>
  </si>
  <si>
    <t>塔楼</t>
    <phoneticPr fontId="32" type="noConversion"/>
  </si>
  <si>
    <t>塔楼</t>
    <phoneticPr fontId="32" type="noConversion"/>
  </si>
  <si>
    <t>塔楼</t>
    <phoneticPr fontId="32" type="noConversion"/>
  </si>
  <si>
    <t>高区</t>
    <phoneticPr fontId="32" type="noConversion"/>
  </si>
  <si>
    <t>低区</t>
    <phoneticPr fontId="32" type="noConversion"/>
  </si>
  <si>
    <t>甲级</t>
    <phoneticPr fontId="32" type="noConversion"/>
  </si>
  <si>
    <t>专业</t>
    <phoneticPr fontId="32" type="noConversion"/>
  </si>
  <si>
    <t>专业</t>
    <phoneticPr fontId="32" type="noConversion"/>
  </si>
  <si>
    <t>六通</t>
    <phoneticPr fontId="32" type="noConversion"/>
  </si>
  <si>
    <t>六通</t>
    <phoneticPr fontId="32" type="noConversion"/>
  </si>
  <si>
    <t>毛坯</t>
    <phoneticPr fontId="32" type="noConversion"/>
  </si>
  <si>
    <t>精装</t>
    <phoneticPr fontId="32" type="noConversion"/>
  </si>
  <si>
    <t>普装</t>
    <phoneticPr fontId="32" type="noConversion"/>
  </si>
  <si>
    <t>钢混</t>
    <phoneticPr fontId="32" type="noConversion"/>
  </si>
  <si>
    <t>精装</t>
    <phoneticPr fontId="32" type="noConversion"/>
  </si>
  <si>
    <t>成本比率</t>
  </si>
  <si>
    <t>总</t>
    <phoneticPr fontId="254" type="noConversion"/>
  </si>
  <si>
    <t>地上</t>
    <phoneticPr fontId="254" type="noConversion"/>
  </si>
  <si>
    <t>商业</t>
    <phoneticPr fontId="254" type="noConversion"/>
  </si>
  <si>
    <t>物业</t>
    <phoneticPr fontId="254" type="noConversion"/>
  </si>
  <si>
    <t>地下</t>
    <phoneticPr fontId="254" type="noConversion"/>
  </si>
  <si>
    <t>设备</t>
    <phoneticPr fontId="254" type="noConversion"/>
  </si>
  <si>
    <t>人防</t>
    <phoneticPr fontId="254" type="noConversion"/>
  </si>
  <si>
    <t>车库出入口</t>
    <phoneticPr fontId="254" type="noConversion"/>
  </si>
  <si>
    <t>地下车库</t>
    <phoneticPr fontId="254" type="noConversion"/>
  </si>
  <si>
    <t>人防</t>
    <phoneticPr fontId="254" type="noConversion"/>
  </si>
  <si>
    <t>土地面积</t>
    <phoneticPr fontId="143" type="noConversion"/>
  </si>
  <si>
    <t>零售商业楼</t>
    <phoneticPr fontId="143" type="noConversion"/>
  </si>
  <si>
    <t>零售商业</t>
    <phoneticPr fontId="143" type="noConversion"/>
  </si>
  <si>
    <t>物业用房</t>
    <phoneticPr fontId="143" type="noConversion"/>
  </si>
  <si>
    <t>垃圾站</t>
    <phoneticPr fontId="143" type="noConversion"/>
  </si>
  <si>
    <t>地下车库</t>
    <phoneticPr fontId="143" type="noConversion"/>
  </si>
  <si>
    <t>出入口</t>
    <phoneticPr fontId="143" type="noConversion"/>
  </si>
  <si>
    <t>设备用房</t>
    <phoneticPr fontId="143" type="noConversion"/>
  </si>
  <si>
    <t>地上</t>
    <phoneticPr fontId="143" type="noConversion"/>
  </si>
  <si>
    <t>地下</t>
    <phoneticPr fontId="143" type="noConversion"/>
  </si>
  <si>
    <t>土地部分</t>
    <phoneticPr fontId="254" type="noConversion"/>
  </si>
  <si>
    <t>丰泽园</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</si>
</sst>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C0C0"/>
        <bgColor indexed="64"/>
      </patternFill>
    </fill>
    <fill>
      <patternFill patternType="solid">
        <fgColor rgb="FFF2F2F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17" borderId="1" xfId="0" applyFont="1" applyFill="1" applyBorder="1">
      <alignment vertical="center"/>
    </xf>
    <xf numFmtId="49" fontId="113" fillId="0" borderId="0" xfId="0" applyNumberFormat="1" applyFont="1" applyAlignment="1">
      <alignment vertical="center" wrapText="1"/>
    </xf>
    <xf numFmtId="197" fontId="113" fillId="0" borderId="0" xfId="0" applyNumberFormat="1" applyFont="1" applyAlignment="1">
      <alignment vertical="center" wrapText="1"/>
    </xf>
    <xf numFmtId="49" fontId="113" fillId="18" borderId="0" xfId="0" applyNumberFormat="1" applyFont="1" applyFill="1" applyAlignment="1">
      <alignment vertical="center" wrapText="1"/>
    </xf>
    <xf numFmtId="49" fontId="113" fillId="0" borderId="0" xfId="0" applyNumberFormat="1" applyFont="1" applyAlignment="1">
      <alignment horizontal="center" vertical="center" wrapText="1"/>
    </xf>
    <xf numFmtId="49" fontId="0" fillId="0" borderId="0" xfId="0" applyNumberFormat="1" applyAlignment="1">
      <alignment horizontal="center" vertical="center" wrapText="1"/>
    </xf>
    <xf numFmtId="49" fontId="0" fillId="0" borderId="0" xfId="0" applyNumberFormat="1" applyAlignment="1">
      <alignment vertical="center" wrapText="1"/>
    </xf>
    <xf numFmtId="49" fontId="0" fillId="0" borderId="0" xfId="0" applyNumberFormat="1" applyAlignment="1">
      <alignment horizontal="left" vertical="center" wrapText="1"/>
    </xf>
    <xf numFmtId="197" fontId="0" fillId="0" borderId="0" xfId="0" applyNumberFormat="1" applyAlignment="1">
      <alignment vertical="center" wrapText="1"/>
    </xf>
    <xf numFmtId="0" fontId="113" fillId="17" borderId="1" xfId="0" applyNumberFormat="1" applyFont="1" applyFill="1" applyBorder="1" applyProtection="1">
      <alignment vertical="center"/>
      <protection locked="0"/>
    </xf>
    <xf numFmtId="49" fontId="113" fillId="17" borderId="1" xfId="0" applyNumberFormat="1" applyFont="1" applyFill="1" applyBorder="1">
      <alignment vertical="center"/>
    </xf>
    <xf numFmtId="176" fontId="113" fillId="17" borderId="1" xfId="0" applyNumberFormat="1" applyFont="1" applyFill="1" applyBorder="1" applyProtection="1">
      <alignment vertical="center"/>
      <protection locked="0"/>
    </xf>
    <xf numFmtId="0" fontId="113" fillId="0" borderId="0" xfId="0" applyNumberFormat="1" applyFont="1" applyAlignment="1" applyProtection="1">
      <alignment vertical="center" wrapText="1"/>
    </xf>
    <xf numFmtId="176" fontId="113" fillId="0" borderId="0" xfId="0" applyNumberFormat="1" applyFont="1" applyAlignment="1" applyProtection="1">
      <alignment vertical="center" wrapText="1"/>
      <protection locked="0"/>
    </xf>
    <xf numFmtId="0" fontId="113" fillId="0" borderId="0" xfId="0" applyNumberFormat="1" applyFont="1" applyAlignment="1" applyProtection="1">
      <alignment vertical="center" wrapText="1"/>
      <protection locked="0"/>
    </xf>
    <xf numFmtId="0" fontId="0" fillId="0" borderId="0" xfId="0" applyNumberFormat="1" applyProtection="1">
      <alignment vertical="center"/>
      <protection locked="0"/>
    </xf>
    <xf numFmtId="49" fontId="0" fillId="0" borderId="0" xfId="0" applyNumberFormat="1">
      <alignment vertical="center"/>
    </xf>
    <xf numFmtId="176" fontId="0" fillId="0" borderId="0" xfId="0" applyNumberFormat="1" applyProtection="1">
      <alignment vertical="center"/>
      <protection locked="0"/>
    </xf>
    <xf numFmtId="0" fontId="0" fillId="0" borderId="0" xfId="0" applyNumberFormat="1">
      <alignment vertical="center"/>
    </xf>
    <xf numFmtId="0" fontId="0" fillId="9" borderId="0" xfId="0" applyNumberFormat="1" applyFill="1">
      <alignment vertical="center"/>
    </xf>
    <xf numFmtId="0" fontId="113" fillId="0" borderId="0" xfId="0" applyNumberFormat="1" applyFont="1" applyAlignment="1">
      <alignment vertical="center" wrapText="1"/>
    </xf>
    <xf numFmtId="0"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Border="1">
      <alignment vertical="center"/>
    </xf>
    <xf numFmtId="0" fontId="56" fillId="0" borderId="1" xfId="0" applyFont="1" applyFill="1" applyBorder="1" applyAlignment="1" applyProtection="1">
      <alignment vertical="center" wrapText="1"/>
      <protection locked="0"/>
    </xf>
    <xf numFmtId="0" fontId="47" fillId="9" borderId="1" xfId="0" applyNumberFormat="1" applyFont="1" applyFill="1" applyBorder="1" applyAlignment="1" applyProtection="1">
      <alignment horizontal="center" vertical="center" wrapText="1"/>
      <protection locked="0"/>
    </xf>
    <xf numFmtId="0" fontId="52" fillId="9" borderId="1" xfId="0" applyNumberFormat="1" applyFont="1" applyFill="1" applyBorder="1" applyAlignment="1" applyProtection="1">
      <alignment horizontal="center" vertical="center" wrapText="1"/>
      <protection locked="0"/>
    </xf>
    <xf numFmtId="0" fontId="47" fillId="9" borderId="78" xfId="0" applyNumberFormat="1" applyFont="1" applyFill="1" applyBorder="1" applyAlignment="1" applyProtection="1">
      <alignment horizontal="center" vertical="center" wrapText="1"/>
      <protection locked="0"/>
    </xf>
    <xf numFmtId="0" fontId="54" fillId="9" borderId="78"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NumberForma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9C6500"/>
      </font>
      <fill>
        <patternFill>
          <bgColor rgb="FFFFEB9C"/>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9</xdr:row>
      <xdr:rowOff>9525</xdr:rowOff>
    </xdr:from>
    <xdr:to>
      <xdr:col>13</xdr:col>
      <xdr:colOff>456015</xdr:colOff>
      <xdr:row>16</xdr:row>
      <xdr:rowOff>9375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552575"/>
          <a:ext cx="9485715" cy="1200000"/>
        </a:xfrm>
        <a:prstGeom prst="rect">
          <a:avLst/>
        </a:prstGeom>
      </xdr:spPr>
    </xdr:pic>
    <xdr:clientData/>
  </xdr:twoCellAnchor>
  <xdr:twoCellAnchor editAs="oneCell">
    <xdr:from>
      <xdr:col>0</xdr:col>
      <xdr:colOff>0</xdr:colOff>
      <xdr:row>16</xdr:row>
      <xdr:rowOff>0</xdr:rowOff>
    </xdr:from>
    <xdr:to>
      <xdr:col>13</xdr:col>
      <xdr:colOff>351251</xdr:colOff>
      <xdr:row>30</xdr:row>
      <xdr:rowOff>18748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400001" cy="2419048"/>
        </a:xfrm>
        <a:prstGeom prst="rect">
          <a:avLst/>
        </a:prstGeom>
      </xdr:spPr>
    </xdr:pic>
    <xdr:clientData/>
  </xdr:twoCellAnchor>
  <xdr:twoCellAnchor editAs="oneCell">
    <xdr:from>
      <xdr:col>0</xdr:col>
      <xdr:colOff>0</xdr:colOff>
      <xdr:row>29</xdr:row>
      <xdr:rowOff>142875</xdr:rowOff>
    </xdr:from>
    <xdr:to>
      <xdr:col>13</xdr:col>
      <xdr:colOff>513155</xdr:colOff>
      <xdr:row>37</xdr:row>
      <xdr:rowOff>37942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14925"/>
          <a:ext cx="9561905"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3480;&#24191;&#2233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UXING~1/AppData/Local/Temp/Rar$DI12.947/2&#21495;&#27004;&#25253;&#21578;&#2007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UXING~1/AppData/Local/Temp/Rar$DI61.4160/3&#21495;&#27004;&#25253;&#21578;&#20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容积率修正"/>
      <sheetName val="因素修正幅度"/>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典型户型修正"/>
      <sheetName val="不动产比较法-车位"/>
      <sheetName val="不动产收益法车位"/>
      <sheetName val="基准地价（汇总）"/>
      <sheetName val="基准地价"/>
      <sheetName val="基准地价 (2)"/>
      <sheetName val="基准地价 (3)"/>
      <sheetName val="基准地价 (4)"/>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13611.34</v>
          </cell>
          <cell r="C14">
            <v>6255.3</v>
          </cell>
          <cell r="D14">
            <v>23908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Sheet1"/>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row r="2">
          <cell r="A2">
            <v>-101</v>
          </cell>
          <cell r="B2">
            <v>82.44</v>
          </cell>
        </row>
        <row r="3">
          <cell r="A3">
            <v>-102</v>
          </cell>
          <cell r="B3">
            <v>93.09</v>
          </cell>
        </row>
        <row r="4">
          <cell r="A4">
            <v>-103</v>
          </cell>
          <cell r="B4">
            <v>51.86</v>
          </cell>
        </row>
        <row r="5">
          <cell r="A5">
            <v>-104</v>
          </cell>
          <cell r="B5">
            <v>55.4</v>
          </cell>
        </row>
        <row r="6">
          <cell r="A6">
            <v>-105</v>
          </cell>
          <cell r="B6">
            <v>101.14</v>
          </cell>
        </row>
        <row r="7">
          <cell r="A7">
            <v>-106</v>
          </cell>
          <cell r="B7">
            <v>72.790000000000006</v>
          </cell>
        </row>
        <row r="8">
          <cell r="A8">
            <v>-107</v>
          </cell>
          <cell r="B8">
            <v>95.94</v>
          </cell>
        </row>
        <row r="9">
          <cell r="A9">
            <v>-108</v>
          </cell>
          <cell r="B9">
            <v>22.3</v>
          </cell>
        </row>
        <row r="10">
          <cell r="A10">
            <v>-109</v>
          </cell>
          <cell r="B10">
            <v>30.4</v>
          </cell>
        </row>
        <row r="11">
          <cell r="A11">
            <v>-110</v>
          </cell>
          <cell r="B11">
            <v>61.9</v>
          </cell>
        </row>
        <row r="12">
          <cell r="A12">
            <v>-111</v>
          </cell>
          <cell r="B12">
            <v>80.36</v>
          </cell>
        </row>
        <row r="13">
          <cell r="A13">
            <v>-112</v>
          </cell>
          <cell r="B13">
            <v>69.78</v>
          </cell>
        </row>
        <row r="14">
          <cell r="A14">
            <v>-113</v>
          </cell>
          <cell r="B14">
            <v>69.78</v>
          </cell>
        </row>
        <row r="15">
          <cell r="A15">
            <v>-114</v>
          </cell>
          <cell r="B15">
            <v>76.849999999999994</v>
          </cell>
        </row>
        <row r="16">
          <cell r="A16">
            <v>-115</v>
          </cell>
          <cell r="B16">
            <v>137.55000000000001</v>
          </cell>
        </row>
        <row r="17">
          <cell r="A17">
            <v>-116</v>
          </cell>
          <cell r="B17">
            <v>59.41</v>
          </cell>
        </row>
        <row r="18">
          <cell r="A18">
            <v>-117</v>
          </cell>
          <cell r="B18">
            <v>40.94</v>
          </cell>
        </row>
        <row r="19">
          <cell r="A19">
            <v>-118</v>
          </cell>
          <cell r="B19">
            <v>51.54</v>
          </cell>
        </row>
        <row r="20">
          <cell r="A20">
            <v>-119</v>
          </cell>
          <cell r="B20">
            <v>92.87</v>
          </cell>
        </row>
        <row r="21">
          <cell r="A21">
            <v>-120</v>
          </cell>
          <cell r="B21">
            <v>75.03</v>
          </cell>
        </row>
        <row r="22">
          <cell r="A22">
            <v>-121</v>
          </cell>
          <cell r="B22">
            <v>47.79</v>
          </cell>
        </row>
        <row r="23">
          <cell r="A23">
            <v>-122</v>
          </cell>
          <cell r="B23">
            <v>37.450000000000003</v>
          </cell>
        </row>
        <row r="24">
          <cell r="A24">
            <v>-123</v>
          </cell>
          <cell r="B24">
            <v>45.88</v>
          </cell>
        </row>
        <row r="25">
          <cell r="A25">
            <v>-124</v>
          </cell>
          <cell r="B25">
            <v>72.86</v>
          </cell>
        </row>
        <row r="26">
          <cell r="A26">
            <v>-125</v>
          </cell>
          <cell r="B26">
            <v>75.28</v>
          </cell>
        </row>
        <row r="27">
          <cell r="A27">
            <v>-126</v>
          </cell>
          <cell r="B27">
            <v>94.39</v>
          </cell>
        </row>
        <row r="28">
          <cell r="A28">
            <v>-127</v>
          </cell>
          <cell r="B28">
            <v>2243.56</v>
          </cell>
        </row>
        <row r="29">
          <cell r="A29">
            <v>-128</v>
          </cell>
          <cell r="B29">
            <v>1514.11</v>
          </cell>
        </row>
        <row r="30">
          <cell r="A30">
            <v>101</v>
          </cell>
          <cell r="B30">
            <v>18.38</v>
          </cell>
        </row>
        <row r="31">
          <cell r="A31">
            <v>102</v>
          </cell>
          <cell r="B31">
            <v>96.07</v>
          </cell>
        </row>
        <row r="32">
          <cell r="A32">
            <v>103</v>
          </cell>
          <cell r="B32">
            <v>101.51</v>
          </cell>
        </row>
        <row r="33">
          <cell r="A33">
            <v>104</v>
          </cell>
          <cell r="B33">
            <v>79.72</v>
          </cell>
        </row>
        <row r="34">
          <cell r="A34">
            <v>105</v>
          </cell>
          <cell r="B34">
            <v>73.98</v>
          </cell>
        </row>
        <row r="35">
          <cell r="A35">
            <v>106</v>
          </cell>
          <cell r="B35">
            <v>115.96</v>
          </cell>
        </row>
        <row r="36">
          <cell r="A36">
            <v>107</v>
          </cell>
          <cell r="B36">
            <v>129.91</v>
          </cell>
        </row>
        <row r="37">
          <cell r="A37">
            <v>108</v>
          </cell>
          <cell r="B37">
            <v>131.37</v>
          </cell>
        </row>
        <row r="38">
          <cell r="A38">
            <v>109</v>
          </cell>
          <cell r="B38">
            <v>93.26</v>
          </cell>
        </row>
        <row r="39">
          <cell r="A39">
            <v>110</v>
          </cell>
          <cell r="B39">
            <v>130.4</v>
          </cell>
        </row>
        <row r="40">
          <cell r="A40">
            <v>111</v>
          </cell>
          <cell r="B40">
            <v>128.69999999999999</v>
          </cell>
        </row>
        <row r="41">
          <cell r="A41">
            <v>112</v>
          </cell>
          <cell r="B41">
            <v>135.03</v>
          </cell>
        </row>
        <row r="42">
          <cell r="A42">
            <v>113</v>
          </cell>
          <cell r="B42">
            <v>126.61</v>
          </cell>
        </row>
        <row r="43">
          <cell r="A43">
            <v>114</v>
          </cell>
          <cell r="B43">
            <v>39.43</v>
          </cell>
        </row>
        <row r="44">
          <cell r="A44">
            <v>115</v>
          </cell>
          <cell r="B44">
            <v>128.71</v>
          </cell>
        </row>
        <row r="45">
          <cell r="A45">
            <v>116</v>
          </cell>
          <cell r="B45">
            <v>119.4</v>
          </cell>
        </row>
        <row r="46">
          <cell r="A46">
            <v>117</v>
          </cell>
          <cell r="B46">
            <v>73.349999999999994</v>
          </cell>
        </row>
        <row r="47">
          <cell r="A47">
            <v>118</v>
          </cell>
          <cell r="B47">
            <v>52.58</v>
          </cell>
        </row>
        <row r="48">
          <cell r="A48">
            <v>119</v>
          </cell>
          <cell r="B48">
            <v>21.55</v>
          </cell>
        </row>
        <row r="49">
          <cell r="A49">
            <v>120</v>
          </cell>
          <cell r="B49">
            <v>84.44</v>
          </cell>
        </row>
        <row r="50">
          <cell r="A50">
            <v>121</v>
          </cell>
          <cell r="B50">
            <v>99.31</v>
          </cell>
        </row>
        <row r="51">
          <cell r="A51">
            <v>122</v>
          </cell>
          <cell r="B51">
            <v>96.33</v>
          </cell>
        </row>
        <row r="52">
          <cell r="A52">
            <v>123</v>
          </cell>
          <cell r="B52">
            <v>95.85</v>
          </cell>
        </row>
        <row r="53">
          <cell r="A53">
            <v>124</v>
          </cell>
          <cell r="B53">
            <v>40.35</v>
          </cell>
        </row>
        <row r="54">
          <cell r="A54">
            <v>125</v>
          </cell>
          <cell r="B54">
            <v>97.52</v>
          </cell>
        </row>
        <row r="55">
          <cell r="A55">
            <v>126</v>
          </cell>
          <cell r="B55">
            <v>95.84</v>
          </cell>
        </row>
        <row r="56">
          <cell r="A56">
            <v>127</v>
          </cell>
          <cell r="B56">
            <v>91.53</v>
          </cell>
        </row>
        <row r="57">
          <cell r="A57">
            <v>128</v>
          </cell>
          <cell r="B57">
            <v>85.25</v>
          </cell>
        </row>
        <row r="58">
          <cell r="A58">
            <v>129</v>
          </cell>
          <cell r="B58">
            <v>69.7</v>
          </cell>
        </row>
        <row r="59">
          <cell r="A59">
            <v>130</v>
          </cell>
          <cell r="B59">
            <v>125.52</v>
          </cell>
        </row>
        <row r="60">
          <cell r="A60">
            <v>131</v>
          </cell>
          <cell r="B60">
            <v>40.340000000000003</v>
          </cell>
        </row>
        <row r="61">
          <cell r="A61">
            <v>132</v>
          </cell>
          <cell r="B61">
            <v>19.989999999999998</v>
          </cell>
        </row>
        <row r="62">
          <cell r="A62">
            <v>149</v>
          </cell>
          <cell r="B62">
            <v>153.81</v>
          </cell>
        </row>
        <row r="63">
          <cell r="A63">
            <v>150</v>
          </cell>
          <cell r="B63">
            <v>358.53</v>
          </cell>
        </row>
        <row r="64">
          <cell r="A64">
            <v>201</v>
          </cell>
          <cell r="B64">
            <v>330.02</v>
          </cell>
        </row>
        <row r="65">
          <cell r="A65">
            <v>202</v>
          </cell>
          <cell r="B65">
            <v>106.57</v>
          </cell>
        </row>
        <row r="66">
          <cell r="A66">
            <v>203</v>
          </cell>
          <cell r="B66">
            <v>117.83</v>
          </cell>
        </row>
        <row r="67">
          <cell r="A67">
            <v>204</v>
          </cell>
          <cell r="B67">
            <v>130.4</v>
          </cell>
        </row>
        <row r="68">
          <cell r="A68">
            <v>205</v>
          </cell>
          <cell r="B68">
            <v>131.08000000000001</v>
          </cell>
        </row>
        <row r="69">
          <cell r="A69">
            <v>206</v>
          </cell>
          <cell r="B69">
            <v>128.38</v>
          </cell>
        </row>
        <row r="70">
          <cell r="A70">
            <v>207</v>
          </cell>
          <cell r="B70">
            <v>130.88</v>
          </cell>
        </row>
        <row r="71">
          <cell r="A71">
            <v>208</v>
          </cell>
          <cell r="B71">
            <v>130.75</v>
          </cell>
        </row>
        <row r="72">
          <cell r="A72">
            <v>209</v>
          </cell>
          <cell r="B72">
            <v>134.69999999999999</v>
          </cell>
        </row>
        <row r="73">
          <cell r="A73">
            <v>210</v>
          </cell>
          <cell r="B73">
            <v>128.78</v>
          </cell>
        </row>
        <row r="74">
          <cell r="A74">
            <v>211</v>
          </cell>
          <cell r="B74">
            <v>109.28</v>
          </cell>
        </row>
        <row r="75">
          <cell r="A75">
            <v>212</v>
          </cell>
          <cell r="B75">
            <v>137.75</v>
          </cell>
        </row>
        <row r="76">
          <cell r="A76">
            <v>213</v>
          </cell>
          <cell r="B76">
            <v>209.73</v>
          </cell>
        </row>
        <row r="77">
          <cell r="A77">
            <v>214</v>
          </cell>
          <cell r="B77">
            <v>124.04</v>
          </cell>
        </row>
        <row r="78">
          <cell r="A78">
            <v>215</v>
          </cell>
          <cell r="B78">
            <v>36.090000000000003</v>
          </cell>
        </row>
        <row r="79">
          <cell r="A79">
            <v>216</v>
          </cell>
          <cell r="B79">
            <v>81.86</v>
          </cell>
        </row>
        <row r="80">
          <cell r="A80">
            <v>217</v>
          </cell>
          <cell r="B80">
            <v>137</v>
          </cell>
        </row>
        <row r="81">
          <cell r="A81">
            <v>218</v>
          </cell>
          <cell r="B81">
            <v>132.44999999999999</v>
          </cell>
        </row>
        <row r="82">
          <cell r="A82">
            <v>219</v>
          </cell>
          <cell r="B82">
            <v>131.08000000000001</v>
          </cell>
        </row>
        <row r="83">
          <cell r="A83">
            <v>220</v>
          </cell>
          <cell r="B83">
            <v>93.04</v>
          </cell>
        </row>
        <row r="84">
          <cell r="A84">
            <v>221</v>
          </cell>
          <cell r="B84">
            <v>134.58000000000001</v>
          </cell>
        </row>
        <row r="85">
          <cell r="A85">
            <v>222</v>
          </cell>
          <cell r="B85">
            <v>136.44</v>
          </cell>
        </row>
        <row r="86">
          <cell r="A86">
            <v>223</v>
          </cell>
          <cell r="B86">
            <v>81.03</v>
          </cell>
        </row>
        <row r="87">
          <cell r="A87">
            <v>224</v>
          </cell>
          <cell r="B87">
            <v>12.76</v>
          </cell>
        </row>
        <row r="88">
          <cell r="A88">
            <v>225</v>
          </cell>
          <cell r="B88">
            <v>16.97</v>
          </cell>
        </row>
        <row r="89">
          <cell r="A89">
            <v>226</v>
          </cell>
          <cell r="B89">
            <v>152.13999999999999</v>
          </cell>
        </row>
        <row r="90">
          <cell r="A90">
            <v>227</v>
          </cell>
          <cell r="B90">
            <v>192.39</v>
          </cell>
        </row>
        <row r="91">
          <cell r="A91">
            <v>228</v>
          </cell>
          <cell r="B91">
            <v>75.930000000000007</v>
          </cell>
        </row>
        <row r="92">
          <cell r="A92">
            <v>301</v>
          </cell>
          <cell r="B92">
            <v>63.74</v>
          </cell>
        </row>
        <row r="93">
          <cell r="A93">
            <v>302</v>
          </cell>
          <cell r="B93">
            <v>64.599999999999994</v>
          </cell>
        </row>
        <row r="94">
          <cell r="A94">
            <v>303</v>
          </cell>
          <cell r="B94">
            <v>69.760000000000005</v>
          </cell>
        </row>
        <row r="95">
          <cell r="A95">
            <v>304</v>
          </cell>
          <cell r="B95">
            <v>69.760000000000005</v>
          </cell>
        </row>
        <row r="96">
          <cell r="A96">
            <v>305</v>
          </cell>
          <cell r="B96">
            <v>69.760000000000005</v>
          </cell>
        </row>
        <row r="97">
          <cell r="A97">
            <v>306</v>
          </cell>
          <cell r="B97">
            <v>99.05</v>
          </cell>
        </row>
        <row r="98">
          <cell r="A98">
            <v>307</v>
          </cell>
          <cell r="B98">
            <v>110.75</v>
          </cell>
        </row>
        <row r="99">
          <cell r="A99">
            <v>308</v>
          </cell>
          <cell r="B99">
            <v>63.39</v>
          </cell>
        </row>
        <row r="100">
          <cell r="A100">
            <v>309</v>
          </cell>
          <cell r="B100">
            <v>37.06</v>
          </cell>
        </row>
        <row r="101">
          <cell r="A101">
            <v>310</v>
          </cell>
          <cell r="B101">
            <v>37.06</v>
          </cell>
        </row>
        <row r="102">
          <cell r="A102">
            <v>311</v>
          </cell>
          <cell r="B102">
            <v>37.06</v>
          </cell>
        </row>
        <row r="103">
          <cell r="A103">
            <v>312</v>
          </cell>
          <cell r="B103">
            <v>37.06</v>
          </cell>
        </row>
        <row r="104">
          <cell r="A104">
            <v>313</v>
          </cell>
          <cell r="B104">
            <v>58.66</v>
          </cell>
        </row>
        <row r="105">
          <cell r="A105">
            <v>314</v>
          </cell>
          <cell r="B105">
            <v>55.05</v>
          </cell>
        </row>
        <row r="106">
          <cell r="A106">
            <v>315</v>
          </cell>
          <cell r="B106">
            <v>58.44</v>
          </cell>
        </row>
        <row r="107">
          <cell r="A107">
            <v>316</v>
          </cell>
          <cell r="B107">
            <v>91.07</v>
          </cell>
        </row>
        <row r="108">
          <cell r="A108">
            <v>317</v>
          </cell>
          <cell r="B108">
            <v>100.24</v>
          </cell>
        </row>
        <row r="109">
          <cell r="A109">
            <v>318</v>
          </cell>
          <cell r="B109">
            <v>98.83</v>
          </cell>
        </row>
        <row r="110">
          <cell r="A110">
            <v>319</v>
          </cell>
          <cell r="B110">
            <v>98.19</v>
          </cell>
        </row>
        <row r="111">
          <cell r="A111">
            <v>320</v>
          </cell>
          <cell r="B111">
            <v>123.05</v>
          </cell>
        </row>
        <row r="112">
          <cell r="A112">
            <v>321</v>
          </cell>
          <cell r="B112">
            <v>95.15</v>
          </cell>
        </row>
        <row r="113">
          <cell r="A113">
            <v>322</v>
          </cell>
          <cell r="B113">
            <v>98.16</v>
          </cell>
        </row>
        <row r="114">
          <cell r="A114">
            <v>323</v>
          </cell>
          <cell r="B114">
            <v>96.75</v>
          </cell>
        </row>
        <row r="115">
          <cell r="A115">
            <v>324</v>
          </cell>
          <cell r="B115">
            <v>92.11</v>
          </cell>
        </row>
        <row r="116">
          <cell r="A116">
            <v>325</v>
          </cell>
          <cell r="B116">
            <v>100.09</v>
          </cell>
        </row>
        <row r="117">
          <cell r="A117">
            <v>326</v>
          </cell>
          <cell r="B117">
            <v>100.92</v>
          </cell>
        </row>
        <row r="118">
          <cell r="A118">
            <v>327</v>
          </cell>
          <cell r="B118">
            <v>108.04</v>
          </cell>
        </row>
        <row r="119">
          <cell r="A119">
            <v>328</v>
          </cell>
          <cell r="B119">
            <v>89.61</v>
          </cell>
        </row>
        <row r="120">
          <cell r="A120">
            <v>329</v>
          </cell>
          <cell r="B120">
            <v>100.51</v>
          </cell>
        </row>
        <row r="121">
          <cell r="A121">
            <v>330</v>
          </cell>
          <cell r="B121">
            <v>103.86</v>
          </cell>
        </row>
        <row r="122">
          <cell r="A122">
            <v>331</v>
          </cell>
          <cell r="B122">
            <v>99.59</v>
          </cell>
        </row>
        <row r="123">
          <cell r="A123">
            <v>332</v>
          </cell>
          <cell r="B123">
            <v>59.37</v>
          </cell>
        </row>
        <row r="124">
          <cell r="A124">
            <v>333</v>
          </cell>
          <cell r="B124">
            <v>37.06</v>
          </cell>
        </row>
        <row r="125">
          <cell r="A125">
            <v>334</v>
          </cell>
          <cell r="B125">
            <v>37.06</v>
          </cell>
        </row>
        <row r="126">
          <cell r="A126">
            <v>335</v>
          </cell>
          <cell r="B126">
            <v>37.479999999999997</v>
          </cell>
        </row>
        <row r="127">
          <cell r="A127">
            <v>336</v>
          </cell>
          <cell r="B127">
            <v>36.64</v>
          </cell>
        </row>
        <row r="128">
          <cell r="A128">
            <v>337</v>
          </cell>
          <cell r="B128">
            <v>63.77</v>
          </cell>
        </row>
        <row r="129">
          <cell r="A129">
            <v>338</v>
          </cell>
          <cell r="B129">
            <v>66.56</v>
          </cell>
        </row>
        <row r="130">
          <cell r="A130">
            <v>339</v>
          </cell>
          <cell r="B130">
            <v>69.760000000000005</v>
          </cell>
        </row>
        <row r="131">
          <cell r="A131">
            <v>340</v>
          </cell>
          <cell r="B131">
            <v>69.760000000000005</v>
          </cell>
        </row>
        <row r="132">
          <cell r="A132">
            <v>341</v>
          </cell>
          <cell r="B132">
            <v>69.760000000000005</v>
          </cell>
        </row>
        <row r="133">
          <cell r="A133">
            <v>342</v>
          </cell>
          <cell r="B133">
            <v>69.760000000000005</v>
          </cell>
        </row>
        <row r="134">
          <cell r="A134">
            <v>343</v>
          </cell>
          <cell r="B134">
            <v>69.760000000000005</v>
          </cell>
        </row>
        <row r="135">
          <cell r="A135">
            <v>344</v>
          </cell>
          <cell r="B135">
            <v>64.599999999999994</v>
          </cell>
        </row>
        <row r="136">
          <cell r="A136">
            <v>345</v>
          </cell>
          <cell r="B136">
            <v>62.54</v>
          </cell>
        </row>
        <row r="137">
          <cell r="A137">
            <v>346</v>
          </cell>
          <cell r="B137">
            <v>85.23</v>
          </cell>
        </row>
        <row r="138">
          <cell r="A138">
            <v>347</v>
          </cell>
          <cell r="B138">
            <v>57.36</v>
          </cell>
        </row>
        <row r="139">
          <cell r="A139">
            <v>348</v>
          </cell>
          <cell r="B139">
            <v>56.65</v>
          </cell>
        </row>
        <row r="140">
          <cell r="A140">
            <v>401</v>
          </cell>
          <cell r="B140">
            <v>66.53</v>
          </cell>
        </row>
        <row r="141">
          <cell r="A141">
            <v>402</v>
          </cell>
          <cell r="B141">
            <v>67.040000000000006</v>
          </cell>
        </row>
        <row r="142">
          <cell r="A142">
            <v>403</v>
          </cell>
          <cell r="B142">
            <v>72.48</v>
          </cell>
        </row>
        <row r="143">
          <cell r="A143">
            <v>404</v>
          </cell>
          <cell r="B143">
            <v>72.48</v>
          </cell>
        </row>
        <row r="144">
          <cell r="A144">
            <v>405</v>
          </cell>
          <cell r="B144">
            <v>72.48</v>
          </cell>
        </row>
        <row r="145">
          <cell r="A145">
            <v>406</v>
          </cell>
          <cell r="B145">
            <v>103.96</v>
          </cell>
        </row>
        <row r="146">
          <cell r="A146">
            <v>407</v>
          </cell>
          <cell r="B146">
            <v>114.55</v>
          </cell>
        </row>
        <row r="147">
          <cell r="A147">
            <v>408</v>
          </cell>
          <cell r="B147">
            <v>77.819999999999993</v>
          </cell>
        </row>
        <row r="148">
          <cell r="A148">
            <v>409</v>
          </cell>
          <cell r="B148">
            <v>41.07</v>
          </cell>
        </row>
        <row r="149">
          <cell r="A149">
            <v>410</v>
          </cell>
          <cell r="B149">
            <v>41.07</v>
          </cell>
        </row>
        <row r="150">
          <cell r="A150">
            <v>411</v>
          </cell>
          <cell r="B150">
            <v>41.07</v>
          </cell>
        </row>
        <row r="151">
          <cell r="A151">
            <v>412</v>
          </cell>
          <cell r="B151">
            <v>41.07</v>
          </cell>
        </row>
        <row r="152">
          <cell r="A152">
            <v>413</v>
          </cell>
          <cell r="B152">
            <v>62.67</v>
          </cell>
        </row>
        <row r="153">
          <cell r="A153">
            <v>414</v>
          </cell>
          <cell r="B153">
            <v>55.05</v>
          </cell>
        </row>
        <row r="154">
          <cell r="A154">
            <v>415</v>
          </cell>
          <cell r="B154">
            <v>58.44</v>
          </cell>
        </row>
        <row r="155">
          <cell r="A155">
            <v>416</v>
          </cell>
          <cell r="B155">
            <v>91.07</v>
          </cell>
        </row>
        <row r="156">
          <cell r="A156">
            <v>417</v>
          </cell>
          <cell r="B156">
            <v>100.24</v>
          </cell>
        </row>
        <row r="157">
          <cell r="A157">
            <v>418</v>
          </cell>
          <cell r="B157">
            <v>98.83</v>
          </cell>
        </row>
        <row r="158">
          <cell r="A158">
            <v>419</v>
          </cell>
          <cell r="B158">
            <v>98.19</v>
          </cell>
        </row>
        <row r="159">
          <cell r="A159">
            <v>420</v>
          </cell>
          <cell r="B159">
            <v>123.05</v>
          </cell>
        </row>
        <row r="160">
          <cell r="A160">
            <v>421</v>
          </cell>
          <cell r="B160">
            <v>95.15</v>
          </cell>
        </row>
        <row r="161">
          <cell r="A161">
            <v>422</v>
          </cell>
          <cell r="B161">
            <v>98.16</v>
          </cell>
        </row>
        <row r="162">
          <cell r="A162">
            <v>423</v>
          </cell>
          <cell r="B162">
            <v>96.75</v>
          </cell>
        </row>
        <row r="163">
          <cell r="A163">
            <v>424</v>
          </cell>
          <cell r="B163">
            <v>98.8</v>
          </cell>
        </row>
        <row r="164">
          <cell r="A164">
            <v>425</v>
          </cell>
          <cell r="B164">
            <v>106.54</v>
          </cell>
        </row>
        <row r="165">
          <cell r="A165">
            <v>426</v>
          </cell>
          <cell r="B165">
            <v>107.35</v>
          </cell>
        </row>
        <row r="166">
          <cell r="A166">
            <v>427</v>
          </cell>
          <cell r="B166">
            <v>115.25</v>
          </cell>
        </row>
        <row r="167">
          <cell r="A167">
            <v>428</v>
          </cell>
          <cell r="B167">
            <v>95.58</v>
          </cell>
        </row>
        <row r="168">
          <cell r="A168">
            <v>429</v>
          </cell>
          <cell r="B168">
            <v>106.95</v>
          </cell>
        </row>
        <row r="169">
          <cell r="A169">
            <v>430</v>
          </cell>
          <cell r="B169">
            <v>110.54</v>
          </cell>
        </row>
        <row r="170">
          <cell r="A170">
            <v>431</v>
          </cell>
          <cell r="B170">
            <v>106.03</v>
          </cell>
        </row>
        <row r="171">
          <cell r="A171">
            <v>432</v>
          </cell>
          <cell r="B171">
            <v>64.47</v>
          </cell>
        </row>
        <row r="172">
          <cell r="A172">
            <v>433</v>
          </cell>
          <cell r="B172">
            <v>43.48</v>
          </cell>
        </row>
        <row r="173">
          <cell r="A173">
            <v>434</v>
          </cell>
          <cell r="B173">
            <v>43.48</v>
          </cell>
        </row>
        <row r="174">
          <cell r="A174">
            <v>435</v>
          </cell>
          <cell r="B174">
            <v>42.57</v>
          </cell>
        </row>
        <row r="175">
          <cell r="A175">
            <v>436</v>
          </cell>
          <cell r="B175">
            <v>40.64</v>
          </cell>
        </row>
        <row r="176">
          <cell r="A176">
            <v>437</v>
          </cell>
          <cell r="B176">
            <v>76.69</v>
          </cell>
        </row>
        <row r="177">
          <cell r="A177">
            <v>438</v>
          </cell>
          <cell r="B177">
            <v>69.28</v>
          </cell>
        </row>
        <row r="178">
          <cell r="A178">
            <v>439</v>
          </cell>
          <cell r="B178">
            <v>72.48</v>
          </cell>
        </row>
        <row r="179">
          <cell r="A179">
            <v>440</v>
          </cell>
          <cell r="B179">
            <v>73.400000000000006</v>
          </cell>
        </row>
        <row r="180">
          <cell r="A180">
            <v>441</v>
          </cell>
          <cell r="B180">
            <v>71.58</v>
          </cell>
        </row>
        <row r="181">
          <cell r="A181">
            <v>442</v>
          </cell>
          <cell r="B181">
            <v>72.48</v>
          </cell>
        </row>
        <row r="182">
          <cell r="A182">
            <v>443</v>
          </cell>
          <cell r="B182">
            <v>72.48</v>
          </cell>
        </row>
        <row r="183">
          <cell r="A183">
            <v>444</v>
          </cell>
          <cell r="B183">
            <v>67.040000000000006</v>
          </cell>
        </row>
        <row r="184">
          <cell r="A184">
            <v>445</v>
          </cell>
          <cell r="B184">
            <v>65.400000000000006</v>
          </cell>
        </row>
        <row r="185">
          <cell r="A185">
            <v>446</v>
          </cell>
          <cell r="B185">
            <v>85.23</v>
          </cell>
        </row>
        <row r="186">
          <cell r="A186">
            <v>447</v>
          </cell>
          <cell r="B186">
            <v>57.36</v>
          </cell>
        </row>
        <row r="187">
          <cell r="A187">
            <v>448</v>
          </cell>
          <cell r="B187">
            <v>56.65</v>
          </cell>
        </row>
        <row r="188">
          <cell r="A188">
            <v>501</v>
          </cell>
          <cell r="B188">
            <v>66.53</v>
          </cell>
        </row>
        <row r="189">
          <cell r="A189">
            <v>502</v>
          </cell>
          <cell r="B189">
            <v>67.040000000000006</v>
          </cell>
        </row>
        <row r="190">
          <cell r="A190">
            <v>503</v>
          </cell>
          <cell r="B190">
            <v>72.48</v>
          </cell>
        </row>
        <row r="191">
          <cell r="A191">
            <v>504</v>
          </cell>
          <cell r="B191">
            <v>72.48</v>
          </cell>
        </row>
        <row r="192">
          <cell r="A192">
            <v>505</v>
          </cell>
          <cell r="B192">
            <v>72.48</v>
          </cell>
        </row>
        <row r="193">
          <cell r="A193">
            <v>506</v>
          </cell>
          <cell r="B193">
            <v>103.96</v>
          </cell>
        </row>
        <row r="194">
          <cell r="A194">
            <v>507</v>
          </cell>
          <cell r="B194">
            <v>116.47</v>
          </cell>
        </row>
        <row r="195">
          <cell r="A195">
            <v>508</v>
          </cell>
          <cell r="B195">
            <v>82.12</v>
          </cell>
        </row>
        <row r="196">
          <cell r="A196">
            <v>509</v>
          </cell>
          <cell r="B196">
            <v>43.48</v>
          </cell>
        </row>
        <row r="197">
          <cell r="A197">
            <v>510</v>
          </cell>
          <cell r="B197">
            <v>43.48</v>
          </cell>
        </row>
        <row r="198">
          <cell r="A198">
            <v>511</v>
          </cell>
          <cell r="B198">
            <v>43.48</v>
          </cell>
        </row>
        <row r="199">
          <cell r="A199">
            <v>512</v>
          </cell>
          <cell r="B199">
            <v>43.48</v>
          </cell>
        </row>
        <row r="200">
          <cell r="A200">
            <v>513</v>
          </cell>
          <cell r="B200">
            <v>63.35</v>
          </cell>
        </row>
        <row r="201">
          <cell r="A201">
            <v>514</v>
          </cell>
          <cell r="B201">
            <v>55.05</v>
          </cell>
        </row>
        <row r="202">
          <cell r="A202">
            <v>515</v>
          </cell>
          <cell r="B202">
            <v>58.44</v>
          </cell>
        </row>
        <row r="203">
          <cell r="A203">
            <v>516</v>
          </cell>
          <cell r="B203">
            <v>91.07</v>
          </cell>
        </row>
        <row r="204">
          <cell r="A204">
            <v>517</v>
          </cell>
          <cell r="B204">
            <v>100.24</v>
          </cell>
        </row>
        <row r="205">
          <cell r="A205">
            <v>518</v>
          </cell>
          <cell r="B205">
            <v>98.83</v>
          </cell>
        </row>
        <row r="206">
          <cell r="A206">
            <v>519</v>
          </cell>
          <cell r="B206">
            <v>98.19</v>
          </cell>
        </row>
        <row r="207">
          <cell r="A207">
            <v>520</v>
          </cell>
          <cell r="B207">
            <v>123.05</v>
          </cell>
        </row>
        <row r="208">
          <cell r="A208">
            <v>521</v>
          </cell>
          <cell r="B208">
            <v>95.15</v>
          </cell>
        </row>
        <row r="209">
          <cell r="A209">
            <v>522</v>
          </cell>
          <cell r="B209">
            <v>98.16</v>
          </cell>
        </row>
        <row r="210">
          <cell r="A210">
            <v>523</v>
          </cell>
          <cell r="B210">
            <v>96.75</v>
          </cell>
        </row>
        <row r="211">
          <cell r="A211">
            <v>524</v>
          </cell>
          <cell r="B211">
            <v>98.8</v>
          </cell>
        </row>
        <row r="212">
          <cell r="A212">
            <v>525</v>
          </cell>
          <cell r="B212">
            <v>106.54</v>
          </cell>
        </row>
        <row r="213">
          <cell r="A213">
            <v>526</v>
          </cell>
          <cell r="B213">
            <v>107.35</v>
          </cell>
        </row>
        <row r="214">
          <cell r="A214">
            <v>527</v>
          </cell>
          <cell r="B214">
            <v>115.25</v>
          </cell>
        </row>
        <row r="215">
          <cell r="A215">
            <v>528</v>
          </cell>
          <cell r="B215">
            <v>95.58</v>
          </cell>
        </row>
        <row r="216">
          <cell r="A216">
            <v>529</v>
          </cell>
          <cell r="B216">
            <v>106.95</v>
          </cell>
        </row>
        <row r="217">
          <cell r="A217">
            <v>530</v>
          </cell>
          <cell r="B217">
            <v>110.54</v>
          </cell>
        </row>
        <row r="218">
          <cell r="A218">
            <v>531</v>
          </cell>
          <cell r="B218">
            <v>106.03</v>
          </cell>
        </row>
        <row r="219">
          <cell r="A219">
            <v>532</v>
          </cell>
          <cell r="B219">
            <v>63.38</v>
          </cell>
        </row>
        <row r="220">
          <cell r="A220">
            <v>533</v>
          </cell>
          <cell r="B220">
            <v>41.07</v>
          </cell>
        </row>
        <row r="221">
          <cell r="A221">
            <v>534</v>
          </cell>
          <cell r="B221">
            <v>41.07</v>
          </cell>
        </row>
        <row r="222">
          <cell r="A222">
            <v>535</v>
          </cell>
          <cell r="B222">
            <v>41.48</v>
          </cell>
        </row>
        <row r="223">
          <cell r="A223">
            <v>536</v>
          </cell>
          <cell r="B223">
            <v>40.64</v>
          </cell>
        </row>
        <row r="224">
          <cell r="A224">
            <v>537</v>
          </cell>
          <cell r="B224">
            <v>76.69</v>
          </cell>
        </row>
        <row r="225">
          <cell r="A225">
            <v>538</v>
          </cell>
          <cell r="B225">
            <v>69.28</v>
          </cell>
        </row>
        <row r="226">
          <cell r="A226">
            <v>539</v>
          </cell>
          <cell r="B226">
            <v>72.48</v>
          </cell>
        </row>
        <row r="227">
          <cell r="A227">
            <v>540</v>
          </cell>
          <cell r="B227">
            <v>73.400000000000006</v>
          </cell>
        </row>
        <row r="228">
          <cell r="A228">
            <v>541</v>
          </cell>
          <cell r="B228">
            <v>71.58</v>
          </cell>
        </row>
        <row r="229">
          <cell r="A229">
            <v>542</v>
          </cell>
          <cell r="B229">
            <v>72.48</v>
          </cell>
        </row>
        <row r="230">
          <cell r="A230">
            <v>543</v>
          </cell>
          <cell r="B230">
            <v>72.48</v>
          </cell>
        </row>
        <row r="231">
          <cell r="A231">
            <v>544</v>
          </cell>
          <cell r="B231">
            <v>67.040000000000006</v>
          </cell>
        </row>
        <row r="232">
          <cell r="A232">
            <v>545</v>
          </cell>
          <cell r="B232">
            <v>65.400000000000006</v>
          </cell>
        </row>
        <row r="233">
          <cell r="A233">
            <v>546</v>
          </cell>
          <cell r="B233">
            <v>85.23</v>
          </cell>
        </row>
        <row r="234">
          <cell r="A234">
            <v>547</v>
          </cell>
          <cell r="B234">
            <v>57.36</v>
          </cell>
        </row>
        <row r="235">
          <cell r="A235">
            <v>548</v>
          </cell>
          <cell r="B235">
            <v>56.65</v>
          </cell>
        </row>
        <row r="236">
          <cell r="A236">
            <v>601</v>
          </cell>
          <cell r="B236">
            <v>66.53</v>
          </cell>
        </row>
        <row r="237">
          <cell r="A237">
            <v>602</v>
          </cell>
          <cell r="B237">
            <v>67.040000000000006</v>
          </cell>
        </row>
        <row r="238">
          <cell r="A238">
            <v>603</v>
          </cell>
          <cell r="B238">
            <v>72.48</v>
          </cell>
        </row>
        <row r="239">
          <cell r="A239">
            <v>604</v>
          </cell>
          <cell r="B239">
            <v>72.48</v>
          </cell>
        </row>
        <row r="240">
          <cell r="A240">
            <v>605</v>
          </cell>
          <cell r="B240">
            <v>72.48</v>
          </cell>
        </row>
        <row r="241">
          <cell r="A241">
            <v>606</v>
          </cell>
          <cell r="B241">
            <v>103.96</v>
          </cell>
        </row>
        <row r="242">
          <cell r="A242">
            <v>607</v>
          </cell>
          <cell r="B242">
            <v>116.47</v>
          </cell>
        </row>
        <row r="243">
          <cell r="A243">
            <v>608</v>
          </cell>
          <cell r="B243">
            <v>82.12</v>
          </cell>
        </row>
        <row r="244">
          <cell r="A244">
            <v>609</v>
          </cell>
          <cell r="B244">
            <v>43.48</v>
          </cell>
        </row>
        <row r="245">
          <cell r="A245">
            <v>610</v>
          </cell>
          <cell r="B245">
            <v>43.48</v>
          </cell>
        </row>
        <row r="246">
          <cell r="A246">
            <v>611</v>
          </cell>
          <cell r="B246">
            <v>43.48</v>
          </cell>
        </row>
        <row r="247">
          <cell r="A247">
            <v>612</v>
          </cell>
          <cell r="B247">
            <v>43.48</v>
          </cell>
        </row>
        <row r="248">
          <cell r="A248">
            <v>613</v>
          </cell>
          <cell r="B248">
            <v>63.35</v>
          </cell>
        </row>
        <row r="249">
          <cell r="A249">
            <v>614</v>
          </cell>
          <cell r="B249">
            <v>55.34</v>
          </cell>
        </row>
        <row r="250">
          <cell r="A250">
            <v>615</v>
          </cell>
          <cell r="B250">
            <v>58.44</v>
          </cell>
        </row>
        <row r="251">
          <cell r="A251">
            <v>616</v>
          </cell>
          <cell r="B251">
            <v>91.07</v>
          </cell>
        </row>
        <row r="252">
          <cell r="A252">
            <v>617</v>
          </cell>
          <cell r="B252">
            <v>100.24</v>
          </cell>
        </row>
        <row r="253">
          <cell r="A253">
            <v>618</v>
          </cell>
          <cell r="B253">
            <v>98.83</v>
          </cell>
        </row>
        <row r="254">
          <cell r="A254">
            <v>619</v>
          </cell>
          <cell r="B254">
            <v>98.19</v>
          </cell>
        </row>
        <row r="255">
          <cell r="A255">
            <v>620</v>
          </cell>
          <cell r="B255">
            <v>123.05</v>
          </cell>
        </row>
        <row r="256">
          <cell r="A256">
            <v>621</v>
          </cell>
          <cell r="B256">
            <v>95.15</v>
          </cell>
        </row>
        <row r="257">
          <cell r="A257">
            <v>622</v>
          </cell>
          <cell r="B257">
            <v>98.16</v>
          </cell>
        </row>
        <row r="258">
          <cell r="A258">
            <v>623</v>
          </cell>
          <cell r="B258">
            <v>96.75</v>
          </cell>
        </row>
        <row r="259">
          <cell r="A259">
            <v>624</v>
          </cell>
          <cell r="B259">
            <v>98.64</v>
          </cell>
        </row>
        <row r="260">
          <cell r="A260">
            <v>625</v>
          </cell>
          <cell r="B260">
            <v>106.54</v>
          </cell>
        </row>
        <row r="261">
          <cell r="A261">
            <v>626</v>
          </cell>
          <cell r="B261">
            <v>107.35</v>
          </cell>
        </row>
        <row r="262">
          <cell r="A262">
            <v>627</v>
          </cell>
          <cell r="B262">
            <v>115.25</v>
          </cell>
        </row>
        <row r="263">
          <cell r="A263">
            <v>628</v>
          </cell>
          <cell r="B263">
            <v>95.58</v>
          </cell>
        </row>
        <row r="264">
          <cell r="A264">
            <v>629</v>
          </cell>
          <cell r="B264">
            <v>106.95</v>
          </cell>
        </row>
        <row r="265">
          <cell r="A265">
            <v>630</v>
          </cell>
          <cell r="B265">
            <v>110.54</v>
          </cell>
        </row>
        <row r="266">
          <cell r="A266">
            <v>631</v>
          </cell>
          <cell r="B266">
            <v>106.03</v>
          </cell>
        </row>
        <row r="267">
          <cell r="A267">
            <v>632</v>
          </cell>
          <cell r="B267">
            <v>63.38</v>
          </cell>
        </row>
        <row r="268">
          <cell r="A268">
            <v>633</v>
          </cell>
          <cell r="B268">
            <v>41.07</v>
          </cell>
        </row>
        <row r="269">
          <cell r="A269">
            <v>634</v>
          </cell>
          <cell r="B269">
            <v>41.07</v>
          </cell>
        </row>
        <row r="270">
          <cell r="A270">
            <v>635</v>
          </cell>
          <cell r="B270">
            <v>41.48</v>
          </cell>
        </row>
        <row r="271">
          <cell r="A271">
            <v>636</v>
          </cell>
          <cell r="B271">
            <v>40.64</v>
          </cell>
        </row>
        <row r="272">
          <cell r="A272">
            <v>637</v>
          </cell>
          <cell r="B272">
            <v>76.63</v>
          </cell>
        </row>
        <row r="273">
          <cell r="A273">
            <v>638</v>
          </cell>
          <cell r="B273">
            <v>69.28</v>
          </cell>
        </row>
        <row r="274">
          <cell r="A274">
            <v>639</v>
          </cell>
          <cell r="B274">
            <v>72.48</v>
          </cell>
        </row>
        <row r="275">
          <cell r="A275">
            <v>640</v>
          </cell>
          <cell r="B275">
            <v>72.48</v>
          </cell>
        </row>
        <row r="276">
          <cell r="A276">
            <v>641</v>
          </cell>
          <cell r="B276">
            <v>72.48</v>
          </cell>
        </row>
        <row r="277">
          <cell r="A277">
            <v>642</v>
          </cell>
          <cell r="B277">
            <v>72.48</v>
          </cell>
        </row>
        <row r="278">
          <cell r="A278">
            <v>643</v>
          </cell>
          <cell r="B278">
            <v>72.48</v>
          </cell>
        </row>
        <row r="279">
          <cell r="A279">
            <v>644</v>
          </cell>
          <cell r="B279">
            <v>67.040000000000006</v>
          </cell>
        </row>
        <row r="280">
          <cell r="A280">
            <v>645</v>
          </cell>
          <cell r="B280">
            <v>66.89</v>
          </cell>
        </row>
        <row r="281">
          <cell r="A281">
            <v>646</v>
          </cell>
          <cell r="B281">
            <v>85.23</v>
          </cell>
        </row>
        <row r="282">
          <cell r="A282">
            <v>647</v>
          </cell>
          <cell r="B282">
            <v>57.36</v>
          </cell>
        </row>
        <row r="283">
          <cell r="A283">
            <v>648</v>
          </cell>
          <cell r="B283">
            <v>57.58</v>
          </cell>
        </row>
        <row r="284">
          <cell r="A284">
            <v>701</v>
          </cell>
          <cell r="B284">
            <v>68.290000000000006</v>
          </cell>
        </row>
        <row r="285">
          <cell r="A285">
            <v>702</v>
          </cell>
          <cell r="B285">
            <v>67.040000000000006</v>
          </cell>
        </row>
        <row r="286">
          <cell r="A286">
            <v>703</v>
          </cell>
          <cell r="B286">
            <v>72.48</v>
          </cell>
        </row>
        <row r="287">
          <cell r="A287">
            <v>704</v>
          </cell>
          <cell r="B287">
            <v>72.48</v>
          </cell>
        </row>
        <row r="288">
          <cell r="A288">
            <v>705</v>
          </cell>
          <cell r="B288">
            <v>72.48</v>
          </cell>
        </row>
        <row r="289">
          <cell r="A289">
            <v>706</v>
          </cell>
          <cell r="B289">
            <v>103.96</v>
          </cell>
        </row>
        <row r="290">
          <cell r="A290">
            <v>707</v>
          </cell>
          <cell r="B290">
            <v>116.42</v>
          </cell>
        </row>
        <row r="291">
          <cell r="A291">
            <v>708</v>
          </cell>
          <cell r="B291">
            <v>82.12</v>
          </cell>
        </row>
        <row r="292">
          <cell r="A292">
            <v>709</v>
          </cell>
          <cell r="B292">
            <v>43.48</v>
          </cell>
        </row>
        <row r="293">
          <cell r="A293">
            <v>710</v>
          </cell>
          <cell r="B293">
            <v>43.48</v>
          </cell>
        </row>
        <row r="294">
          <cell r="A294">
            <v>711</v>
          </cell>
          <cell r="B294">
            <v>43.48</v>
          </cell>
        </row>
        <row r="295">
          <cell r="A295">
            <v>712</v>
          </cell>
          <cell r="B295">
            <v>43.48</v>
          </cell>
        </row>
        <row r="296">
          <cell r="A296">
            <v>713</v>
          </cell>
          <cell r="B296">
            <v>63.35</v>
          </cell>
        </row>
        <row r="297">
          <cell r="A297">
            <v>714</v>
          </cell>
          <cell r="B297">
            <v>56</v>
          </cell>
        </row>
        <row r="298">
          <cell r="A298">
            <v>715</v>
          </cell>
          <cell r="B298">
            <v>58.44</v>
          </cell>
        </row>
        <row r="299">
          <cell r="A299">
            <v>716</v>
          </cell>
          <cell r="B299">
            <v>91.07</v>
          </cell>
        </row>
        <row r="300">
          <cell r="A300">
            <v>717</v>
          </cell>
          <cell r="B300">
            <v>100.24</v>
          </cell>
        </row>
        <row r="301">
          <cell r="A301">
            <v>718</v>
          </cell>
          <cell r="B301">
            <v>98.83</v>
          </cell>
        </row>
        <row r="302">
          <cell r="A302">
            <v>719</v>
          </cell>
          <cell r="B302">
            <v>98.19</v>
          </cell>
        </row>
        <row r="303">
          <cell r="A303">
            <v>720</v>
          </cell>
          <cell r="B303">
            <v>124.4</v>
          </cell>
        </row>
        <row r="304">
          <cell r="A304">
            <v>721</v>
          </cell>
          <cell r="B304">
            <v>95.15</v>
          </cell>
        </row>
        <row r="305">
          <cell r="A305">
            <v>722</v>
          </cell>
          <cell r="B305">
            <v>98.16</v>
          </cell>
        </row>
        <row r="306">
          <cell r="A306">
            <v>723</v>
          </cell>
          <cell r="B306">
            <v>96.75</v>
          </cell>
        </row>
        <row r="307">
          <cell r="A307">
            <v>724</v>
          </cell>
          <cell r="B307">
            <v>98.64</v>
          </cell>
        </row>
        <row r="308">
          <cell r="A308">
            <v>725</v>
          </cell>
          <cell r="B308">
            <v>106.55</v>
          </cell>
        </row>
        <row r="309">
          <cell r="A309">
            <v>726</v>
          </cell>
          <cell r="B309">
            <v>107.35</v>
          </cell>
        </row>
        <row r="310">
          <cell r="A310">
            <v>727</v>
          </cell>
          <cell r="B310">
            <v>115.25</v>
          </cell>
        </row>
        <row r="311">
          <cell r="A311">
            <v>728</v>
          </cell>
          <cell r="B311">
            <v>95.58</v>
          </cell>
        </row>
        <row r="312">
          <cell r="A312">
            <v>729</v>
          </cell>
          <cell r="B312">
            <v>106.95</v>
          </cell>
        </row>
        <row r="313">
          <cell r="A313">
            <v>730</v>
          </cell>
          <cell r="B313">
            <v>110.54</v>
          </cell>
        </row>
        <row r="314">
          <cell r="A314">
            <v>731</v>
          </cell>
          <cell r="B314">
            <v>106.03</v>
          </cell>
        </row>
        <row r="315">
          <cell r="A315">
            <v>732</v>
          </cell>
          <cell r="B315">
            <v>63.38</v>
          </cell>
        </row>
        <row r="316">
          <cell r="A316">
            <v>733</v>
          </cell>
          <cell r="B316">
            <v>41.07</v>
          </cell>
        </row>
        <row r="317">
          <cell r="A317">
            <v>734</v>
          </cell>
          <cell r="B317">
            <v>41.07</v>
          </cell>
        </row>
        <row r="318">
          <cell r="A318">
            <v>735</v>
          </cell>
          <cell r="B318">
            <v>41.48</v>
          </cell>
        </row>
        <row r="319">
          <cell r="A319">
            <v>736</v>
          </cell>
          <cell r="B319">
            <v>40.64</v>
          </cell>
        </row>
        <row r="320">
          <cell r="A320">
            <v>737</v>
          </cell>
          <cell r="B320">
            <v>76.69</v>
          </cell>
        </row>
        <row r="321">
          <cell r="A321">
            <v>738</v>
          </cell>
          <cell r="B321">
            <v>69.28</v>
          </cell>
        </row>
        <row r="322">
          <cell r="A322">
            <v>739</v>
          </cell>
          <cell r="B322">
            <v>72.48</v>
          </cell>
        </row>
        <row r="323">
          <cell r="A323">
            <v>740</v>
          </cell>
          <cell r="B323">
            <v>72.48</v>
          </cell>
        </row>
        <row r="324">
          <cell r="A324">
            <v>741</v>
          </cell>
          <cell r="B324">
            <v>72.48</v>
          </cell>
        </row>
        <row r="325">
          <cell r="A325">
            <v>742</v>
          </cell>
          <cell r="B325">
            <v>72.48</v>
          </cell>
        </row>
        <row r="326">
          <cell r="A326">
            <v>743</v>
          </cell>
          <cell r="B326">
            <v>74.37</v>
          </cell>
        </row>
        <row r="327">
          <cell r="A327">
            <v>744</v>
          </cell>
          <cell r="B327">
            <v>45.79</v>
          </cell>
        </row>
        <row r="328">
          <cell r="A328">
            <v>745</v>
          </cell>
          <cell r="B328">
            <v>85.23</v>
          </cell>
        </row>
        <row r="329">
          <cell r="A329">
            <v>746</v>
          </cell>
          <cell r="B329">
            <v>57.36</v>
          </cell>
        </row>
        <row r="330">
          <cell r="A330">
            <v>747</v>
          </cell>
          <cell r="B330">
            <v>94.96</v>
          </cell>
        </row>
      </sheetData>
      <sheetData sheetId="5" refreshError="1"/>
      <sheetData sheetId="6" refreshError="1"/>
      <sheetData sheetId="7" refreshError="1">
        <row r="2">
          <cell r="A2">
            <v>-101</v>
          </cell>
          <cell r="B2">
            <v>82.44</v>
          </cell>
          <cell r="C2">
            <v>61.17</v>
          </cell>
        </row>
        <row r="3">
          <cell r="A3">
            <v>-102</v>
          </cell>
          <cell r="B3">
            <v>93.09</v>
          </cell>
          <cell r="C3">
            <v>69.069999999999993</v>
          </cell>
        </row>
        <row r="4">
          <cell r="A4">
            <v>-103</v>
          </cell>
          <cell r="B4">
            <v>51.86</v>
          </cell>
          <cell r="C4">
            <v>38.479999999999997</v>
          </cell>
        </row>
        <row r="5">
          <cell r="A5">
            <v>-104</v>
          </cell>
          <cell r="B5">
            <v>55.4</v>
          </cell>
          <cell r="C5">
            <v>41.11</v>
          </cell>
        </row>
        <row r="6">
          <cell r="A6">
            <v>-105</v>
          </cell>
          <cell r="B6">
            <v>101.14</v>
          </cell>
          <cell r="C6">
            <v>75.05</v>
          </cell>
        </row>
        <row r="7">
          <cell r="A7">
            <v>-106</v>
          </cell>
          <cell r="B7">
            <v>72.790000000000006</v>
          </cell>
          <cell r="C7">
            <v>54.01</v>
          </cell>
        </row>
        <row r="8">
          <cell r="A8">
            <v>-107</v>
          </cell>
          <cell r="B8">
            <v>95.94</v>
          </cell>
          <cell r="C8">
            <v>71.19</v>
          </cell>
        </row>
        <row r="9">
          <cell r="A9">
            <v>-108</v>
          </cell>
          <cell r="B9">
            <v>22.3</v>
          </cell>
          <cell r="C9">
            <v>16.55</v>
          </cell>
        </row>
        <row r="10">
          <cell r="A10">
            <v>-109</v>
          </cell>
          <cell r="B10">
            <v>30.4</v>
          </cell>
          <cell r="C10">
            <v>22.56</v>
          </cell>
        </row>
        <row r="11">
          <cell r="A11">
            <v>-110</v>
          </cell>
          <cell r="B11">
            <v>61.9</v>
          </cell>
          <cell r="C11">
            <v>45.93</v>
          </cell>
        </row>
        <row r="12">
          <cell r="A12">
            <v>-111</v>
          </cell>
          <cell r="B12">
            <v>80.36</v>
          </cell>
          <cell r="C12">
            <v>59.63</v>
          </cell>
        </row>
        <row r="13">
          <cell r="A13">
            <v>-112</v>
          </cell>
          <cell r="B13">
            <v>69.78</v>
          </cell>
          <cell r="C13">
            <v>51.78</v>
          </cell>
        </row>
        <row r="14">
          <cell r="A14">
            <v>-113</v>
          </cell>
          <cell r="B14">
            <v>69.78</v>
          </cell>
          <cell r="C14">
            <v>51.78</v>
          </cell>
        </row>
        <row r="15">
          <cell r="A15">
            <v>-114</v>
          </cell>
          <cell r="B15">
            <v>76.849999999999994</v>
          </cell>
          <cell r="C15">
            <v>57.02</v>
          </cell>
        </row>
        <row r="16">
          <cell r="A16">
            <v>-115</v>
          </cell>
          <cell r="B16">
            <v>137.55000000000001</v>
          </cell>
          <cell r="C16">
            <v>102.06</v>
          </cell>
        </row>
        <row r="17">
          <cell r="A17">
            <v>-116</v>
          </cell>
          <cell r="B17">
            <v>59.41</v>
          </cell>
          <cell r="C17">
            <v>44.08</v>
          </cell>
        </row>
        <row r="18">
          <cell r="A18">
            <v>-117</v>
          </cell>
          <cell r="B18">
            <v>40.94</v>
          </cell>
          <cell r="C18">
            <v>30.38</v>
          </cell>
        </row>
        <row r="19">
          <cell r="A19">
            <v>-118</v>
          </cell>
          <cell r="B19">
            <v>51.54</v>
          </cell>
          <cell r="C19">
            <v>38.24</v>
          </cell>
        </row>
        <row r="20">
          <cell r="A20">
            <v>-119</v>
          </cell>
          <cell r="B20">
            <v>92.87</v>
          </cell>
          <cell r="C20">
            <v>68.91</v>
          </cell>
        </row>
        <row r="21">
          <cell r="A21">
            <v>-120</v>
          </cell>
          <cell r="B21">
            <v>75.03</v>
          </cell>
          <cell r="C21">
            <v>55.67</v>
          </cell>
        </row>
        <row r="22">
          <cell r="A22">
            <v>-121</v>
          </cell>
          <cell r="B22">
            <v>47.79</v>
          </cell>
          <cell r="C22">
            <v>35.46</v>
          </cell>
        </row>
        <row r="23">
          <cell r="A23">
            <v>-122</v>
          </cell>
          <cell r="B23">
            <v>37.450000000000003</v>
          </cell>
          <cell r="C23">
            <v>27.79</v>
          </cell>
        </row>
        <row r="24">
          <cell r="A24">
            <v>-123</v>
          </cell>
          <cell r="B24">
            <v>45.88</v>
          </cell>
          <cell r="C24">
            <v>34.04</v>
          </cell>
        </row>
        <row r="25">
          <cell r="A25">
            <v>-124</v>
          </cell>
          <cell r="B25">
            <v>72.86</v>
          </cell>
          <cell r="C25">
            <v>54.06</v>
          </cell>
        </row>
        <row r="26">
          <cell r="A26">
            <v>-125</v>
          </cell>
          <cell r="B26">
            <v>75.28</v>
          </cell>
          <cell r="C26">
            <v>55.86</v>
          </cell>
        </row>
        <row r="27">
          <cell r="A27">
            <v>-126</v>
          </cell>
          <cell r="B27">
            <v>94.39</v>
          </cell>
          <cell r="C27">
            <v>70.040000000000006</v>
          </cell>
        </row>
        <row r="28">
          <cell r="A28">
            <v>-127</v>
          </cell>
          <cell r="B28">
            <v>2243.56</v>
          </cell>
          <cell r="C28">
            <v>1664.59</v>
          </cell>
        </row>
        <row r="29">
          <cell r="A29">
            <v>-128</v>
          </cell>
          <cell r="B29">
            <v>1514.11</v>
          </cell>
          <cell r="C29">
            <v>1123.3800000000001</v>
          </cell>
        </row>
        <row r="30">
          <cell r="A30">
            <v>101</v>
          </cell>
          <cell r="B30">
            <v>18.38</v>
          </cell>
          <cell r="C30">
            <v>15.75</v>
          </cell>
        </row>
        <row r="31">
          <cell r="A31">
            <v>102</v>
          </cell>
          <cell r="B31">
            <v>96.07</v>
          </cell>
          <cell r="C31">
            <v>82.31</v>
          </cell>
        </row>
        <row r="32">
          <cell r="A32">
            <v>103</v>
          </cell>
          <cell r="B32">
            <v>101.51</v>
          </cell>
          <cell r="C32">
            <v>86.97</v>
          </cell>
        </row>
        <row r="33">
          <cell r="A33">
            <v>104</v>
          </cell>
          <cell r="B33">
            <v>79.72</v>
          </cell>
          <cell r="C33">
            <v>68.3</v>
          </cell>
        </row>
        <row r="34">
          <cell r="A34">
            <v>105</v>
          </cell>
          <cell r="B34">
            <v>73.98</v>
          </cell>
          <cell r="C34">
            <v>63.38</v>
          </cell>
        </row>
        <row r="35">
          <cell r="A35">
            <v>106</v>
          </cell>
          <cell r="B35">
            <v>115.96</v>
          </cell>
          <cell r="C35">
            <v>99.35</v>
          </cell>
        </row>
        <row r="36">
          <cell r="A36">
            <v>107</v>
          </cell>
          <cell r="B36">
            <v>129.91</v>
          </cell>
          <cell r="C36">
            <v>111.3</v>
          </cell>
        </row>
        <row r="37">
          <cell r="A37">
            <v>108</v>
          </cell>
          <cell r="B37">
            <v>131.37</v>
          </cell>
          <cell r="C37">
            <v>112.55</v>
          </cell>
        </row>
        <row r="38">
          <cell r="A38">
            <v>109</v>
          </cell>
          <cell r="B38">
            <v>93.26</v>
          </cell>
          <cell r="C38">
            <v>79.900000000000006</v>
          </cell>
        </row>
        <row r="39">
          <cell r="A39">
            <v>110</v>
          </cell>
          <cell r="B39">
            <v>130.4</v>
          </cell>
          <cell r="C39">
            <v>111.72</v>
          </cell>
        </row>
        <row r="40">
          <cell r="A40">
            <v>111</v>
          </cell>
          <cell r="B40">
            <v>128.69999999999999</v>
          </cell>
          <cell r="C40">
            <v>110.26</v>
          </cell>
        </row>
        <row r="41">
          <cell r="A41">
            <v>112</v>
          </cell>
          <cell r="B41">
            <v>135.03</v>
          </cell>
          <cell r="C41">
            <v>115.68</v>
          </cell>
        </row>
        <row r="42">
          <cell r="A42">
            <v>113</v>
          </cell>
          <cell r="B42">
            <v>126.61</v>
          </cell>
          <cell r="C42">
            <v>108.47</v>
          </cell>
        </row>
        <row r="43">
          <cell r="A43">
            <v>114</v>
          </cell>
          <cell r="B43">
            <v>39.43</v>
          </cell>
          <cell r="C43">
            <v>33.78</v>
          </cell>
        </row>
        <row r="44">
          <cell r="A44">
            <v>115</v>
          </cell>
          <cell r="B44">
            <v>128.71</v>
          </cell>
          <cell r="C44">
            <v>110.27</v>
          </cell>
        </row>
        <row r="45">
          <cell r="A45">
            <v>116</v>
          </cell>
          <cell r="B45">
            <v>119.4</v>
          </cell>
          <cell r="C45">
            <v>102.29</v>
          </cell>
        </row>
        <row r="46">
          <cell r="A46">
            <v>117</v>
          </cell>
          <cell r="B46">
            <v>73.349999999999994</v>
          </cell>
          <cell r="C46">
            <v>62.84</v>
          </cell>
        </row>
        <row r="47">
          <cell r="A47">
            <v>118</v>
          </cell>
          <cell r="B47">
            <v>52.58</v>
          </cell>
          <cell r="C47">
            <v>45.05</v>
          </cell>
        </row>
        <row r="48">
          <cell r="A48">
            <v>119</v>
          </cell>
          <cell r="B48">
            <v>21.55</v>
          </cell>
          <cell r="C48">
            <v>18.46</v>
          </cell>
        </row>
        <row r="49">
          <cell r="A49">
            <v>120</v>
          </cell>
          <cell r="B49">
            <v>84.44</v>
          </cell>
          <cell r="C49">
            <v>72.34</v>
          </cell>
        </row>
        <row r="50">
          <cell r="A50">
            <v>121</v>
          </cell>
          <cell r="B50">
            <v>99.31</v>
          </cell>
          <cell r="C50">
            <v>85.08</v>
          </cell>
        </row>
        <row r="51">
          <cell r="A51">
            <v>122</v>
          </cell>
          <cell r="B51">
            <v>96.33</v>
          </cell>
          <cell r="C51">
            <v>82.53</v>
          </cell>
        </row>
        <row r="52">
          <cell r="A52">
            <v>123</v>
          </cell>
          <cell r="B52">
            <v>95.85</v>
          </cell>
          <cell r="C52">
            <v>82.12</v>
          </cell>
        </row>
        <row r="53">
          <cell r="A53">
            <v>124</v>
          </cell>
          <cell r="B53">
            <v>40.35</v>
          </cell>
          <cell r="C53">
            <v>34.57</v>
          </cell>
        </row>
        <row r="54">
          <cell r="A54">
            <v>125</v>
          </cell>
          <cell r="B54">
            <v>97.52</v>
          </cell>
          <cell r="C54">
            <v>83.55</v>
          </cell>
        </row>
        <row r="55">
          <cell r="A55">
            <v>126</v>
          </cell>
          <cell r="B55">
            <v>95.84</v>
          </cell>
          <cell r="C55">
            <v>82.11</v>
          </cell>
        </row>
        <row r="56">
          <cell r="A56">
            <v>127</v>
          </cell>
          <cell r="B56">
            <v>91.53</v>
          </cell>
          <cell r="C56">
            <v>78.42</v>
          </cell>
        </row>
        <row r="57">
          <cell r="A57">
            <v>128</v>
          </cell>
          <cell r="B57">
            <v>85.25</v>
          </cell>
          <cell r="C57">
            <v>73.040000000000006</v>
          </cell>
        </row>
        <row r="58">
          <cell r="A58">
            <v>129</v>
          </cell>
          <cell r="B58">
            <v>69.7</v>
          </cell>
          <cell r="C58">
            <v>59.71</v>
          </cell>
        </row>
        <row r="59">
          <cell r="A59">
            <v>130</v>
          </cell>
          <cell r="B59">
            <v>125.52</v>
          </cell>
          <cell r="C59">
            <v>107.54</v>
          </cell>
        </row>
        <row r="60">
          <cell r="A60">
            <v>131</v>
          </cell>
          <cell r="B60">
            <v>40.340000000000003</v>
          </cell>
          <cell r="C60">
            <v>34.56</v>
          </cell>
        </row>
        <row r="61">
          <cell r="A61">
            <v>132</v>
          </cell>
          <cell r="B61">
            <v>19.989999999999998</v>
          </cell>
          <cell r="C61">
            <v>17.13</v>
          </cell>
        </row>
        <row r="62">
          <cell r="A62">
            <v>149</v>
          </cell>
          <cell r="B62">
            <v>153.81</v>
          </cell>
          <cell r="C62">
            <v>131.77000000000001</v>
          </cell>
        </row>
        <row r="63">
          <cell r="A63">
            <v>150</v>
          </cell>
          <cell r="B63">
            <v>358.53</v>
          </cell>
          <cell r="C63">
            <v>307.16000000000003</v>
          </cell>
        </row>
        <row r="64">
          <cell r="A64">
            <v>201</v>
          </cell>
          <cell r="B64">
            <v>330.02</v>
          </cell>
          <cell r="C64">
            <v>246.53</v>
          </cell>
        </row>
        <row r="65">
          <cell r="A65">
            <v>202</v>
          </cell>
          <cell r="B65">
            <v>106.57</v>
          </cell>
          <cell r="C65">
            <v>79.61</v>
          </cell>
        </row>
        <row r="66">
          <cell r="A66">
            <v>203</v>
          </cell>
          <cell r="B66">
            <v>117.83</v>
          </cell>
          <cell r="C66">
            <v>88.02</v>
          </cell>
        </row>
        <row r="67">
          <cell r="A67">
            <v>204</v>
          </cell>
          <cell r="B67">
            <v>130.4</v>
          </cell>
          <cell r="C67">
            <v>97.41</v>
          </cell>
        </row>
        <row r="68">
          <cell r="A68">
            <v>205</v>
          </cell>
          <cell r="B68">
            <v>131.08000000000001</v>
          </cell>
          <cell r="C68">
            <v>97.92</v>
          </cell>
        </row>
        <row r="69">
          <cell r="A69">
            <v>206</v>
          </cell>
          <cell r="B69">
            <v>128.38</v>
          </cell>
          <cell r="C69">
            <v>95.9</v>
          </cell>
        </row>
        <row r="70">
          <cell r="A70">
            <v>207</v>
          </cell>
          <cell r="B70">
            <v>130.88</v>
          </cell>
          <cell r="C70">
            <v>97.77</v>
          </cell>
        </row>
        <row r="71">
          <cell r="A71">
            <v>208</v>
          </cell>
          <cell r="B71">
            <v>130.75</v>
          </cell>
          <cell r="C71">
            <v>97.67</v>
          </cell>
        </row>
        <row r="72">
          <cell r="A72">
            <v>209</v>
          </cell>
          <cell r="B72">
            <v>134.69999999999999</v>
          </cell>
          <cell r="C72">
            <v>100.62</v>
          </cell>
        </row>
        <row r="73">
          <cell r="A73">
            <v>210</v>
          </cell>
          <cell r="B73">
            <v>128.78</v>
          </cell>
          <cell r="C73">
            <v>96.2</v>
          </cell>
        </row>
        <row r="74">
          <cell r="A74">
            <v>211</v>
          </cell>
          <cell r="B74">
            <v>109.28</v>
          </cell>
          <cell r="C74">
            <v>81.63</v>
          </cell>
        </row>
        <row r="75">
          <cell r="A75">
            <v>212</v>
          </cell>
          <cell r="B75">
            <v>137.75</v>
          </cell>
          <cell r="C75">
            <v>102.9</v>
          </cell>
        </row>
        <row r="76">
          <cell r="A76">
            <v>213</v>
          </cell>
          <cell r="B76">
            <v>209.73</v>
          </cell>
          <cell r="C76">
            <v>156.66999999999999</v>
          </cell>
        </row>
        <row r="77">
          <cell r="A77">
            <v>214</v>
          </cell>
          <cell r="B77">
            <v>124.04</v>
          </cell>
          <cell r="C77">
            <v>92.66</v>
          </cell>
        </row>
        <row r="78">
          <cell r="A78">
            <v>215</v>
          </cell>
          <cell r="B78">
            <v>36.090000000000003</v>
          </cell>
          <cell r="C78">
            <v>26.96</v>
          </cell>
        </row>
        <row r="79">
          <cell r="A79">
            <v>216</v>
          </cell>
          <cell r="B79">
            <v>81.86</v>
          </cell>
          <cell r="C79">
            <v>61.15</v>
          </cell>
        </row>
        <row r="80">
          <cell r="A80">
            <v>217</v>
          </cell>
          <cell r="B80">
            <v>137</v>
          </cell>
          <cell r="C80">
            <v>102.34</v>
          </cell>
        </row>
        <row r="81">
          <cell r="A81">
            <v>218</v>
          </cell>
          <cell r="B81">
            <v>132.44999999999999</v>
          </cell>
          <cell r="C81">
            <v>98.94</v>
          </cell>
        </row>
        <row r="82">
          <cell r="A82">
            <v>219</v>
          </cell>
          <cell r="B82">
            <v>131.08000000000001</v>
          </cell>
          <cell r="C82">
            <v>97.92</v>
          </cell>
        </row>
        <row r="83">
          <cell r="A83">
            <v>220</v>
          </cell>
          <cell r="B83">
            <v>93.04</v>
          </cell>
          <cell r="C83">
            <v>69.5</v>
          </cell>
        </row>
        <row r="84">
          <cell r="A84">
            <v>221</v>
          </cell>
          <cell r="B84">
            <v>134.58000000000001</v>
          </cell>
          <cell r="C84">
            <v>100.53</v>
          </cell>
        </row>
        <row r="85">
          <cell r="A85">
            <v>222</v>
          </cell>
          <cell r="B85">
            <v>136.44</v>
          </cell>
          <cell r="C85">
            <v>101.92</v>
          </cell>
        </row>
        <row r="86">
          <cell r="A86">
            <v>223</v>
          </cell>
          <cell r="B86">
            <v>81.03</v>
          </cell>
          <cell r="C86">
            <v>60.53</v>
          </cell>
        </row>
        <row r="87">
          <cell r="A87">
            <v>224</v>
          </cell>
          <cell r="B87">
            <v>12.76</v>
          </cell>
          <cell r="C87">
            <v>9.5299999999999994</v>
          </cell>
        </row>
        <row r="88">
          <cell r="A88">
            <v>225</v>
          </cell>
          <cell r="B88">
            <v>16.97</v>
          </cell>
          <cell r="C88">
            <v>12.68</v>
          </cell>
        </row>
        <row r="89">
          <cell r="A89">
            <v>226</v>
          </cell>
          <cell r="B89">
            <v>152.13999999999999</v>
          </cell>
          <cell r="C89">
            <v>113.65</v>
          </cell>
        </row>
        <row r="90">
          <cell r="A90">
            <v>227</v>
          </cell>
          <cell r="B90">
            <v>192.39</v>
          </cell>
          <cell r="C90">
            <v>143.72</v>
          </cell>
        </row>
        <row r="91">
          <cell r="A91">
            <v>228</v>
          </cell>
          <cell r="B91">
            <v>75.930000000000007</v>
          </cell>
          <cell r="C91">
            <v>56.72</v>
          </cell>
        </row>
        <row r="92">
          <cell r="A92">
            <v>301</v>
          </cell>
          <cell r="B92">
            <v>63.74</v>
          </cell>
          <cell r="C92">
            <v>40.26</v>
          </cell>
        </row>
        <row r="93">
          <cell r="A93">
            <v>302</v>
          </cell>
          <cell r="B93">
            <v>64.599999999999994</v>
          </cell>
          <cell r="C93">
            <v>40.799999999999997</v>
          </cell>
        </row>
        <row r="94">
          <cell r="A94">
            <v>303</v>
          </cell>
          <cell r="B94">
            <v>69.760000000000005</v>
          </cell>
          <cell r="C94">
            <v>44.06</v>
          </cell>
        </row>
        <row r="95">
          <cell r="A95">
            <v>304</v>
          </cell>
          <cell r="B95">
            <v>69.760000000000005</v>
          </cell>
          <cell r="C95">
            <v>44.06</v>
          </cell>
        </row>
        <row r="96">
          <cell r="A96">
            <v>305</v>
          </cell>
          <cell r="B96">
            <v>69.760000000000005</v>
          </cell>
          <cell r="C96">
            <v>44.06</v>
          </cell>
        </row>
        <row r="97">
          <cell r="A97">
            <v>306</v>
          </cell>
          <cell r="B97">
            <v>99.05</v>
          </cell>
          <cell r="C97">
            <v>62.56</v>
          </cell>
        </row>
        <row r="98">
          <cell r="A98">
            <v>307</v>
          </cell>
          <cell r="B98">
            <v>110.75</v>
          </cell>
          <cell r="C98">
            <v>69.95</v>
          </cell>
        </row>
        <row r="99">
          <cell r="A99">
            <v>308</v>
          </cell>
          <cell r="B99">
            <v>63.39</v>
          </cell>
          <cell r="C99">
            <v>40.04</v>
          </cell>
        </row>
        <row r="100">
          <cell r="A100">
            <v>309</v>
          </cell>
          <cell r="B100">
            <v>37.06</v>
          </cell>
          <cell r="C100">
            <v>23.41</v>
          </cell>
        </row>
        <row r="101">
          <cell r="A101">
            <v>310</v>
          </cell>
          <cell r="B101">
            <v>37.06</v>
          </cell>
          <cell r="C101">
            <v>23.41</v>
          </cell>
        </row>
        <row r="102">
          <cell r="A102">
            <v>311</v>
          </cell>
          <cell r="B102">
            <v>37.06</v>
          </cell>
          <cell r="C102">
            <v>23.41</v>
          </cell>
        </row>
        <row r="103">
          <cell r="A103">
            <v>312</v>
          </cell>
          <cell r="B103">
            <v>37.06</v>
          </cell>
          <cell r="C103">
            <v>23.41</v>
          </cell>
        </row>
        <row r="104">
          <cell r="A104">
            <v>313</v>
          </cell>
          <cell r="B104">
            <v>58.66</v>
          </cell>
          <cell r="C104">
            <v>37.049999999999997</v>
          </cell>
        </row>
        <row r="105">
          <cell r="A105">
            <v>314</v>
          </cell>
          <cell r="B105">
            <v>55.05</v>
          </cell>
          <cell r="C105">
            <v>34.770000000000003</v>
          </cell>
        </row>
        <row r="106">
          <cell r="A106">
            <v>315</v>
          </cell>
          <cell r="B106">
            <v>58.44</v>
          </cell>
          <cell r="C106">
            <v>36.909999999999997</v>
          </cell>
        </row>
        <row r="107">
          <cell r="A107">
            <v>316</v>
          </cell>
          <cell r="B107">
            <v>91.07</v>
          </cell>
          <cell r="C107">
            <v>57.52</v>
          </cell>
        </row>
        <row r="108">
          <cell r="A108">
            <v>317</v>
          </cell>
          <cell r="B108">
            <v>100.24</v>
          </cell>
          <cell r="C108">
            <v>63.31</v>
          </cell>
        </row>
        <row r="109">
          <cell r="A109">
            <v>318</v>
          </cell>
          <cell r="B109">
            <v>98.83</v>
          </cell>
          <cell r="C109">
            <v>62.42</v>
          </cell>
        </row>
        <row r="110">
          <cell r="A110">
            <v>319</v>
          </cell>
          <cell r="B110">
            <v>98.19</v>
          </cell>
          <cell r="C110">
            <v>62.02</v>
          </cell>
        </row>
        <row r="111">
          <cell r="A111">
            <v>320</v>
          </cell>
          <cell r="B111">
            <v>123.05</v>
          </cell>
          <cell r="C111">
            <v>77.72</v>
          </cell>
        </row>
        <row r="112">
          <cell r="A112">
            <v>321</v>
          </cell>
          <cell r="B112">
            <v>95.15</v>
          </cell>
          <cell r="C112">
            <v>60.1</v>
          </cell>
        </row>
        <row r="113">
          <cell r="A113">
            <v>322</v>
          </cell>
          <cell r="B113">
            <v>98.16</v>
          </cell>
          <cell r="C113">
            <v>62</v>
          </cell>
        </row>
        <row r="114">
          <cell r="A114">
            <v>323</v>
          </cell>
          <cell r="B114">
            <v>96.75</v>
          </cell>
          <cell r="C114">
            <v>61.11</v>
          </cell>
        </row>
        <row r="115">
          <cell r="A115">
            <v>324</v>
          </cell>
          <cell r="B115">
            <v>92.11</v>
          </cell>
          <cell r="C115">
            <v>58.18</v>
          </cell>
        </row>
        <row r="116">
          <cell r="A116">
            <v>325</v>
          </cell>
          <cell r="B116">
            <v>100.09</v>
          </cell>
          <cell r="C116">
            <v>63.22</v>
          </cell>
        </row>
        <row r="117">
          <cell r="A117">
            <v>326</v>
          </cell>
          <cell r="B117">
            <v>100.92</v>
          </cell>
          <cell r="C117">
            <v>63.74</v>
          </cell>
        </row>
        <row r="118">
          <cell r="A118">
            <v>327</v>
          </cell>
          <cell r="B118">
            <v>108.04</v>
          </cell>
          <cell r="C118">
            <v>68.239999999999995</v>
          </cell>
        </row>
        <row r="119">
          <cell r="A119">
            <v>328</v>
          </cell>
          <cell r="B119">
            <v>89.61</v>
          </cell>
          <cell r="C119">
            <v>56.6</v>
          </cell>
        </row>
        <row r="120">
          <cell r="A120">
            <v>329</v>
          </cell>
          <cell r="B120">
            <v>100.51</v>
          </cell>
          <cell r="C120">
            <v>63.48</v>
          </cell>
        </row>
        <row r="121">
          <cell r="A121">
            <v>330</v>
          </cell>
          <cell r="B121">
            <v>103.86</v>
          </cell>
          <cell r="C121">
            <v>65.599999999999994</v>
          </cell>
        </row>
        <row r="122">
          <cell r="A122">
            <v>331</v>
          </cell>
          <cell r="B122">
            <v>99.59</v>
          </cell>
          <cell r="C122">
            <v>62.9</v>
          </cell>
        </row>
        <row r="123">
          <cell r="A123">
            <v>332</v>
          </cell>
          <cell r="B123">
            <v>59.37</v>
          </cell>
          <cell r="C123">
            <v>37.5</v>
          </cell>
        </row>
        <row r="124">
          <cell r="A124">
            <v>333</v>
          </cell>
          <cell r="B124">
            <v>37.06</v>
          </cell>
          <cell r="C124">
            <v>23.41</v>
          </cell>
        </row>
        <row r="125">
          <cell r="A125">
            <v>334</v>
          </cell>
          <cell r="B125">
            <v>37.06</v>
          </cell>
          <cell r="C125">
            <v>23.41</v>
          </cell>
        </row>
        <row r="126">
          <cell r="A126">
            <v>335</v>
          </cell>
          <cell r="B126">
            <v>37.479999999999997</v>
          </cell>
          <cell r="C126">
            <v>23.67</v>
          </cell>
        </row>
        <row r="127">
          <cell r="A127">
            <v>336</v>
          </cell>
          <cell r="B127">
            <v>36.64</v>
          </cell>
          <cell r="C127">
            <v>23.14</v>
          </cell>
        </row>
        <row r="128">
          <cell r="A128">
            <v>337</v>
          </cell>
          <cell r="B128">
            <v>63.77</v>
          </cell>
          <cell r="C128">
            <v>40.28</v>
          </cell>
        </row>
        <row r="129">
          <cell r="A129">
            <v>338</v>
          </cell>
          <cell r="B129">
            <v>66.56</v>
          </cell>
          <cell r="C129">
            <v>42.04</v>
          </cell>
        </row>
        <row r="130">
          <cell r="A130">
            <v>339</v>
          </cell>
          <cell r="B130">
            <v>69.760000000000005</v>
          </cell>
          <cell r="C130">
            <v>44.06</v>
          </cell>
        </row>
        <row r="131">
          <cell r="A131">
            <v>340</v>
          </cell>
          <cell r="B131">
            <v>69.760000000000005</v>
          </cell>
          <cell r="C131">
            <v>44.06</v>
          </cell>
        </row>
        <row r="132">
          <cell r="A132">
            <v>341</v>
          </cell>
          <cell r="B132">
            <v>69.760000000000005</v>
          </cell>
          <cell r="C132">
            <v>44.06</v>
          </cell>
        </row>
        <row r="133">
          <cell r="A133">
            <v>342</v>
          </cell>
          <cell r="B133">
            <v>69.760000000000005</v>
          </cell>
          <cell r="C133">
            <v>44.06</v>
          </cell>
        </row>
        <row r="134">
          <cell r="A134">
            <v>343</v>
          </cell>
          <cell r="B134">
            <v>69.760000000000005</v>
          </cell>
          <cell r="C134">
            <v>44.06</v>
          </cell>
        </row>
        <row r="135">
          <cell r="A135">
            <v>344</v>
          </cell>
          <cell r="B135">
            <v>64.599999999999994</v>
          </cell>
          <cell r="C135">
            <v>40.799999999999997</v>
          </cell>
        </row>
        <row r="136">
          <cell r="A136">
            <v>345</v>
          </cell>
          <cell r="B136">
            <v>62.54</v>
          </cell>
          <cell r="C136">
            <v>39.5</v>
          </cell>
        </row>
        <row r="137">
          <cell r="A137">
            <v>346</v>
          </cell>
          <cell r="B137">
            <v>85.23</v>
          </cell>
          <cell r="C137">
            <v>53.83</v>
          </cell>
        </row>
        <row r="138">
          <cell r="A138">
            <v>347</v>
          </cell>
          <cell r="B138">
            <v>57.36</v>
          </cell>
          <cell r="C138">
            <v>36.229999999999997</v>
          </cell>
        </row>
        <row r="139">
          <cell r="A139">
            <v>348</v>
          </cell>
          <cell r="B139">
            <v>56.65</v>
          </cell>
          <cell r="C139">
            <v>35.78</v>
          </cell>
        </row>
        <row r="140">
          <cell r="A140">
            <v>401</v>
          </cell>
          <cell r="B140">
            <v>66.53</v>
          </cell>
          <cell r="C140">
            <v>42.02</v>
          </cell>
        </row>
        <row r="141">
          <cell r="A141">
            <v>402</v>
          </cell>
          <cell r="B141">
            <v>67.040000000000006</v>
          </cell>
          <cell r="C141">
            <v>42.34</v>
          </cell>
        </row>
        <row r="142">
          <cell r="A142">
            <v>403</v>
          </cell>
          <cell r="B142">
            <v>72.48</v>
          </cell>
          <cell r="C142">
            <v>45.78</v>
          </cell>
        </row>
        <row r="143">
          <cell r="A143">
            <v>404</v>
          </cell>
          <cell r="B143">
            <v>72.48</v>
          </cell>
          <cell r="C143">
            <v>45.78</v>
          </cell>
        </row>
        <row r="144">
          <cell r="A144">
            <v>405</v>
          </cell>
          <cell r="B144">
            <v>72.48</v>
          </cell>
          <cell r="C144">
            <v>45.78</v>
          </cell>
        </row>
        <row r="145">
          <cell r="A145">
            <v>406</v>
          </cell>
          <cell r="B145">
            <v>103.96</v>
          </cell>
          <cell r="C145">
            <v>65.66</v>
          </cell>
        </row>
        <row r="146">
          <cell r="A146">
            <v>407</v>
          </cell>
          <cell r="B146">
            <v>114.55</v>
          </cell>
          <cell r="C146">
            <v>72.349999999999994</v>
          </cell>
        </row>
        <row r="147">
          <cell r="A147">
            <v>408</v>
          </cell>
          <cell r="B147">
            <v>77.819999999999993</v>
          </cell>
          <cell r="C147">
            <v>49.15</v>
          </cell>
        </row>
        <row r="148">
          <cell r="A148">
            <v>409</v>
          </cell>
          <cell r="B148">
            <v>41.07</v>
          </cell>
          <cell r="C148">
            <v>25.94</v>
          </cell>
        </row>
        <row r="149">
          <cell r="A149">
            <v>410</v>
          </cell>
          <cell r="B149">
            <v>41.07</v>
          </cell>
          <cell r="C149">
            <v>25.94</v>
          </cell>
        </row>
        <row r="150">
          <cell r="A150">
            <v>411</v>
          </cell>
          <cell r="B150">
            <v>41.07</v>
          </cell>
          <cell r="C150">
            <v>25.94</v>
          </cell>
        </row>
        <row r="151">
          <cell r="A151">
            <v>412</v>
          </cell>
          <cell r="B151">
            <v>41.07</v>
          </cell>
          <cell r="C151">
            <v>25.94</v>
          </cell>
        </row>
        <row r="152">
          <cell r="A152">
            <v>413</v>
          </cell>
          <cell r="B152">
            <v>62.67</v>
          </cell>
          <cell r="C152">
            <v>39.58</v>
          </cell>
        </row>
        <row r="153">
          <cell r="A153">
            <v>414</v>
          </cell>
          <cell r="B153">
            <v>55.05</v>
          </cell>
          <cell r="C153">
            <v>34.770000000000003</v>
          </cell>
        </row>
        <row r="154">
          <cell r="A154">
            <v>415</v>
          </cell>
          <cell r="B154">
            <v>58.44</v>
          </cell>
          <cell r="C154">
            <v>36.909999999999997</v>
          </cell>
        </row>
        <row r="155">
          <cell r="A155">
            <v>416</v>
          </cell>
          <cell r="B155">
            <v>91.07</v>
          </cell>
          <cell r="C155">
            <v>57.52</v>
          </cell>
        </row>
        <row r="156">
          <cell r="A156">
            <v>417</v>
          </cell>
          <cell r="B156">
            <v>100.24</v>
          </cell>
          <cell r="C156">
            <v>63.31</v>
          </cell>
        </row>
        <row r="157">
          <cell r="A157">
            <v>418</v>
          </cell>
          <cell r="B157">
            <v>98.83</v>
          </cell>
          <cell r="C157">
            <v>62.42</v>
          </cell>
        </row>
        <row r="158">
          <cell r="A158">
            <v>419</v>
          </cell>
          <cell r="B158">
            <v>98.19</v>
          </cell>
          <cell r="C158">
            <v>62.02</v>
          </cell>
        </row>
        <row r="159">
          <cell r="A159">
            <v>420</v>
          </cell>
          <cell r="B159">
            <v>123.05</v>
          </cell>
          <cell r="C159">
            <v>77.72</v>
          </cell>
        </row>
        <row r="160">
          <cell r="A160">
            <v>421</v>
          </cell>
          <cell r="B160">
            <v>95.15</v>
          </cell>
          <cell r="C160">
            <v>60.1</v>
          </cell>
        </row>
        <row r="161">
          <cell r="A161">
            <v>422</v>
          </cell>
          <cell r="B161">
            <v>98.16</v>
          </cell>
          <cell r="C161">
            <v>62</v>
          </cell>
        </row>
        <row r="162">
          <cell r="A162">
            <v>423</v>
          </cell>
          <cell r="B162">
            <v>96.75</v>
          </cell>
          <cell r="C162">
            <v>61.11</v>
          </cell>
        </row>
        <row r="163">
          <cell r="A163">
            <v>424</v>
          </cell>
          <cell r="B163">
            <v>98.8</v>
          </cell>
          <cell r="C163">
            <v>62.4</v>
          </cell>
        </row>
        <row r="164">
          <cell r="A164">
            <v>425</v>
          </cell>
          <cell r="B164">
            <v>106.54</v>
          </cell>
          <cell r="C164">
            <v>67.290000000000006</v>
          </cell>
        </row>
        <row r="165">
          <cell r="A165">
            <v>426</v>
          </cell>
          <cell r="B165">
            <v>107.35</v>
          </cell>
          <cell r="C165">
            <v>67.8</v>
          </cell>
        </row>
        <row r="166">
          <cell r="A166">
            <v>427</v>
          </cell>
          <cell r="B166">
            <v>115.25</v>
          </cell>
          <cell r="C166">
            <v>72.790000000000006</v>
          </cell>
        </row>
        <row r="167">
          <cell r="A167">
            <v>428</v>
          </cell>
          <cell r="B167">
            <v>95.58</v>
          </cell>
          <cell r="C167">
            <v>60.37</v>
          </cell>
        </row>
        <row r="168">
          <cell r="A168">
            <v>429</v>
          </cell>
          <cell r="B168">
            <v>106.95</v>
          </cell>
          <cell r="C168">
            <v>67.55</v>
          </cell>
        </row>
        <row r="169">
          <cell r="A169">
            <v>430</v>
          </cell>
          <cell r="B169">
            <v>110.54</v>
          </cell>
          <cell r="C169">
            <v>69.819999999999993</v>
          </cell>
        </row>
        <row r="170">
          <cell r="A170">
            <v>431</v>
          </cell>
          <cell r="B170">
            <v>106.03</v>
          </cell>
          <cell r="C170">
            <v>66.97</v>
          </cell>
        </row>
        <row r="171">
          <cell r="A171">
            <v>432</v>
          </cell>
          <cell r="B171">
            <v>64.47</v>
          </cell>
          <cell r="C171">
            <v>40.72</v>
          </cell>
        </row>
        <row r="172">
          <cell r="A172">
            <v>433</v>
          </cell>
          <cell r="B172">
            <v>43.48</v>
          </cell>
          <cell r="C172">
            <v>27.46</v>
          </cell>
        </row>
        <row r="173">
          <cell r="A173">
            <v>434</v>
          </cell>
          <cell r="B173">
            <v>43.48</v>
          </cell>
          <cell r="C173">
            <v>27.46</v>
          </cell>
        </row>
        <row r="174">
          <cell r="A174">
            <v>435</v>
          </cell>
          <cell r="B174">
            <v>42.57</v>
          </cell>
          <cell r="C174">
            <v>26.89</v>
          </cell>
        </row>
        <row r="175">
          <cell r="A175">
            <v>436</v>
          </cell>
          <cell r="B175">
            <v>40.64</v>
          </cell>
          <cell r="C175">
            <v>25.67</v>
          </cell>
        </row>
        <row r="176">
          <cell r="A176">
            <v>437</v>
          </cell>
          <cell r="B176">
            <v>76.69</v>
          </cell>
          <cell r="C176">
            <v>48.44</v>
          </cell>
        </row>
        <row r="177">
          <cell r="A177">
            <v>438</v>
          </cell>
          <cell r="B177">
            <v>69.28</v>
          </cell>
          <cell r="C177">
            <v>43.76</v>
          </cell>
        </row>
        <row r="178">
          <cell r="A178">
            <v>439</v>
          </cell>
          <cell r="B178">
            <v>72.48</v>
          </cell>
          <cell r="C178">
            <v>45.78</v>
          </cell>
        </row>
        <row r="179">
          <cell r="A179">
            <v>440</v>
          </cell>
          <cell r="B179">
            <v>73.400000000000006</v>
          </cell>
          <cell r="C179">
            <v>46.36</v>
          </cell>
        </row>
        <row r="180">
          <cell r="A180">
            <v>441</v>
          </cell>
          <cell r="B180">
            <v>71.58</v>
          </cell>
          <cell r="C180">
            <v>45.21</v>
          </cell>
        </row>
        <row r="181">
          <cell r="A181">
            <v>442</v>
          </cell>
          <cell r="B181">
            <v>72.48</v>
          </cell>
          <cell r="C181">
            <v>45.78</v>
          </cell>
        </row>
        <row r="182">
          <cell r="A182">
            <v>443</v>
          </cell>
          <cell r="B182">
            <v>72.48</v>
          </cell>
          <cell r="C182">
            <v>45.78</v>
          </cell>
        </row>
        <row r="183">
          <cell r="A183">
            <v>444</v>
          </cell>
          <cell r="B183">
            <v>67.040000000000006</v>
          </cell>
          <cell r="C183">
            <v>42.34</v>
          </cell>
        </row>
        <row r="184">
          <cell r="A184">
            <v>445</v>
          </cell>
          <cell r="B184">
            <v>65.400000000000006</v>
          </cell>
          <cell r="C184">
            <v>41.31</v>
          </cell>
        </row>
        <row r="185">
          <cell r="A185">
            <v>446</v>
          </cell>
          <cell r="B185">
            <v>85.23</v>
          </cell>
          <cell r="C185">
            <v>53.83</v>
          </cell>
        </row>
        <row r="186">
          <cell r="A186">
            <v>447</v>
          </cell>
          <cell r="B186">
            <v>57.36</v>
          </cell>
          <cell r="C186">
            <v>36.229999999999997</v>
          </cell>
        </row>
        <row r="187">
          <cell r="A187">
            <v>448</v>
          </cell>
          <cell r="B187">
            <v>56.65</v>
          </cell>
          <cell r="C187">
            <v>35.78</v>
          </cell>
        </row>
        <row r="188">
          <cell r="A188">
            <v>501</v>
          </cell>
          <cell r="B188">
            <v>66.53</v>
          </cell>
          <cell r="C188">
            <v>42.02</v>
          </cell>
        </row>
        <row r="189">
          <cell r="A189">
            <v>502</v>
          </cell>
          <cell r="B189">
            <v>67.040000000000006</v>
          </cell>
          <cell r="C189">
            <v>42.34</v>
          </cell>
        </row>
        <row r="190">
          <cell r="A190">
            <v>503</v>
          </cell>
          <cell r="B190">
            <v>72.48</v>
          </cell>
          <cell r="C190">
            <v>45.78</v>
          </cell>
        </row>
        <row r="191">
          <cell r="A191">
            <v>504</v>
          </cell>
          <cell r="B191">
            <v>72.48</v>
          </cell>
          <cell r="C191">
            <v>45.78</v>
          </cell>
        </row>
        <row r="192">
          <cell r="A192">
            <v>505</v>
          </cell>
          <cell r="B192">
            <v>72.48</v>
          </cell>
          <cell r="C192">
            <v>45.78</v>
          </cell>
        </row>
        <row r="193">
          <cell r="A193">
            <v>506</v>
          </cell>
          <cell r="B193">
            <v>103.96</v>
          </cell>
          <cell r="C193">
            <v>65.66</v>
          </cell>
        </row>
        <row r="194">
          <cell r="A194">
            <v>507</v>
          </cell>
          <cell r="B194">
            <v>116.47</v>
          </cell>
          <cell r="C194">
            <v>73.56</v>
          </cell>
        </row>
        <row r="195">
          <cell r="A195">
            <v>508</v>
          </cell>
          <cell r="B195">
            <v>82.12</v>
          </cell>
          <cell r="C195">
            <v>51.87</v>
          </cell>
        </row>
        <row r="196">
          <cell r="A196">
            <v>509</v>
          </cell>
          <cell r="B196">
            <v>43.48</v>
          </cell>
          <cell r="C196">
            <v>27.46</v>
          </cell>
        </row>
        <row r="197">
          <cell r="A197">
            <v>510</v>
          </cell>
          <cell r="B197">
            <v>43.48</v>
          </cell>
          <cell r="C197">
            <v>27.46</v>
          </cell>
        </row>
        <row r="198">
          <cell r="A198">
            <v>511</v>
          </cell>
          <cell r="B198">
            <v>43.48</v>
          </cell>
          <cell r="C198">
            <v>27.46</v>
          </cell>
        </row>
        <row r="199">
          <cell r="A199">
            <v>512</v>
          </cell>
          <cell r="B199">
            <v>43.48</v>
          </cell>
          <cell r="C199">
            <v>27.46</v>
          </cell>
        </row>
        <row r="200">
          <cell r="A200">
            <v>513</v>
          </cell>
          <cell r="B200">
            <v>63.35</v>
          </cell>
          <cell r="C200">
            <v>40.01</v>
          </cell>
        </row>
        <row r="201">
          <cell r="A201">
            <v>514</v>
          </cell>
          <cell r="B201">
            <v>55.05</v>
          </cell>
          <cell r="C201">
            <v>34.770000000000003</v>
          </cell>
        </row>
        <row r="202">
          <cell r="A202">
            <v>515</v>
          </cell>
          <cell r="B202">
            <v>58.44</v>
          </cell>
          <cell r="C202">
            <v>36.909999999999997</v>
          </cell>
        </row>
        <row r="203">
          <cell r="A203">
            <v>516</v>
          </cell>
          <cell r="B203">
            <v>91.07</v>
          </cell>
          <cell r="C203">
            <v>57.52</v>
          </cell>
        </row>
        <row r="204">
          <cell r="A204">
            <v>517</v>
          </cell>
          <cell r="B204">
            <v>100.24</v>
          </cell>
          <cell r="C204">
            <v>63.31</v>
          </cell>
        </row>
        <row r="205">
          <cell r="A205">
            <v>518</v>
          </cell>
          <cell r="B205">
            <v>98.83</v>
          </cell>
          <cell r="C205">
            <v>62.42</v>
          </cell>
        </row>
        <row r="206">
          <cell r="A206">
            <v>519</v>
          </cell>
          <cell r="B206">
            <v>98.19</v>
          </cell>
          <cell r="C206">
            <v>62.02</v>
          </cell>
        </row>
        <row r="207">
          <cell r="A207">
            <v>520</v>
          </cell>
          <cell r="B207">
            <v>123.05</v>
          </cell>
          <cell r="C207">
            <v>77.72</v>
          </cell>
        </row>
        <row r="208">
          <cell r="A208">
            <v>521</v>
          </cell>
          <cell r="B208">
            <v>95.15</v>
          </cell>
          <cell r="C208">
            <v>60.1</v>
          </cell>
        </row>
        <row r="209">
          <cell r="A209">
            <v>522</v>
          </cell>
          <cell r="B209">
            <v>98.16</v>
          </cell>
          <cell r="C209">
            <v>62</v>
          </cell>
        </row>
        <row r="210">
          <cell r="A210">
            <v>523</v>
          </cell>
          <cell r="B210">
            <v>96.75</v>
          </cell>
          <cell r="C210">
            <v>61.11</v>
          </cell>
        </row>
        <row r="211">
          <cell r="A211">
            <v>524</v>
          </cell>
          <cell r="B211">
            <v>98.8</v>
          </cell>
          <cell r="C211">
            <v>62.4</v>
          </cell>
        </row>
        <row r="212">
          <cell r="A212">
            <v>525</v>
          </cell>
          <cell r="B212">
            <v>106.54</v>
          </cell>
          <cell r="C212">
            <v>67.290000000000006</v>
          </cell>
        </row>
        <row r="213">
          <cell r="A213">
            <v>526</v>
          </cell>
          <cell r="B213">
            <v>107.35</v>
          </cell>
          <cell r="C213">
            <v>67.8</v>
          </cell>
        </row>
        <row r="214">
          <cell r="A214">
            <v>527</v>
          </cell>
          <cell r="B214">
            <v>115.25</v>
          </cell>
          <cell r="C214">
            <v>72.790000000000006</v>
          </cell>
        </row>
        <row r="215">
          <cell r="A215">
            <v>528</v>
          </cell>
          <cell r="B215">
            <v>95.58</v>
          </cell>
          <cell r="C215">
            <v>60.37</v>
          </cell>
        </row>
        <row r="216">
          <cell r="A216">
            <v>529</v>
          </cell>
          <cell r="B216">
            <v>106.95</v>
          </cell>
          <cell r="C216">
            <v>67.55</v>
          </cell>
        </row>
        <row r="217">
          <cell r="A217">
            <v>530</v>
          </cell>
          <cell r="B217">
            <v>110.54</v>
          </cell>
          <cell r="C217">
            <v>69.819999999999993</v>
          </cell>
        </row>
        <row r="218">
          <cell r="A218">
            <v>531</v>
          </cell>
          <cell r="B218">
            <v>106.03</v>
          </cell>
          <cell r="C218">
            <v>66.97</v>
          </cell>
        </row>
        <row r="219">
          <cell r="A219">
            <v>532</v>
          </cell>
          <cell r="B219">
            <v>63.38</v>
          </cell>
          <cell r="C219">
            <v>40.03</v>
          </cell>
        </row>
        <row r="220">
          <cell r="A220">
            <v>533</v>
          </cell>
          <cell r="B220">
            <v>41.07</v>
          </cell>
          <cell r="C220">
            <v>25.94</v>
          </cell>
        </row>
        <row r="221">
          <cell r="A221">
            <v>534</v>
          </cell>
          <cell r="B221">
            <v>41.07</v>
          </cell>
          <cell r="C221">
            <v>25.94</v>
          </cell>
        </row>
        <row r="222">
          <cell r="A222">
            <v>535</v>
          </cell>
          <cell r="B222">
            <v>41.48</v>
          </cell>
          <cell r="C222">
            <v>26.2</v>
          </cell>
        </row>
        <row r="223">
          <cell r="A223">
            <v>536</v>
          </cell>
          <cell r="B223">
            <v>40.64</v>
          </cell>
          <cell r="C223">
            <v>25.67</v>
          </cell>
        </row>
        <row r="224">
          <cell r="A224">
            <v>537</v>
          </cell>
          <cell r="B224">
            <v>76.69</v>
          </cell>
          <cell r="C224">
            <v>48.44</v>
          </cell>
        </row>
        <row r="225">
          <cell r="A225">
            <v>538</v>
          </cell>
          <cell r="B225">
            <v>69.28</v>
          </cell>
          <cell r="C225">
            <v>43.76</v>
          </cell>
        </row>
        <row r="226">
          <cell r="A226">
            <v>539</v>
          </cell>
          <cell r="B226">
            <v>72.48</v>
          </cell>
          <cell r="C226">
            <v>45.78</v>
          </cell>
        </row>
        <row r="227">
          <cell r="A227">
            <v>540</v>
          </cell>
          <cell r="B227">
            <v>73.400000000000006</v>
          </cell>
          <cell r="C227">
            <v>46.36</v>
          </cell>
        </row>
        <row r="228">
          <cell r="A228">
            <v>541</v>
          </cell>
          <cell r="B228">
            <v>71.58</v>
          </cell>
          <cell r="C228">
            <v>45.21</v>
          </cell>
        </row>
        <row r="229">
          <cell r="A229">
            <v>542</v>
          </cell>
          <cell r="B229">
            <v>72.48</v>
          </cell>
          <cell r="C229">
            <v>45.78</v>
          </cell>
        </row>
        <row r="230">
          <cell r="A230">
            <v>543</v>
          </cell>
          <cell r="B230">
            <v>72.48</v>
          </cell>
          <cell r="C230">
            <v>45.78</v>
          </cell>
        </row>
        <row r="231">
          <cell r="A231">
            <v>544</v>
          </cell>
          <cell r="B231">
            <v>67.040000000000006</v>
          </cell>
          <cell r="C231">
            <v>42.34</v>
          </cell>
        </row>
        <row r="232">
          <cell r="A232">
            <v>545</v>
          </cell>
          <cell r="B232">
            <v>65.400000000000006</v>
          </cell>
          <cell r="C232">
            <v>41.31</v>
          </cell>
        </row>
        <row r="233">
          <cell r="A233">
            <v>546</v>
          </cell>
          <cell r="B233">
            <v>85.23</v>
          </cell>
          <cell r="C233">
            <v>53.83</v>
          </cell>
        </row>
        <row r="234">
          <cell r="A234">
            <v>547</v>
          </cell>
          <cell r="B234">
            <v>57.36</v>
          </cell>
          <cell r="C234">
            <v>36.229999999999997</v>
          </cell>
        </row>
        <row r="235">
          <cell r="A235">
            <v>548</v>
          </cell>
          <cell r="B235">
            <v>56.65</v>
          </cell>
          <cell r="C235">
            <v>35.78</v>
          </cell>
        </row>
        <row r="236">
          <cell r="A236">
            <v>601</v>
          </cell>
          <cell r="B236">
            <v>66.53</v>
          </cell>
          <cell r="C236">
            <v>42.02</v>
          </cell>
        </row>
        <row r="237">
          <cell r="A237">
            <v>602</v>
          </cell>
          <cell r="B237">
            <v>67.040000000000006</v>
          </cell>
          <cell r="C237">
            <v>42.34</v>
          </cell>
        </row>
        <row r="238">
          <cell r="A238">
            <v>603</v>
          </cell>
          <cell r="B238">
            <v>72.48</v>
          </cell>
          <cell r="C238">
            <v>45.78</v>
          </cell>
        </row>
        <row r="239">
          <cell r="A239">
            <v>604</v>
          </cell>
          <cell r="B239">
            <v>72.48</v>
          </cell>
          <cell r="C239">
            <v>45.78</v>
          </cell>
        </row>
        <row r="240">
          <cell r="A240">
            <v>605</v>
          </cell>
          <cell r="B240">
            <v>72.48</v>
          </cell>
          <cell r="C240">
            <v>45.78</v>
          </cell>
        </row>
        <row r="241">
          <cell r="A241">
            <v>606</v>
          </cell>
          <cell r="B241">
            <v>103.96</v>
          </cell>
          <cell r="C241">
            <v>65.66</v>
          </cell>
        </row>
        <row r="242">
          <cell r="A242">
            <v>607</v>
          </cell>
          <cell r="B242">
            <v>116.47</v>
          </cell>
          <cell r="C242">
            <v>73.56</v>
          </cell>
        </row>
        <row r="243">
          <cell r="A243">
            <v>608</v>
          </cell>
          <cell r="B243">
            <v>82.12</v>
          </cell>
          <cell r="C243">
            <v>51.87</v>
          </cell>
        </row>
        <row r="244">
          <cell r="A244">
            <v>609</v>
          </cell>
          <cell r="B244">
            <v>43.48</v>
          </cell>
          <cell r="C244">
            <v>27.46</v>
          </cell>
        </row>
        <row r="245">
          <cell r="A245">
            <v>610</v>
          </cell>
          <cell r="B245">
            <v>43.48</v>
          </cell>
          <cell r="C245">
            <v>27.46</v>
          </cell>
        </row>
        <row r="246">
          <cell r="A246">
            <v>611</v>
          </cell>
          <cell r="B246">
            <v>43.48</v>
          </cell>
          <cell r="C246">
            <v>27.46</v>
          </cell>
        </row>
        <row r="247">
          <cell r="A247">
            <v>612</v>
          </cell>
          <cell r="B247">
            <v>43.48</v>
          </cell>
          <cell r="C247">
            <v>27.46</v>
          </cell>
        </row>
        <row r="248">
          <cell r="A248">
            <v>613</v>
          </cell>
          <cell r="B248">
            <v>63.35</v>
          </cell>
          <cell r="C248">
            <v>40.01</v>
          </cell>
        </row>
        <row r="249">
          <cell r="A249">
            <v>614</v>
          </cell>
          <cell r="B249">
            <v>55.34</v>
          </cell>
          <cell r="C249">
            <v>34.950000000000003</v>
          </cell>
        </row>
        <row r="250">
          <cell r="A250">
            <v>615</v>
          </cell>
          <cell r="B250">
            <v>58.44</v>
          </cell>
          <cell r="C250">
            <v>36.909999999999997</v>
          </cell>
        </row>
        <row r="251">
          <cell r="A251">
            <v>616</v>
          </cell>
          <cell r="B251">
            <v>91.07</v>
          </cell>
          <cell r="C251">
            <v>57.52</v>
          </cell>
        </row>
        <row r="252">
          <cell r="A252">
            <v>617</v>
          </cell>
          <cell r="B252">
            <v>100.24</v>
          </cell>
          <cell r="C252">
            <v>63.31</v>
          </cell>
        </row>
        <row r="253">
          <cell r="A253">
            <v>618</v>
          </cell>
          <cell r="B253">
            <v>98.83</v>
          </cell>
          <cell r="C253">
            <v>62.42</v>
          </cell>
        </row>
        <row r="254">
          <cell r="A254">
            <v>619</v>
          </cell>
          <cell r="B254">
            <v>98.19</v>
          </cell>
          <cell r="C254">
            <v>62.02</v>
          </cell>
        </row>
        <row r="255">
          <cell r="A255">
            <v>620</v>
          </cell>
          <cell r="B255">
            <v>123.05</v>
          </cell>
          <cell r="C255">
            <v>77.72</v>
          </cell>
        </row>
        <row r="256">
          <cell r="A256">
            <v>621</v>
          </cell>
          <cell r="B256">
            <v>95.15</v>
          </cell>
          <cell r="C256">
            <v>60.1</v>
          </cell>
        </row>
        <row r="257">
          <cell r="A257">
            <v>622</v>
          </cell>
          <cell r="B257">
            <v>98.16</v>
          </cell>
          <cell r="C257">
            <v>62</v>
          </cell>
        </row>
        <row r="258">
          <cell r="A258">
            <v>623</v>
          </cell>
          <cell r="B258">
            <v>96.75</v>
          </cell>
          <cell r="C258">
            <v>61.11</v>
          </cell>
        </row>
        <row r="259">
          <cell r="A259">
            <v>624</v>
          </cell>
          <cell r="B259">
            <v>98.64</v>
          </cell>
          <cell r="C259">
            <v>62.3</v>
          </cell>
        </row>
        <row r="260">
          <cell r="A260">
            <v>625</v>
          </cell>
          <cell r="B260">
            <v>106.54</v>
          </cell>
          <cell r="C260">
            <v>67.290000000000006</v>
          </cell>
        </row>
        <row r="261">
          <cell r="A261">
            <v>626</v>
          </cell>
          <cell r="B261">
            <v>107.35</v>
          </cell>
          <cell r="C261">
            <v>67.8</v>
          </cell>
        </row>
        <row r="262">
          <cell r="A262">
            <v>627</v>
          </cell>
          <cell r="B262">
            <v>115.25</v>
          </cell>
          <cell r="C262">
            <v>72.790000000000006</v>
          </cell>
        </row>
        <row r="263">
          <cell r="A263">
            <v>628</v>
          </cell>
          <cell r="B263">
            <v>95.58</v>
          </cell>
          <cell r="C263">
            <v>60.37</v>
          </cell>
        </row>
        <row r="264">
          <cell r="A264">
            <v>629</v>
          </cell>
          <cell r="B264">
            <v>106.95</v>
          </cell>
          <cell r="C264">
            <v>67.55</v>
          </cell>
        </row>
        <row r="265">
          <cell r="A265">
            <v>630</v>
          </cell>
          <cell r="B265">
            <v>110.54</v>
          </cell>
          <cell r="C265">
            <v>69.819999999999993</v>
          </cell>
        </row>
        <row r="266">
          <cell r="A266">
            <v>631</v>
          </cell>
          <cell r="B266">
            <v>106.03</v>
          </cell>
          <cell r="C266">
            <v>66.97</v>
          </cell>
        </row>
        <row r="267">
          <cell r="A267">
            <v>632</v>
          </cell>
          <cell r="B267">
            <v>63.38</v>
          </cell>
          <cell r="C267">
            <v>40.03</v>
          </cell>
        </row>
        <row r="268">
          <cell r="A268">
            <v>633</v>
          </cell>
          <cell r="B268">
            <v>41.07</v>
          </cell>
          <cell r="C268">
            <v>25.94</v>
          </cell>
        </row>
        <row r="269">
          <cell r="A269">
            <v>634</v>
          </cell>
          <cell r="B269">
            <v>41.07</v>
          </cell>
          <cell r="C269">
            <v>25.94</v>
          </cell>
        </row>
        <row r="270">
          <cell r="A270">
            <v>635</v>
          </cell>
          <cell r="B270">
            <v>41.48</v>
          </cell>
          <cell r="C270">
            <v>26.2</v>
          </cell>
        </row>
        <row r="271">
          <cell r="A271">
            <v>636</v>
          </cell>
          <cell r="B271">
            <v>40.64</v>
          </cell>
          <cell r="C271">
            <v>25.67</v>
          </cell>
        </row>
        <row r="272">
          <cell r="A272">
            <v>637</v>
          </cell>
          <cell r="B272">
            <v>76.63</v>
          </cell>
          <cell r="C272">
            <v>48.4</v>
          </cell>
        </row>
        <row r="273">
          <cell r="A273">
            <v>638</v>
          </cell>
          <cell r="B273">
            <v>69.28</v>
          </cell>
          <cell r="C273">
            <v>43.76</v>
          </cell>
        </row>
        <row r="274">
          <cell r="A274">
            <v>639</v>
          </cell>
          <cell r="B274">
            <v>72.48</v>
          </cell>
          <cell r="C274">
            <v>45.78</v>
          </cell>
        </row>
        <row r="275">
          <cell r="A275">
            <v>640</v>
          </cell>
          <cell r="B275">
            <v>72.48</v>
          </cell>
          <cell r="C275">
            <v>45.78</v>
          </cell>
        </row>
        <row r="276">
          <cell r="A276">
            <v>641</v>
          </cell>
          <cell r="B276">
            <v>72.48</v>
          </cell>
          <cell r="C276">
            <v>45.78</v>
          </cell>
        </row>
        <row r="277">
          <cell r="A277">
            <v>642</v>
          </cell>
          <cell r="B277">
            <v>72.48</v>
          </cell>
          <cell r="C277">
            <v>45.78</v>
          </cell>
        </row>
        <row r="278">
          <cell r="A278">
            <v>643</v>
          </cell>
          <cell r="B278">
            <v>72.48</v>
          </cell>
          <cell r="C278">
            <v>45.78</v>
          </cell>
        </row>
        <row r="279">
          <cell r="A279">
            <v>644</v>
          </cell>
          <cell r="B279">
            <v>67.040000000000006</v>
          </cell>
          <cell r="C279">
            <v>42.34</v>
          </cell>
        </row>
        <row r="280">
          <cell r="A280">
            <v>645</v>
          </cell>
          <cell r="B280">
            <v>66.89</v>
          </cell>
          <cell r="C280">
            <v>42.25</v>
          </cell>
        </row>
        <row r="281">
          <cell r="A281">
            <v>646</v>
          </cell>
          <cell r="B281">
            <v>85.23</v>
          </cell>
          <cell r="C281">
            <v>53.83</v>
          </cell>
        </row>
        <row r="282">
          <cell r="A282">
            <v>647</v>
          </cell>
          <cell r="B282">
            <v>57.36</v>
          </cell>
          <cell r="C282">
            <v>36.229999999999997</v>
          </cell>
        </row>
        <row r="283">
          <cell r="A283">
            <v>648</v>
          </cell>
          <cell r="B283">
            <v>57.58</v>
          </cell>
          <cell r="C283">
            <v>36.369999999999997</v>
          </cell>
        </row>
        <row r="284">
          <cell r="A284">
            <v>701</v>
          </cell>
          <cell r="B284">
            <v>68.290000000000006</v>
          </cell>
          <cell r="C284">
            <v>43.13</v>
          </cell>
        </row>
        <row r="285">
          <cell r="A285">
            <v>702</v>
          </cell>
          <cell r="B285">
            <v>67.040000000000006</v>
          </cell>
          <cell r="C285">
            <v>42.34</v>
          </cell>
        </row>
        <row r="286">
          <cell r="A286">
            <v>703</v>
          </cell>
          <cell r="B286">
            <v>72.48</v>
          </cell>
          <cell r="C286">
            <v>45.78</v>
          </cell>
        </row>
        <row r="287">
          <cell r="A287">
            <v>704</v>
          </cell>
          <cell r="B287">
            <v>72.48</v>
          </cell>
          <cell r="C287">
            <v>45.78</v>
          </cell>
        </row>
        <row r="288">
          <cell r="A288">
            <v>705</v>
          </cell>
          <cell r="B288">
            <v>72.48</v>
          </cell>
          <cell r="C288">
            <v>45.78</v>
          </cell>
        </row>
        <row r="289">
          <cell r="A289">
            <v>706</v>
          </cell>
          <cell r="B289">
            <v>103.96</v>
          </cell>
          <cell r="C289">
            <v>65.66</v>
          </cell>
        </row>
        <row r="290">
          <cell r="A290">
            <v>707</v>
          </cell>
          <cell r="B290">
            <v>116.42</v>
          </cell>
          <cell r="C290">
            <v>73.53</v>
          </cell>
        </row>
        <row r="291">
          <cell r="A291">
            <v>708</v>
          </cell>
          <cell r="B291">
            <v>82.12</v>
          </cell>
          <cell r="C291">
            <v>51.87</v>
          </cell>
        </row>
        <row r="292">
          <cell r="A292">
            <v>709</v>
          </cell>
          <cell r="B292">
            <v>43.48</v>
          </cell>
          <cell r="C292">
            <v>27.46</v>
          </cell>
        </row>
        <row r="293">
          <cell r="A293">
            <v>710</v>
          </cell>
          <cell r="B293">
            <v>43.48</v>
          </cell>
          <cell r="C293">
            <v>27.46</v>
          </cell>
        </row>
        <row r="294">
          <cell r="A294">
            <v>711</v>
          </cell>
          <cell r="B294">
            <v>43.48</v>
          </cell>
          <cell r="C294">
            <v>27.46</v>
          </cell>
        </row>
        <row r="295">
          <cell r="A295">
            <v>712</v>
          </cell>
          <cell r="B295">
            <v>43.48</v>
          </cell>
          <cell r="C295">
            <v>27.46</v>
          </cell>
        </row>
        <row r="296">
          <cell r="A296">
            <v>713</v>
          </cell>
          <cell r="B296">
            <v>63.35</v>
          </cell>
          <cell r="C296">
            <v>40.01</v>
          </cell>
        </row>
        <row r="297">
          <cell r="A297">
            <v>714</v>
          </cell>
          <cell r="B297">
            <v>56</v>
          </cell>
          <cell r="C297">
            <v>35.369999999999997</v>
          </cell>
        </row>
        <row r="298">
          <cell r="A298">
            <v>715</v>
          </cell>
          <cell r="B298">
            <v>58.44</v>
          </cell>
          <cell r="C298">
            <v>36.909999999999997</v>
          </cell>
        </row>
        <row r="299">
          <cell r="A299">
            <v>716</v>
          </cell>
          <cell r="B299">
            <v>91.07</v>
          </cell>
          <cell r="C299">
            <v>57.52</v>
          </cell>
        </row>
        <row r="300">
          <cell r="A300">
            <v>717</v>
          </cell>
          <cell r="B300">
            <v>100.24</v>
          </cell>
          <cell r="C300">
            <v>63.31</v>
          </cell>
        </row>
        <row r="301">
          <cell r="A301">
            <v>718</v>
          </cell>
          <cell r="B301">
            <v>98.83</v>
          </cell>
          <cell r="C301">
            <v>62.42</v>
          </cell>
        </row>
        <row r="302">
          <cell r="A302">
            <v>719</v>
          </cell>
          <cell r="B302">
            <v>98.19</v>
          </cell>
          <cell r="C302">
            <v>62.02</v>
          </cell>
        </row>
        <row r="303">
          <cell r="A303">
            <v>720</v>
          </cell>
          <cell r="B303">
            <v>124.4</v>
          </cell>
          <cell r="C303">
            <v>78.569999999999993</v>
          </cell>
        </row>
        <row r="304">
          <cell r="A304">
            <v>721</v>
          </cell>
          <cell r="B304">
            <v>95.15</v>
          </cell>
          <cell r="C304">
            <v>60.1</v>
          </cell>
        </row>
        <row r="305">
          <cell r="A305">
            <v>722</v>
          </cell>
          <cell r="B305">
            <v>98.16</v>
          </cell>
          <cell r="C305">
            <v>62</v>
          </cell>
        </row>
        <row r="306">
          <cell r="A306">
            <v>723</v>
          </cell>
          <cell r="B306">
            <v>96.75</v>
          </cell>
          <cell r="C306">
            <v>61.11</v>
          </cell>
        </row>
        <row r="307">
          <cell r="A307">
            <v>724</v>
          </cell>
          <cell r="B307">
            <v>98.64</v>
          </cell>
          <cell r="C307">
            <v>62.3</v>
          </cell>
        </row>
        <row r="308">
          <cell r="A308">
            <v>725</v>
          </cell>
          <cell r="B308">
            <v>106.55</v>
          </cell>
          <cell r="C308">
            <v>67.3</v>
          </cell>
        </row>
        <row r="309">
          <cell r="A309">
            <v>726</v>
          </cell>
          <cell r="B309">
            <v>107.35</v>
          </cell>
          <cell r="C309">
            <v>67.8</v>
          </cell>
        </row>
        <row r="310">
          <cell r="A310">
            <v>727</v>
          </cell>
          <cell r="B310">
            <v>115.25</v>
          </cell>
          <cell r="C310">
            <v>72.790000000000006</v>
          </cell>
        </row>
        <row r="311">
          <cell r="A311">
            <v>728</v>
          </cell>
          <cell r="B311">
            <v>95.58</v>
          </cell>
          <cell r="C311">
            <v>60.37</v>
          </cell>
        </row>
        <row r="312">
          <cell r="A312">
            <v>729</v>
          </cell>
          <cell r="B312">
            <v>106.95</v>
          </cell>
          <cell r="C312">
            <v>67.55</v>
          </cell>
        </row>
        <row r="313">
          <cell r="A313">
            <v>730</v>
          </cell>
          <cell r="B313">
            <v>110.54</v>
          </cell>
          <cell r="C313">
            <v>69.819999999999993</v>
          </cell>
        </row>
        <row r="314">
          <cell r="A314">
            <v>731</v>
          </cell>
          <cell r="B314">
            <v>106.03</v>
          </cell>
          <cell r="C314">
            <v>66.97</v>
          </cell>
        </row>
        <row r="315">
          <cell r="A315">
            <v>732</v>
          </cell>
          <cell r="B315">
            <v>63.38</v>
          </cell>
          <cell r="C315">
            <v>40.03</v>
          </cell>
        </row>
        <row r="316">
          <cell r="A316">
            <v>733</v>
          </cell>
          <cell r="B316">
            <v>41.07</v>
          </cell>
          <cell r="C316">
            <v>25.94</v>
          </cell>
        </row>
        <row r="317">
          <cell r="A317">
            <v>734</v>
          </cell>
          <cell r="B317">
            <v>41.07</v>
          </cell>
          <cell r="C317">
            <v>25.94</v>
          </cell>
        </row>
        <row r="318">
          <cell r="A318">
            <v>735</v>
          </cell>
          <cell r="B318">
            <v>41.48</v>
          </cell>
          <cell r="C318">
            <v>26.2</v>
          </cell>
        </row>
        <row r="319">
          <cell r="A319">
            <v>736</v>
          </cell>
          <cell r="B319">
            <v>40.64</v>
          </cell>
          <cell r="C319">
            <v>25.67</v>
          </cell>
        </row>
        <row r="320">
          <cell r="A320">
            <v>737</v>
          </cell>
          <cell r="B320">
            <v>76.69</v>
          </cell>
          <cell r="C320">
            <v>48.44</v>
          </cell>
        </row>
        <row r="321">
          <cell r="A321">
            <v>738</v>
          </cell>
          <cell r="B321">
            <v>69.28</v>
          </cell>
          <cell r="C321">
            <v>43.76</v>
          </cell>
        </row>
        <row r="322">
          <cell r="A322">
            <v>739</v>
          </cell>
          <cell r="B322">
            <v>72.48</v>
          </cell>
          <cell r="C322">
            <v>45.78</v>
          </cell>
        </row>
        <row r="323">
          <cell r="A323">
            <v>740</v>
          </cell>
          <cell r="B323">
            <v>72.48</v>
          </cell>
          <cell r="C323">
            <v>45.78</v>
          </cell>
        </row>
        <row r="324">
          <cell r="A324">
            <v>741</v>
          </cell>
          <cell r="B324">
            <v>72.48</v>
          </cell>
          <cell r="C324">
            <v>45.78</v>
          </cell>
        </row>
        <row r="325">
          <cell r="A325">
            <v>742</v>
          </cell>
          <cell r="B325">
            <v>72.48</v>
          </cell>
          <cell r="C325">
            <v>45.78</v>
          </cell>
        </row>
        <row r="326">
          <cell r="A326">
            <v>743</v>
          </cell>
          <cell r="B326">
            <v>74.37</v>
          </cell>
          <cell r="C326">
            <v>46.97</v>
          </cell>
        </row>
        <row r="327">
          <cell r="A327">
            <v>744</v>
          </cell>
          <cell r="B327">
            <v>45.79</v>
          </cell>
          <cell r="C327">
            <v>28.92</v>
          </cell>
        </row>
        <row r="328">
          <cell r="A328">
            <v>745</v>
          </cell>
          <cell r="B328">
            <v>85.23</v>
          </cell>
          <cell r="C328">
            <v>53.83</v>
          </cell>
        </row>
        <row r="329">
          <cell r="A329">
            <v>746</v>
          </cell>
          <cell r="B329">
            <v>57.36</v>
          </cell>
          <cell r="C329">
            <v>36.229999999999997</v>
          </cell>
        </row>
        <row r="330">
          <cell r="A330">
            <v>747</v>
          </cell>
          <cell r="B330">
            <v>94.96</v>
          </cell>
          <cell r="C330">
            <v>59.98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sheetData sheetId="5" refreshError="1"/>
      <sheetData sheetId="6" refreshError="1">
        <row r="7">
          <cell r="A7">
            <v>133</v>
          </cell>
          <cell r="B7">
            <v>145.47999999999999</v>
          </cell>
          <cell r="C7">
            <v>124.64</v>
          </cell>
        </row>
        <row r="8">
          <cell r="A8">
            <v>134</v>
          </cell>
          <cell r="B8">
            <v>19.21</v>
          </cell>
          <cell r="C8">
            <v>16.46</v>
          </cell>
        </row>
        <row r="9">
          <cell r="A9">
            <v>135</v>
          </cell>
          <cell r="B9">
            <v>31.54</v>
          </cell>
          <cell r="C9">
            <v>27.02</v>
          </cell>
        </row>
        <row r="10">
          <cell r="A10">
            <v>136</v>
          </cell>
          <cell r="B10">
            <v>96.25</v>
          </cell>
          <cell r="C10">
            <v>82.46</v>
          </cell>
        </row>
        <row r="11">
          <cell r="A11">
            <v>137</v>
          </cell>
          <cell r="B11">
            <v>101.57</v>
          </cell>
          <cell r="C11">
            <v>87.02</v>
          </cell>
        </row>
        <row r="12">
          <cell r="A12">
            <v>138</v>
          </cell>
          <cell r="B12">
            <v>117.1</v>
          </cell>
          <cell r="C12">
            <v>100.32</v>
          </cell>
        </row>
        <row r="13">
          <cell r="A13">
            <v>139</v>
          </cell>
          <cell r="B13">
            <v>119.09</v>
          </cell>
          <cell r="C13">
            <v>102.03</v>
          </cell>
        </row>
        <row r="14">
          <cell r="A14">
            <v>140</v>
          </cell>
          <cell r="B14">
            <v>285.77</v>
          </cell>
          <cell r="C14">
            <v>244.83</v>
          </cell>
        </row>
        <row r="15">
          <cell r="A15">
            <v>141</v>
          </cell>
          <cell r="B15">
            <v>108.17</v>
          </cell>
          <cell r="C15">
            <v>92.67</v>
          </cell>
        </row>
        <row r="16">
          <cell r="A16">
            <v>142</v>
          </cell>
          <cell r="B16">
            <v>62.32</v>
          </cell>
          <cell r="C16">
            <v>53.39</v>
          </cell>
        </row>
        <row r="17">
          <cell r="A17">
            <v>143</v>
          </cell>
          <cell r="B17">
            <v>74.62</v>
          </cell>
          <cell r="C17">
            <v>63.93</v>
          </cell>
        </row>
        <row r="18">
          <cell r="A18">
            <v>144</v>
          </cell>
          <cell r="B18">
            <v>57.04</v>
          </cell>
          <cell r="C18">
            <v>48.87</v>
          </cell>
        </row>
        <row r="19">
          <cell r="A19">
            <v>145</v>
          </cell>
          <cell r="B19">
            <v>95.81</v>
          </cell>
          <cell r="C19">
            <v>82.08</v>
          </cell>
        </row>
        <row r="20">
          <cell r="A20">
            <v>146</v>
          </cell>
          <cell r="B20">
            <v>78.61</v>
          </cell>
          <cell r="C20">
            <v>67.349999999999994</v>
          </cell>
        </row>
        <row r="21">
          <cell r="A21">
            <v>147</v>
          </cell>
          <cell r="B21">
            <v>457.96</v>
          </cell>
          <cell r="C21">
            <v>392.35</v>
          </cell>
        </row>
        <row r="22">
          <cell r="A22">
            <v>148</v>
          </cell>
          <cell r="B22">
            <v>152.76</v>
          </cell>
          <cell r="C22">
            <v>130.87</v>
          </cell>
        </row>
        <row r="23">
          <cell r="A23">
            <v>229</v>
          </cell>
          <cell r="B23">
            <v>188.28</v>
          </cell>
          <cell r="C23">
            <v>140.65</v>
          </cell>
        </row>
        <row r="24">
          <cell r="A24">
            <v>230</v>
          </cell>
          <cell r="B24">
            <v>255.37</v>
          </cell>
          <cell r="C24">
            <v>190.76</v>
          </cell>
        </row>
        <row r="25">
          <cell r="A25">
            <v>231</v>
          </cell>
          <cell r="B25">
            <v>59.41</v>
          </cell>
          <cell r="C25">
            <v>44.38</v>
          </cell>
        </row>
        <row r="26">
          <cell r="A26">
            <v>232</v>
          </cell>
          <cell r="B26">
            <v>277.16000000000003</v>
          </cell>
          <cell r="C26">
            <v>207.04</v>
          </cell>
        </row>
        <row r="27">
          <cell r="A27">
            <v>233</v>
          </cell>
          <cell r="B27">
            <v>207.35</v>
          </cell>
          <cell r="C27">
            <v>154.88999999999999</v>
          </cell>
        </row>
        <row r="28">
          <cell r="A28">
            <v>234</v>
          </cell>
          <cell r="B28">
            <v>171.9</v>
          </cell>
          <cell r="C28">
            <v>128.41</v>
          </cell>
        </row>
        <row r="29">
          <cell r="A29">
            <v>235</v>
          </cell>
          <cell r="B29">
            <v>100.32</v>
          </cell>
          <cell r="C29">
            <v>74.94</v>
          </cell>
        </row>
        <row r="30">
          <cell r="A30">
            <v>236</v>
          </cell>
          <cell r="B30">
            <v>183.95</v>
          </cell>
          <cell r="C30">
            <v>137.41</v>
          </cell>
        </row>
        <row r="31">
          <cell r="A31">
            <v>237</v>
          </cell>
          <cell r="B31">
            <v>181.85</v>
          </cell>
          <cell r="C31">
            <v>135.84</v>
          </cell>
        </row>
        <row r="32">
          <cell r="A32">
            <v>238</v>
          </cell>
          <cell r="B32">
            <v>152.78</v>
          </cell>
          <cell r="C32">
            <v>114.13</v>
          </cell>
        </row>
        <row r="33">
          <cell r="A33">
            <v>239</v>
          </cell>
          <cell r="B33">
            <v>154.55000000000001</v>
          </cell>
          <cell r="C33">
            <v>115.45</v>
          </cell>
        </row>
        <row r="34">
          <cell r="A34">
            <v>240</v>
          </cell>
          <cell r="B34">
            <v>139.30000000000001</v>
          </cell>
          <cell r="C34">
            <v>104.06</v>
          </cell>
        </row>
        <row r="35">
          <cell r="A35">
            <v>241</v>
          </cell>
          <cell r="B35">
            <v>174.13</v>
          </cell>
          <cell r="C35">
            <v>130.08000000000001</v>
          </cell>
        </row>
        <row r="36">
          <cell r="A36">
            <v>242</v>
          </cell>
          <cell r="B36">
            <v>164.79</v>
          </cell>
          <cell r="C36">
            <v>123.1</v>
          </cell>
        </row>
        <row r="37">
          <cell r="A37">
            <v>243</v>
          </cell>
          <cell r="B37">
            <v>120.67</v>
          </cell>
          <cell r="C37">
            <v>90.14</v>
          </cell>
        </row>
        <row r="38">
          <cell r="A38">
            <v>349</v>
          </cell>
          <cell r="B38">
            <v>73.459999999999994</v>
          </cell>
          <cell r="C38">
            <v>46.4</v>
          </cell>
        </row>
        <row r="39">
          <cell r="A39">
            <v>350</v>
          </cell>
          <cell r="B39">
            <v>69.14</v>
          </cell>
          <cell r="C39">
            <v>43.67</v>
          </cell>
        </row>
        <row r="40">
          <cell r="A40">
            <v>351</v>
          </cell>
          <cell r="B40">
            <v>65.010000000000005</v>
          </cell>
          <cell r="C40">
            <v>41.06</v>
          </cell>
        </row>
        <row r="41">
          <cell r="A41">
            <v>352</v>
          </cell>
          <cell r="B41">
            <v>111.27</v>
          </cell>
          <cell r="C41">
            <v>70.28</v>
          </cell>
        </row>
        <row r="42">
          <cell r="A42">
            <v>353</v>
          </cell>
          <cell r="B42">
            <v>103.55</v>
          </cell>
          <cell r="C42">
            <v>65.400000000000006</v>
          </cell>
        </row>
        <row r="43">
          <cell r="A43">
            <v>354</v>
          </cell>
          <cell r="B43">
            <v>98.46</v>
          </cell>
          <cell r="C43">
            <v>62.19</v>
          </cell>
        </row>
        <row r="44">
          <cell r="A44">
            <v>355</v>
          </cell>
          <cell r="B44">
            <v>80.92</v>
          </cell>
          <cell r="C44">
            <v>51.11</v>
          </cell>
        </row>
        <row r="45">
          <cell r="A45">
            <v>356</v>
          </cell>
          <cell r="B45">
            <v>82.11</v>
          </cell>
          <cell r="C45">
            <v>51.86</v>
          </cell>
        </row>
        <row r="46">
          <cell r="A46">
            <v>357</v>
          </cell>
          <cell r="B46">
            <v>94.27</v>
          </cell>
          <cell r="C46">
            <v>59.54</v>
          </cell>
        </row>
        <row r="47">
          <cell r="A47">
            <v>358</v>
          </cell>
          <cell r="B47">
            <v>88.74</v>
          </cell>
          <cell r="C47">
            <v>56.05</v>
          </cell>
        </row>
        <row r="48">
          <cell r="A48">
            <v>359</v>
          </cell>
          <cell r="B48">
            <v>101.98</v>
          </cell>
          <cell r="C48">
            <v>64.41</v>
          </cell>
        </row>
        <row r="49">
          <cell r="A49">
            <v>360</v>
          </cell>
          <cell r="B49">
            <v>94.98</v>
          </cell>
          <cell r="C49">
            <v>59.99</v>
          </cell>
        </row>
        <row r="50">
          <cell r="A50">
            <v>361</v>
          </cell>
          <cell r="B50">
            <v>91.86</v>
          </cell>
          <cell r="C50">
            <v>58.02</v>
          </cell>
        </row>
        <row r="51">
          <cell r="A51">
            <v>362</v>
          </cell>
          <cell r="B51">
            <v>85.29</v>
          </cell>
          <cell r="C51">
            <v>53.87</v>
          </cell>
        </row>
        <row r="52">
          <cell r="A52">
            <v>363</v>
          </cell>
          <cell r="B52">
            <v>65.400000000000006</v>
          </cell>
          <cell r="C52">
            <v>41.31</v>
          </cell>
        </row>
        <row r="53">
          <cell r="A53">
            <v>364</v>
          </cell>
          <cell r="B53">
            <v>90.53</v>
          </cell>
          <cell r="C53">
            <v>57.18</v>
          </cell>
        </row>
        <row r="54">
          <cell r="A54">
            <v>365</v>
          </cell>
          <cell r="B54">
            <v>52.94</v>
          </cell>
          <cell r="C54">
            <v>33.44</v>
          </cell>
        </row>
        <row r="55">
          <cell r="A55">
            <v>366</v>
          </cell>
          <cell r="B55">
            <v>74.069999999999993</v>
          </cell>
          <cell r="C55">
            <v>46.78</v>
          </cell>
        </row>
        <row r="56">
          <cell r="A56">
            <v>367</v>
          </cell>
          <cell r="B56">
            <v>69.760000000000005</v>
          </cell>
          <cell r="C56">
            <v>44.06</v>
          </cell>
        </row>
        <row r="57">
          <cell r="A57">
            <v>368</v>
          </cell>
          <cell r="B57">
            <v>62.02</v>
          </cell>
          <cell r="C57">
            <v>39.17</v>
          </cell>
        </row>
        <row r="58">
          <cell r="A58">
            <v>369</v>
          </cell>
          <cell r="B58">
            <v>61.67</v>
          </cell>
          <cell r="C58">
            <v>38.950000000000003</v>
          </cell>
        </row>
        <row r="59">
          <cell r="A59">
            <v>370</v>
          </cell>
          <cell r="B59">
            <v>68.86</v>
          </cell>
          <cell r="C59">
            <v>43.49</v>
          </cell>
        </row>
        <row r="60">
          <cell r="A60">
            <v>371</v>
          </cell>
          <cell r="B60">
            <v>76.12</v>
          </cell>
          <cell r="C60">
            <v>48.08</v>
          </cell>
        </row>
        <row r="61">
          <cell r="A61">
            <v>372</v>
          </cell>
          <cell r="B61">
            <v>71.58</v>
          </cell>
          <cell r="C61">
            <v>45.21</v>
          </cell>
        </row>
        <row r="62">
          <cell r="A62">
            <v>373</v>
          </cell>
          <cell r="B62">
            <v>80.08</v>
          </cell>
          <cell r="C62">
            <v>50.58</v>
          </cell>
        </row>
        <row r="63">
          <cell r="A63">
            <v>374</v>
          </cell>
          <cell r="B63">
            <v>42.48</v>
          </cell>
          <cell r="C63">
            <v>26.83</v>
          </cell>
        </row>
        <row r="64">
          <cell r="A64">
            <v>449</v>
          </cell>
          <cell r="B64">
            <v>66.66</v>
          </cell>
          <cell r="C64">
            <v>42.1</v>
          </cell>
        </row>
        <row r="65">
          <cell r="A65">
            <v>450</v>
          </cell>
          <cell r="B65">
            <v>62.73</v>
          </cell>
          <cell r="C65">
            <v>39.619999999999997</v>
          </cell>
        </row>
        <row r="66">
          <cell r="A66">
            <v>451</v>
          </cell>
          <cell r="B66">
            <v>59.06</v>
          </cell>
          <cell r="C66">
            <v>37.299999999999997</v>
          </cell>
        </row>
        <row r="67">
          <cell r="A67">
            <v>452</v>
          </cell>
          <cell r="B67">
            <v>121.41</v>
          </cell>
          <cell r="C67">
            <v>76.680000000000007</v>
          </cell>
        </row>
        <row r="68">
          <cell r="A68">
            <v>453</v>
          </cell>
          <cell r="B68">
            <v>108.45</v>
          </cell>
          <cell r="C68">
            <v>68.5</v>
          </cell>
        </row>
        <row r="69">
          <cell r="A69">
            <v>454</v>
          </cell>
          <cell r="B69">
            <v>81.489999999999995</v>
          </cell>
          <cell r="C69">
            <v>51.47</v>
          </cell>
        </row>
        <row r="70">
          <cell r="A70">
            <v>455</v>
          </cell>
          <cell r="B70">
            <v>82.46</v>
          </cell>
          <cell r="C70">
            <v>52.08</v>
          </cell>
        </row>
        <row r="71">
          <cell r="A71">
            <v>456</v>
          </cell>
          <cell r="B71">
            <v>94.27</v>
          </cell>
          <cell r="C71">
            <v>59.54</v>
          </cell>
        </row>
        <row r="72">
          <cell r="A72">
            <v>457</v>
          </cell>
          <cell r="B72">
            <v>88.5</v>
          </cell>
          <cell r="C72">
            <v>55.9</v>
          </cell>
        </row>
        <row r="73">
          <cell r="A73">
            <v>458</v>
          </cell>
          <cell r="B73">
            <v>111.18</v>
          </cell>
          <cell r="C73">
            <v>70.22</v>
          </cell>
        </row>
        <row r="74">
          <cell r="A74">
            <v>459</v>
          </cell>
          <cell r="B74">
            <v>94.98</v>
          </cell>
          <cell r="C74">
            <v>59.99</v>
          </cell>
        </row>
        <row r="75">
          <cell r="A75">
            <v>460</v>
          </cell>
          <cell r="B75">
            <v>91.86</v>
          </cell>
          <cell r="C75">
            <v>58.02</v>
          </cell>
        </row>
        <row r="76">
          <cell r="A76">
            <v>461</v>
          </cell>
          <cell r="B76">
            <v>85.29</v>
          </cell>
          <cell r="C76">
            <v>53.87</v>
          </cell>
        </row>
        <row r="77">
          <cell r="A77">
            <v>462</v>
          </cell>
          <cell r="B77">
            <v>65.400000000000006</v>
          </cell>
          <cell r="C77">
            <v>41.31</v>
          </cell>
        </row>
        <row r="78">
          <cell r="A78">
            <v>463</v>
          </cell>
          <cell r="B78">
            <v>79.59</v>
          </cell>
          <cell r="C78">
            <v>50.27</v>
          </cell>
        </row>
        <row r="79">
          <cell r="A79">
            <v>464</v>
          </cell>
          <cell r="B79">
            <v>52.94</v>
          </cell>
          <cell r="C79">
            <v>33.44</v>
          </cell>
        </row>
        <row r="80">
          <cell r="A80">
            <v>465</v>
          </cell>
          <cell r="B80">
            <v>77.44</v>
          </cell>
          <cell r="C80">
            <v>48.91</v>
          </cell>
        </row>
        <row r="81">
          <cell r="A81">
            <v>466</v>
          </cell>
          <cell r="B81">
            <v>72.48</v>
          </cell>
          <cell r="C81">
            <v>45.78</v>
          </cell>
        </row>
        <row r="82">
          <cell r="A82">
            <v>467</v>
          </cell>
          <cell r="B82">
            <v>64.31</v>
          </cell>
          <cell r="C82">
            <v>40.619999999999997</v>
          </cell>
        </row>
        <row r="83">
          <cell r="A83">
            <v>468</v>
          </cell>
          <cell r="B83">
            <v>64.31</v>
          </cell>
          <cell r="C83">
            <v>40.619999999999997</v>
          </cell>
        </row>
        <row r="84">
          <cell r="A84">
            <v>469</v>
          </cell>
          <cell r="B84">
            <v>68.86</v>
          </cell>
          <cell r="C84">
            <v>43.49</v>
          </cell>
        </row>
        <row r="85">
          <cell r="A85">
            <v>470</v>
          </cell>
          <cell r="B85">
            <v>76.12</v>
          </cell>
          <cell r="C85">
            <v>48.08</v>
          </cell>
        </row>
        <row r="86">
          <cell r="A86">
            <v>471</v>
          </cell>
          <cell r="B86">
            <v>71.58</v>
          </cell>
          <cell r="C86">
            <v>45.21</v>
          </cell>
        </row>
        <row r="87">
          <cell r="A87">
            <v>472</v>
          </cell>
          <cell r="B87">
            <v>80.08</v>
          </cell>
          <cell r="C87">
            <v>50.58</v>
          </cell>
        </row>
        <row r="88">
          <cell r="A88">
            <v>473</v>
          </cell>
          <cell r="B88">
            <v>43.33</v>
          </cell>
          <cell r="C88">
            <v>27.37</v>
          </cell>
        </row>
        <row r="89">
          <cell r="A89">
            <v>549</v>
          </cell>
          <cell r="B89">
            <v>73.459999999999994</v>
          </cell>
          <cell r="C89">
            <v>46.4</v>
          </cell>
        </row>
        <row r="90">
          <cell r="A90">
            <v>550</v>
          </cell>
          <cell r="B90">
            <v>69.14</v>
          </cell>
          <cell r="C90">
            <v>43.67</v>
          </cell>
        </row>
        <row r="91">
          <cell r="A91">
            <v>551</v>
          </cell>
          <cell r="B91">
            <v>62.24</v>
          </cell>
          <cell r="C91">
            <v>39.31</v>
          </cell>
        </row>
        <row r="92">
          <cell r="A92">
            <v>552</v>
          </cell>
          <cell r="B92">
            <v>100.85</v>
          </cell>
          <cell r="C92">
            <v>63.7</v>
          </cell>
        </row>
        <row r="93">
          <cell r="A93">
            <v>553</v>
          </cell>
          <cell r="B93">
            <v>77.44</v>
          </cell>
          <cell r="C93">
            <v>48.91</v>
          </cell>
        </row>
        <row r="94">
          <cell r="A94">
            <v>554</v>
          </cell>
          <cell r="B94">
            <v>72.48</v>
          </cell>
          <cell r="C94">
            <v>45.78</v>
          </cell>
        </row>
        <row r="95">
          <cell r="A95">
            <v>555</v>
          </cell>
          <cell r="B95">
            <v>64.31</v>
          </cell>
          <cell r="C95">
            <v>40.619999999999997</v>
          </cell>
        </row>
        <row r="96">
          <cell r="A96">
            <v>556</v>
          </cell>
          <cell r="B96">
            <v>64.31</v>
          </cell>
          <cell r="C96">
            <v>40.619999999999997</v>
          </cell>
        </row>
        <row r="97">
          <cell r="A97">
            <v>557</v>
          </cell>
          <cell r="B97">
            <v>74.48</v>
          </cell>
          <cell r="C97">
            <v>47.04</v>
          </cell>
        </row>
        <row r="98">
          <cell r="A98">
            <v>558</v>
          </cell>
          <cell r="B98">
            <v>122.26</v>
          </cell>
          <cell r="C98">
            <v>77.22</v>
          </cell>
        </row>
        <row r="99">
          <cell r="A99">
            <v>559</v>
          </cell>
          <cell r="B99">
            <v>53.18</v>
          </cell>
          <cell r="C99">
            <v>33.590000000000003</v>
          </cell>
        </row>
        <row r="100">
          <cell r="A100">
            <v>560</v>
          </cell>
          <cell r="B100">
            <v>51.66</v>
          </cell>
          <cell r="C100">
            <v>32.630000000000003</v>
          </cell>
        </row>
        <row r="101">
          <cell r="A101">
            <v>649</v>
          </cell>
          <cell r="B101">
            <v>84.25</v>
          </cell>
          <cell r="C101">
            <v>53.21</v>
          </cell>
        </row>
        <row r="102">
          <cell r="A102">
            <v>650</v>
          </cell>
          <cell r="B102">
            <v>78.510000000000005</v>
          </cell>
          <cell r="C102">
            <v>49.59</v>
          </cell>
        </row>
        <row r="103">
          <cell r="A103">
            <v>651</v>
          </cell>
          <cell r="B103">
            <v>56.71</v>
          </cell>
          <cell r="C103">
            <v>35.82</v>
          </cell>
        </row>
        <row r="104">
          <cell r="A104">
            <v>652</v>
          </cell>
          <cell r="B104">
            <v>77.14</v>
          </cell>
          <cell r="C104">
            <v>48.72</v>
          </cell>
        </row>
        <row r="105">
          <cell r="A105">
            <v>653</v>
          </cell>
          <cell r="B105">
            <v>40.61</v>
          </cell>
          <cell r="C105">
            <v>25.65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估价对象为北京市房地产，为所有。根据《国有土地使用证》[]，估价对象（分摊）出让国有建设用地使用权面积为8931.74平方米，建筑面积为26196.84平方米。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估价对象为北京市房地产,属开发建设的，该项目尚在开发建设中。根据《国有土地使用证》[]，估价对象（分摊）出让国有建设用地使用权面积为8931.74平方米，规划建筑面积为26196.84平方米。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2018年5月23日（评估专业人员实地查勘之日）</v>
      </c>
    </row>
    <row r="13" spans="1:2" s="1596" customFormat="1">
      <c r="A13" s="1594" t="s">
        <v>1227</v>
      </c>
      <c r="B13" s="1595" t="str">
        <f>'预评函-1'!A18</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67356</v>
      </c>
    </row>
    <row r="21" spans="1:2" s="1596" customFormat="1">
      <c r="A21" s="1594" t="s">
        <v>1235</v>
      </c>
      <c r="B21" s="1595">
        <f ca="1">'预评函-2'!D7</f>
        <v>25711</v>
      </c>
    </row>
    <row r="22" spans="1:2" s="1596" customFormat="1">
      <c r="A22" s="1594" t="s">
        <v>1236</v>
      </c>
      <c r="B22" s="1595" t="str">
        <f ca="1">'预评函-2'!D6</f>
        <v>陆亿柒仟叁佰伍拾陆万元整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67356</v>
      </c>
    </row>
    <row r="31" spans="1:2" s="1596" customFormat="1">
      <c r="A31" s="1594" t="s">
        <v>1274</v>
      </c>
      <c r="B31" s="1595">
        <f ca="1">'预评函-2'!D15</f>
        <v>25711</v>
      </c>
    </row>
    <row r="32" spans="1:2" s="1596" customFormat="1">
      <c r="A32" s="1594" t="s">
        <v>1241</v>
      </c>
      <c r="B32" s="1595" t="str">
        <f ca="1">'预评函-2'!D14</f>
        <v>陆亿柒仟叁佰伍拾陆万元整</v>
      </c>
    </row>
    <row r="33" spans="1:2" s="1596" customFormat="1">
      <c r="A33" s="1594" t="s">
        <v>1276</v>
      </c>
      <c r="B33" s="1595" t="str">
        <f>'预评函-2'!B16</f>
        <v>4.抵押担保权已注销时的房地产抵押价值</v>
      </c>
    </row>
    <row r="34" spans="1:2" s="1596" customFormat="1">
      <c r="A34" s="1594" t="s">
        <v>1294</v>
      </c>
      <c r="B34" s="1595">
        <f ca="1">'预评函-2'!D16</f>
        <v>67356</v>
      </c>
    </row>
    <row r="35" spans="1:2" s="1596" customFormat="1">
      <c r="A35" s="1594" t="s">
        <v>1275</v>
      </c>
      <c r="B35" s="1595">
        <f ca="1">'预评函-2'!D18</f>
        <v>25711</v>
      </c>
    </row>
    <row r="36" spans="1:2" s="1596" customFormat="1">
      <c r="A36" s="1594" t="s">
        <v>1242</v>
      </c>
      <c r="B36" s="1595" t="str">
        <f ca="1">'预评函-2'!D17</f>
        <v>陆亿柒仟叁佰伍拾陆万元整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26196.840000000004</v>
      </c>
    </row>
    <row r="44" spans="1:2" s="1596" customFormat="1">
      <c r="A44" s="1594" t="s">
        <v>1273</v>
      </c>
      <c r="B44" s="1595" t="str">
        <f>'预评函-3'!C2</f>
        <v>(分摊)土地面积</v>
      </c>
    </row>
    <row r="45" spans="1:2" s="1596" customFormat="1">
      <c r="A45" s="1594" t="s">
        <v>1245</v>
      </c>
      <c r="B45" s="1595">
        <f>'预评函-3'!C4</f>
        <v>8931.74</v>
      </c>
    </row>
    <row r="46" spans="1:2" s="1596" customFormat="1">
      <c r="A46" s="1594" t="s">
        <v>1271</v>
      </c>
      <c r="B46" s="1595" t="str">
        <f>'预评函-3'!D2</f>
        <v>出让国有建设用地使用权价值</v>
      </c>
    </row>
    <row r="47" spans="1:2" s="1596" customFormat="1">
      <c r="A47" s="1594" t="s">
        <v>1246</v>
      </c>
      <c r="B47" s="1595">
        <f ca="1">'预评函-3'!D4</f>
        <v>56108</v>
      </c>
    </row>
    <row r="48" spans="1:2" s="1596" customFormat="1">
      <c r="A48" s="1594" t="s">
        <v>1247</v>
      </c>
      <c r="B48" s="1595">
        <f ca="1">'预评函-3'!E4</f>
        <v>21417</v>
      </c>
    </row>
    <row r="49" spans="1:2" s="1596" customFormat="1">
      <c r="A49" s="1594" t="s">
        <v>1248</v>
      </c>
      <c r="B49" s="1595" t="str">
        <f ca="1">'预评函-3'!D5</f>
        <v>伍亿陆仟壹佰零捌万元整</v>
      </c>
    </row>
    <row r="50" spans="1:2" s="1596" customFormat="1">
      <c r="A50" s="1594" t="s">
        <v>1272</v>
      </c>
      <c r="B50" s="1595" t="str">
        <f>'预评函-3'!F2</f>
        <v>在建建筑物价值</v>
      </c>
    </row>
    <row r="51" spans="1:2" s="1596" customFormat="1">
      <c r="A51" s="1594" t="s">
        <v>1249</v>
      </c>
      <c r="B51" s="1595">
        <f ca="1">'预评函-3'!F4</f>
        <v>11248</v>
      </c>
    </row>
    <row r="52" spans="1:2" s="1596" customFormat="1">
      <c r="A52" s="1594" t="s">
        <v>1250</v>
      </c>
      <c r="B52" s="1595">
        <f ca="1">'预评函-3'!G4</f>
        <v>4294</v>
      </c>
    </row>
    <row r="53" spans="1:2" s="1596" customFormat="1">
      <c r="A53" s="1594" t="s">
        <v>1278</v>
      </c>
      <c r="B53" s="1595" t="str">
        <f ca="1">'预评函-3'!F5</f>
        <v>壹亿壹仟贰佰肆拾捌万元整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3693</v>
      </c>
      <c r="C17" s="2018"/>
    </row>
    <row r="18" spans="1:3">
      <c r="A18" s="2017" t="s">
        <v>1767</v>
      </c>
      <c r="B18" s="2017" t="s">
        <v>3695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8"/>
      <c r="B54" s="2025" t="s">
        <v>864</v>
      </c>
      <c r="C54" s="2022" t="s">
        <v>1281</v>
      </c>
    </row>
    <row r="55" spans="1:4">
      <c r="A55" s="3058"/>
      <c r="B55" s="2025" t="s">
        <v>865</v>
      </c>
      <c r="C55" s="2022" t="s">
        <v>1282</v>
      </c>
    </row>
    <row r="56" spans="1:4">
      <c r="A56" s="3058"/>
      <c r="B56" s="2025" t="s">
        <v>866</v>
      </c>
      <c r="C56" s="2022" t="s">
        <v>1286</v>
      </c>
    </row>
    <row r="57" spans="1:4">
      <c r="A57" s="305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67" t="str">
        <f>IF(B10="北京市","北京市",C10)&amp;F10&amp;IF(结果表!G1="在建","出让国有建设用地使用权及在建建筑物",IF(结果表!G1="土地","出让国有建设用地使用权",))&amp;B9&amp;"预评估"</f>
        <v>北京市房地产抵押价值预评估</v>
      </c>
      <c r="C1" s="3068"/>
      <c r="D1" s="3068"/>
      <c r="E1" s="3068"/>
      <c r="F1" s="3068"/>
      <c r="G1" s="3068"/>
      <c r="H1" s="3068"/>
      <c r="I1" s="306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43243</v>
      </c>
      <c r="C3" s="2040" t="s">
        <v>1779</v>
      </c>
      <c r="D3" s="2039">
        <v>43243</v>
      </c>
      <c r="E3" s="2029"/>
      <c r="F3" s="2029"/>
      <c r="G3" s="2029"/>
      <c r="H3" s="2029"/>
      <c r="I3" s="2029"/>
      <c r="J3" s="2029"/>
      <c r="K3" s="2030"/>
      <c r="L3" s="2031"/>
      <c r="M3" s="2031"/>
      <c r="N3" s="2032"/>
      <c r="O3" s="2033"/>
      <c r="P3" s="2032"/>
      <c r="Q3" s="2032"/>
      <c r="R3" s="2032"/>
      <c r="S3" s="2034"/>
    </row>
    <row r="4" spans="1:19" ht="18" customHeight="1" thickBot="1">
      <c r="A4" s="2041" t="s">
        <v>1780</v>
      </c>
      <c r="B4" s="2042" t="s">
        <v>3684</v>
      </c>
      <c r="C4" s="1040">
        <f ca="1">SUMIF(注册房地产估价师,B4,估价师及机构信息!B3:B24)</f>
        <v>1419970001</v>
      </c>
      <c r="D4" s="2042" t="s">
        <v>3685</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3686</v>
      </c>
      <c r="C8" s="2059"/>
      <c r="D8" s="3070" t="s">
        <v>1785</v>
      </c>
      <c r="E8" s="2060" t="s">
        <v>3688</v>
      </c>
      <c r="F8" s="2061"/>
      <c r="G8" s="2029"/>
      <c r="H8" s="2029"/>
      <c r="I8" s="2029"/>
      <c r="J8" s="2045"/>
      <c r="K8" s="2046"/>
      <c r="L8" s="2031"/>
      <c r="M8" s="2031"/>
      <c r="N8" s="2032"/>
      <c r="O8" s="2033"/>
      <c r="P8" s="2032"/>
      <c r="Q8" s="2032"/>
      <c r="R8" s="2032"/>
    </row>
    <row r="9" spans="1:19" ht="18" customHeight="1" thickBot="1">
      <c r="A9" s="2043" t="s">
        <v>1786</v>
      </c>
      <c r="B9" s="2062" t="s">
        <v>3687</v>
      </c>
      <c r="C9" s="2063"/>
      <c r="D9" s="3071"/>
      <c r="E9" s="2062" t="s">
        <v>70</v>
      </c>
      <c r="F9" s="2064"/>
      <c r="G9" s="2065"/>
      <c r="H9" s="2065"/>
      <c r="I9" s="2065"/>
      <c r="J9" s="2045"/>
      <c r="K9" s="2057"/>
      <c r="L9" s="2031"/>
      <c r="M9" s="2031"/>
      <c r="N9" s="2032"/>
      <c r="O9" s="2033"/>
      <c r="P9" s="2032"/>
      <c r="Q9" s="2032"/>
      <c r="R9" s="2032"/>
    </row>
    <row r="10" spans="1:19" ht="18" customHeight="1" thickTop="1">
      <c r="A10" s="2066" t="s">
        <v>1787</v>
      </c>
      <c r="B10" s="2067" t="s">
        <v>3690</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3691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3689</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56625</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36.659999999999997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77" t="s">
        <v>3696</v>
      </c>
      <c r="C16" s="3078"/>
      <c r="D16" s="3079"/>
      <c r="E16" s="2089" t="s">
        <v>1802</v>
      </c>
      <c r="F16" s="3080" t="s">
        <v>3697</v>
      </c>
      <c r="G16" s="3081"/>
      <c r="H16" s="3081"/>
      <c r="I16" s="3082"/>
      <c r="J16" s="2032"/>
      <c r="K16" s="2086"/>
      <c r="L16" s="2087"/>
      <c r="M16" s="2087"/>
      <c r="N16" s="2088"/>
      <c r="O16" s="2087"/>
      <c r="P16" s="2088"/>
      <c r="Q16" s="2032"/>
      <c r="R16" s="2032"/>
    </row>
    <row r="17" spans="1:22" ht="18" customHeight="1">
      <c r="A17" s="2090" t="s">
        <v>1803</v>
      </c>
      <c r="B17" s="2038" t="s">
        <v>1804</v>
      </c>
      <c r="C17" s="1057">
        <f>'数据-汇总表'!E3</f>
        <v>26196.840000000004</v>
      </c>
      <c r="D17" s="2091" t="s">
        <v>1805</v>
      </c>
      <c r="E17" s="3083" t="s">
        <v>3698</v>
      </c>
      <c r="F17" s="3084"/>
      <c r="G17" s="3084"/>
      <c r="H17" s="3084"/>
      <c r="I17" s="3085"/>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8931.74</v>
      </c>
      <c r="D18" s="2094" t="s">
        <v>1805</v>
      </c>
      <c r="E18" s="3086" t="s">
        <v>1808</v>
      </c>
      <c r="F18" s="3087"/>
      <c r="G18" s="3087"/>
      <c r="H18" s="3087"/>
      <c r="I18" s="3088"/>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3699</v>
      </c>
      <c r="D19" s="2096" t="s">
        <v>1811</v>
      </c>
      <c r="E19" s="2097" t="s">
        <v>3700</v>
      </c>
      <c r="F19" s="2098" t="str">
        <f>IF(AND(C19="是",E19="否"),"是否提供他项权证或相关说明","")</f>
        <v>是否提供他项权证或相关说明</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73" t="s">
        <v>1813</v>
      </c>
      <c r="C20" s="3074"/>
      <c r="D20" s="3075" t="s">
        <v>1814</v>
      </c>
      <c r="E20" s="3076"/>
      <c r="F20" s="2101" t="s">
        <v>1815</v>
      </c>
      <c r="G20" s="2045"/>
      <c r="H20" s="2045"/>
      <c r="I20" s="2045"/>
      <c r="J20" s="2045"/>
      <c r="K20" s="3072"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3701</v>
      </c>
      <c r="D21" s="2104" t="s">
        <v>1818</v>
      </c>
      <c r="E21" s="2105" t="s">
        <v>3701</v>
      </c>
      <c r="F21" s="2106"/>
      <c r="G21" s="2045"/>
      <c r="H21" s="2045"/>
      <c r="I21" s="2045"/>
      <c r="J21" s="2045"/>
      <c r="K21" s="307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7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60"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60"/>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60"/>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61"/>
      <c r="B30" s="2038" t="s">
        <v>1831</v>
      </c>
      <c r="C30" s="3062"/>
      <c r="D30" s="306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64"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6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6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3702</v>
      </c>
      <c r="C34" s="2137" t="s">
        <v>3703</v>
      </c>
      <c r="D34" s="2137" t="s">
        <v>3704</v>
      </c>
      <c r="E34" s="2137" t="s">
        <v>3705</v>
      </c>
      <c r="F34" s="2137" t="s">
        <v>3706</v>
      </c>
      <c r="G34" s="2137" t="s">
        <v>3707</v>
      </c>
      <c r="H34" s="2137" t="s">
        <v>3708</v>
      </c>
      <c r="I34" s="2045"/>
      <c r="J34" s="2045"/>
      <c r="K34" s="1798">
        <f>COUNTIF(B34:H34,"——")</f>
        <v>0</v>
      </c>
      <c r="L34" s="2078" t="s">
        <v>1834</v>
      </c>
      <c r="M34" s="2078" t="s">
        <v>1835</v>
      </c>
      <c r="N34" s="2078" t="s">
        <v>1836</v>
      </c>
      <c r="O34" s="2078" t="s">
        <v>1837</v>
      </c>
      <c r="P34" s="2078" t="s">
        <v>1838</v>
      </c>
      <c r="Q34" s="2078" t="s">
        <v>1839</v>
      </c>
      <c r="R34" s="2078" t="s">
        <v>1840</v>
      </c>
      <c r="S34" s="3059" t="s">
        <v>1841</v>
      </c>
      <c r="T34" s="2138" t="str">
        <f>NUMBERSTRING(7-K34,1)&amp;"通"</f>
        <v>七通</v>
      </c>
      <c r="U34" s="2032"/>
      <c r="V34" s="2032"/>
    </row>
    <row r="35" spans="1:22" ht="18" customHeight="1">
      <c r="A35" s="2139"/>
      <c r="B35" s="3066" t="s">
        <v>1842</v>
      </c>
      <c r="C35" s="3066"/>
      <c r="D35" s="3066"/>
      <c r="E35" s="3066"/>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9"/>
      <c r="T35" s="48" t="str">
        <f>IF(T34="一通",L35,IF(T34="二通",M35,IF(T34="三通",N35,IF(T34="四通",O35,IF(T34="五通",P35,IF(T34="六通",Q35,R35))))))</f>
        <v>通路、通电、通讯、通上水、通下水、通热、燃气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523</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336</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面积清单!I2</f>
        <v>8931.74</v>
      </c>
      <c r="B3" s="14">
        <f>IF(C3="否",G5-AT5,G5)</f>
        <v>26196.840000000004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26196.840000000004</v>
      </c>
      <c r="H5" s="16">
        <f t="shared" ref="H5:AT5" si="0">SUM(H13:H656)</f>
        <v>26196.840000000004</v>
      </c>
      <c r="I5" s="16">
        <f t="shared" si="0"/>
        <v>459.64</v>
      </c>
      <c r="J5" s="16">
        <f t="shared" si="0"/>
        <v>0</v>
      </c>
      <c r="K5" s="16">
        <f t="shared" si="0"/>
        <v>21831.640000000003</v>
      </c>
      <c r="L5" s="16">
        <f t="shared" si="0"/>
        <v>0</v>
      </c>
      <c r="M5" s="16">
        <f t="shared" si="0"/>
        <v>3905.5599999999995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26196.840000000004</v>
      </c>
      <c r="BA5" s="18">
        <f t="shared" si="1"/>
        <v>26196.840000000004</v>
      </c>
      <c r="BB5" s="18">
        <f t="shared" si="1"/>
        <v>459.64</v>
      </c>
      <c r="BC5" s="18">
        <f t="shared" si="1"/>
        <v>21831.640000000003</v>
      </c>
      <c r="BD5" s="18">
        <f t="shared" si="1"/>
        <v>3905.5599999999995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8931.74</v>
      </c>
      <c r="F6" s="16" t="s">
        <v>1</v>
      </c>
      <c r="G6" s="16" t="s">
        <v>2</v>
      </c>
      <c r="H6" s="20">
        <f>SUMIF(I$12:AB$12,"总值",I6:AB6)</f>
        <v>8931.74</v>
      </c>
      <c r="I6" s="16">
        <f t="shared" ref="I6:AB6" si="2">ROUND($A$3*I5/$B$3,2)</f>
        <v>156.71</v>
      </c>
      <c r="J6" s="16">
        <f t="shared" si="2"/>
        <v>0</v>
      </c>
      <c r="K6" s="16">
        <f t="shared" si="2"/>
        <v>7443.44</v>
      </c>
      <c r="L6" s="16">
        <f t="shared" si="2"/>
        <v>0</v>
      </c>
      <c r="M6" s="16">
        <f t="shared" si="2"/>
        <v>1331.59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8931.74</v>
      </c>
      <c r="AZ6" s="16" t="s">
        <v>3</v>
      </c>
      <c r="BA6" s="16">
        <f>ROUND($AY$6*BA5/$AZ$5,2)</f>
        <v>8931.74</v>
      </c>
      <c r="BB6" s="16">
        <f>ROUND($AY$6*BB5/$AZ$5,2)</f>
        <v>156.71</v>
      </c>
      <c r="BC6" s="16">
        <f t="shared" ref="BC6:BH6" si="4">ROUND($AY$6*BC5/$AZ$5,2)</f>
        <v>7443.44</v>
      </c>
      <c r="BD6" s="16">
        <f t="shared" si="4"/>
        <v>1331.59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3715</v>
      </c>
      <c r="J9" s="984"/>
      <c r="K9" s="2195" t="s">
        <v>3715</v>
      </c>
      <c r="L9" s="984"/>
      <c r="M9" s="2195" t="s">
        <v>3718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1377</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3716</v>
      </c>
      <c r="J11" s="2207"/>
      <c r="K11" s="2206" t="s">
        <v>3717</v>
      </c>
      <c r="L11" s="2207"/>
      <c r="M11" s="2206" t="s">
        <v>3716</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底商</v>
      </c>
      <c r="BC12" s="2216" t="str">
        <f>K11</f>
        <v>办公楼</v>
      </c>
      <c r="BD12" s="2216" t="str">
        <f>M11</f>
        <v>底商</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0" t="s">
        <v>3712</v>
      </c>
      <c r="D13" s="2217" t="s">
        <v>3699</v>
      </c>
      <c r="E13" s="16">
        <f>IF($C$3="是",ROUND($A$3*G13/$B$3,2),ROUND($A$3*(G13-AT13)/$B$3,2))</f>
        <v>156.71</v>
      </c>
      <c r="F13" s="32"/>
      <c r="G13" s="33">
        <f>H13+AC13+AT13</f>
        <v>459.64</v>
      </c>
      <c r="H13" s="20">
        <f>SUMIF(I$12:AB$12,"总值",I13:AB13)</f>
        <v>459.64</v>
      </c>
      <c r="I13" s="2218">
        <f>面积清单!I9</f>
        <v>459.64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地上商业</v>
      </c>
      <c r="AY13" s="1809">
        <f>ROUND($AY$6*AZ13/$AZ$5,2)</f>
        <v>156.71</v>
      </c>
      <c r="AZ13" s="16">
        <f>BA13+BL13</f>
        <v>459.64</v>
      </c>
      <c r="BA13" s="16">
        <f>SUM(BB13:BK13)</f>
        <v>459.64</v>
      </c>
      <c r="BB13" s="16">
        <f>IF($D13="是",I13-J13,0)</f>
        <v>459.64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1" t="s">
        <v>3713</v>
      </c>
      <c r="D14" s="2217" t="s">
        <v>3699</v>
      </c>
      <c r="E14" s="16">
        <f>IF($C$3="是",ROUND($A$3*G14/$B$3,2),ROUND($A$3*(G14-AT14)/$B$3,2))</f>
        <v>7443.44</v>
      </c>
      <c r="F14" s="32"/>
      <c r="G14" s="33">
        <f>H14+AC14+AT14</f>
        <v>21831.640000000003</v>
      </c>
      <c r="H14" s="20">
        <f>SUMIF(I$12:AB$12,"总值",I14:AB14)</f>
        <v>21831.640000000003</v>
      </c>
      <c r="I14" s="2218"/>
      <c r="J14" s="2218"/>
      <c r="K14" s="2218">
        <f>面积清单!I15</f>
        <v>21831.640000000003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地上办公</v>
      </c>
      <c r="AY14" s="1809">
        <f>ROUND($AY$6*AZ14/$AZ$5,2)</f>
        <v>7443.44</v>
      </c>
      <c r="AZ14" s="16">
        <f>BA14+BL14</f>
        <v>21831.640000000003</v>
      </c>
      <c r="BA14" s="16">
        <f>SUM(BB14:BK14)</f>
        <v>21831.640000000003</v>
      </c>
      <c r="BB14" s="16">
        <f>IF($D14="是",I14-J14,0)</f>
        <v>0</v>
      </c>
      <c r="BC14" s="16">
        <f>IF($D14="是",K14-L14,0)</f>
        <v>21831.640000000003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81" t="s">
        <v>3714</v>
      </c>
      <c r="D15" s="2217" t="s">
        <v>3699</v>
      </c>
      <c r="E15" s="16">
        <f>IF($C$3="是",ROUND($A$3*G15/$B$3,2),ROUND($A$3*(G15-AT15)/$B$3,2))</f>
        <v>1331.59</v>
      </c>
      <c r="F15" s="32"/>
      <c r="G15" s="33">
        <f>H15+AC15+AT15</f>
        <v>3905.5599999999995</v>
      </c>
      <c r="H15" s="20">
        <f>SUMIF(I$12:AB$12,"总值",I15:AB15)</f>
        <v>3905.5599999999995</v>
      </c>
      <c r="I15" s="2218"/>
      <c r="J15" s="2218"/>
      <c r="K15" s="2218"/>
      <c r="L15" s="2218"/>
      <c r="M15" s="2218">
        <f>面积清单!I7</f>
        <v>3905.5599999999995</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v>
      </c>
      <c r="AY15" s="1809">
        <f>ROUND($AY$6*AZ15/$AZ$5,2)</f>
        <v>1331.59</v>
      </c>
      <c r="AZ15" s="16">
        <f>BA15+BL15</f>
        <v>3905.5599999999995</v>
      </c>
      <c r="BA15" s="16">
        <f>SUM(BB15:BK15)</f>
        <v>3905.5599999999995</v>
      </c>
      <c r="BB15" s="16">
        <f>IF($D15="是",I15-J15,0)</f>
        <v>0</v>
      </c>
      <c r="BC15" s="16">
        <f>IF($D15="是",K15-L15,0)</f>
        <v>0</v>
      </c>
      <c r="BD15" s="16">
        <f>IF($D15="是",M15-N15,0)</f>
        <v>3905.5599999999995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100" t="s">
        <v>1938</v>
      </c>
      <c r="B2" s="3100"/>
      <c r="C2" s="3100"/>
      <c r="D2" s="970" t="s">
        <v>1914</v>
      </c>
      <c r="E2" s="2231" t="s">
        <v>1915</v>
      </c>
      <c r="F2" s="1395"/>
      <c r="G2" s="2232"/>
      <c r="H2" s="2233"/>
      <c r="I2" s="2234" t="s">
        <v>1939</v>
      </c>
      <c r="J2" s="1395"/>
      <c r="K2" s="1395"/>
      <c r="L2" s="1395"/>
      <c r="M2" s="1395"/>
      <c r="N2" s="1430"/>
      <c r="O2" s="1395"/>
      <c r="P2" s="1395"/>
    </row>
    <row r="3" spans="1:16" ht="15.75" thickBot="1">
      <c r="A3" s="3101" t="s">
        <v>1912</v>
      </c>
      <c r="B3" s="3101"/>
      <c r="C3" s="3101"/>
      <c r="D3" s="46">
        <f>'数据-基础表'!AY6</f>
        <v>8931.74</v>
      </c>
      <c r="E3" s="46">
        <f>'数据-基础表'!AZ5</f>
        <v>26196.840000000004</v>
      </c>
      <c r="F3" s="1395"/>
      <c r="G3" s="1402"/>
      <c r="H3" s="1250" t="s">
        <v>1913</v>
      </c>
      <c r="I3" s="55">
        <f>ROUND('数据-基础表'!B3/'数据-基础表'!A3,2)</f>
        <v>2.93</v>
      </c>
      <c r="J3" s="1395"/>
      <c r="K3" s="1395"/>
      <c r="L3" s="1395"/>
      <c r="M3" s="1395"/>
      <c r="N3" s="1430"/>
      <c r="O3" s="1395"/>
      <c r="P3" s="1395"/>
    </row>
    <row r="4" spans="1:16" ht="15">
      <c r="A4" s="3102"/>
      <c r="B4" s="3103"/>
      <c r="C4" s="3104"/>
      <c r="D4" s="2235" t="s">
        <v>1914</v>
      </c>
      <c r="E4" s="2236" t="s">
        <v>1915</v>
      </c>
      <c r="F4" s="1395"/>
      <c r="G4" s="2237" t="s">
        <v>1940</v>
      </c>
      <c r="H4" s="1250" t="s">
        <v>1920</v>
      </c>
      <c r="I4" s="55">
        <f>ROUND(SUMIF('数据-基础表'!I9:AS9,"地上",'数据-基础表'!I5:AS5)/'数据-基础表'!A3,2)</f>
        <v>2.5</v>
      </c>
      <c r="J4" s="1395"/>
      <c r="K4" s="1395"/>
      <c r="L4" s="1395"/>
      <c r="M4" s="1395"/>
      <c r="N4" s="1430"/>
      <c r="O4" s="1395"/>
      <c r="P4" s="1395"/>
    </row>
    <row r="5" spans="1:16">
      <c r="A5" s="47" t="s">
        <v>1916</v>
      </c>
      <c r="B5" s="3105" t="s">
        <v>1917</v>
      </c>
      <c r="C5" s="3105"/>
      <c r="D5" s="48">
        <f>ROUND($D$3*E5/$E$3,2)</f>
        <v>0</v>
      </c>
      <c r="E5" s="49">
        <f>SUMIF('数据-基础表'!$11:$11,"住宅",'数据-基础表'!$5:$5)</f>
        <v>0</v>
      </c>
      <c r="F5" s="1395"/>
      <c r="G5" s="1402"/>
      <c r="H5" s="1250" t="s">
        <v>1913</v>
      </c>
      <c r="I5" s="55">
        <f>ROUND(E31/D31,2)</f>
        <v>2.93</v>
      </c>
      <c r="J5" s="1395"/>
      <c r="K5" s="1395"/>
      <c r="L5" s="1395"/>
      <c r="M5" s="1395"/>
      <c r="N5" s="1395"/>
      <c r="O5" s="1395"/>
      <c r="P5" s="1395"/>
    </row>
    <row r="6" spans="1:16" ht="15" thickBot="1">
      <c r="A6" s="2238"/>
      <c r="B6" s="3105" t="s">
        <v>1918</v>
      </c>
      <c r="C6" s="3105"/>
      <c r="D6" s="48">
        <f>ROUND($D$3*E6/$E$3,2)</f>
        <v>8931.74</v>
      </c>
      <c r="E6" s="49">
        <f>E3-E5</f>
        <v>26196.840000000004</v>
      </c>
      <c r="F6" s="1395"/>
      <c r="G6" s="2239" t="s">
        <v>1919</v>
      </c>
      <c r="H6" s="1402" t="s">
        <v>1920</v>
      </c>
      <c r="I6" s="942">
        <f>ROUND(F31/D31,2)</f>
        <v>2.5</v>
      </c>
      <c r="J6" s="1395"/>
      <c r="K6" s="1395"/>
      <c r="L6" s="1395"/>
      <c r="M6" s="1395"/>
      <c r="N6" s="1395"/>
      <c r="O6" s="1395"/>
      <c r="P6" s="1395"/>
    </row>
    <row r="7" spans="1:16" ht="15">
      <c r="A7" s="3097"/>
      <c r="B7" s="3098"/>
      <c r="C7" s="3099"/>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7600.15</v>
      </c>
      <c r="E8" s="51">
        <f>SUMIF('数据-基础表'!BB10:BK10,"地上",'数据-基础表'!BB5:BK5)</f>
        <v>22291.280000000002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1331.59</v>
      </c>
      <c r="E10" s="51">
        <f>SUMPRODUCT(('数据-基础表'!BB10:BK10="地下")*('数据-基础表'!BB11:BK11="商业")*('数据-基础表'!BB5:BK5))</f>
        <v>3905.5599999999995</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8931.74</v>
      </c>
      <c r="E16" s="53">
        <f>SUM(E8:E15)</f>
        <v>26196.840000000004</v>
      </c>
      <c r="F16" s="1395"/>
      <c r="G16" s="2241"/>
      <c r="H16" s="2244" t="s">
        <v>1942</v>
      </c>
      <c r="I16" s="2245"/>
      <c r="J16" s="1395"/>
      <c r="K16" s="3094" t="s">
        <v>1942</v>
      </c>
      <c r="L16" s="3095"/>
      <c r="M16" s="3095"/>
      <c r="N16" s="3095"/>
      <c r="O16" s="3095"/>
      <c r="P16" s="3096"/>
    </row>
    <row r="17" spans="1:19" ht="15">
      <c r="A17" s="2246" t="s">
        <v>1943</v>
      </c>
      <c r="B17" s="2247" t="s">
        <v>1944</v>
      </c>
      <c r="C17" s="2248" t="s">
        <v>1945</v>
      </c>
      <c r="D17" s="2249" t="s">
        <v>1933</v>
      </c>
      <c r="E17" s="2250" t="s">
        <v>1934</v>
      </c>
      <c r="F17" s="2251"/>
      <c r="G17" s="2252"/>
      <c r="H17" s="2253" t="s">
        <v>1946</v>
      </c>
      <c r="I17" s="2254" t="s">
        <v>1931</v>
      </c>
      <c r="J17" s="1395"/>
      <c r="K17" s="3091" t="s">
        <v>1947</v>
      </c>
      <c r="L17" s="3092"/>
      <c r="M17" s="3093"/>
      <c r="N17" s="3091" t="s">
        <v>1948</v>
      </c>
      <c r="O17" s="3092"/>
      <c r="P17" s="3093"/>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82" t="s">
        <v>3719</v>
      </c>
      <c r="D19" s="48">
        <f>ROUND($D$3*E19/$E$3,2)</f>
        <v>1488.3</v>
      </c>
      <c r="E19" s="56">
        <f t="shared" ref="E19:E26" si="1">SUM(F19:G19)</f>
        <v>4365.2</v>
      </c>
      <c r="F19" s="57">
        <f>'数据-基础表'!I13</f>
        <v>459.64</v>
      </c>
      <c r="G19" s="58">
        <f>'数据-基础表'!M15</f>
        <v>3905.5599999999995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1488.3</v>
      </c>
      <c r="S19" s="1251">
        <f t="shared" si="5"/>
        <v>4365.2</v>
      </c>
    </row>
    <row r="20" spans="1:19">
      <c r="A20" s="2267"/>
      <c r="B20" s="50" t="s">
        <v>1960</v>
      </c>
      <c r="C20" s="2982" t="s">
        <v>3720</v>
      </c>
      <c r="D20" s="48">
        <f t="shared" ref="D20:D26" si="6">ROUND($D$3*E20/$E$3,2)</f>
        <v>7443.44</v>
      </c>
      <c r="E20" s="56">
        <f t="shared" si="1"/>
        <v>21831.640000000003</v>
      </c>
      <c r="F20" s="57">
        <f>'数据-基础表'!K14</f>
        <v>21831.640000000003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7443.44</v>
      </c>
      <c r="S20" s="1251">
        <f t="shared" si="5"/>
        <v>21831.640000000003</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8931.74</v>
      </c>
      <c r="E27" s="1397">
        <f>IF(SUM(E19:E26)='数据-基础表'!BA5,SUM(E19:E26),IF(F27="地上面积有误","面积有误","地下面积有误"))</f>
        <v>26196.840000000004</v>
      </c>
      <c r="F27" s="1396">
        <f>IF(SUM(F19:F26)=E8,SUM(F19:F26),"地上面积有误")</f>
        <v>22291.280000000002</v>
      </c>
      <c r="G27" s="1398">
        <f>SUM(G19:G26)</f>
        <v>3905.5599999999995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8931.74</v>
      </c>
      <c r="S27" s="1250">
        <f>IF(SUM(S19:S26)=$E$3,SUM(S19:S26),SUM(S19:S26)&amp;"误差"&amp;ROUND(SUM(S19:S26)-E3,2))</f>
        <v>26196.840000000004</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8931.74</v>
      </c>
      <c r="E31" s="729">
        <f>E27+E30</f>
        <v>26196.840000000004</v>
      </c>
      <c r="F31" s="730">
        <f>F27+F30</f>
        <v>22291.280000000002</v>
      </c>
      <c r="G31" s="731">
        <f>G27+G30</f>
        <v>3905.5599999999995</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workbookViewId="0">
      <selection activeCell="I7" sqref="I7:I14"/>
    </sheetView>
  </sheetViews>
  <sheetFormatPr defaultRowHeight="13.5"/>
  <cols>
    <col min="1" max="1" width="9.875" style="2976" customWidth="1"/>
    <col min="2" max="3" width="9" style="2976"/>
    <col min="4" max="4" width="13.875" style="2976" customWidth="1"/>
    <col min="5" max="8" width="9" style="2976"/>
    <col min="9" max="9" width="12.375" style="2976" customWidth="1"/>
    <col min="10" max="10" width="9" style="2976"/>
    <col min="11" max="11" width="10.125" style="2976" customWidth="1"/>
    <col min="12" max="16384" width="9" style="2976"/>
  </cols>
  <sheetData>
    <row r="1" spans="1:15">
      <c r="A1" s="2976" t="s">
        <v>3049</v>
      </c>
      <c r="B1" s="2977">
        <v>133</v>
      </c>
      <c r="C1" s="2977">
        <v>145.47999999999999</v>
      </c>
      <c r="D1" s="2978" t="s">
        <v>3298</v>
      </c>
      <c r="E1" s="2979" t="s">
        <v>3672</v>
      </c>
      <c r="F1" s="2979" t="s">
        <v>3673</v>
      </c>
      <c r="G1" s="2979" t="s">
        <v>3709</v>
      </c>
      <c r="H1" s="2979" t="s">
        <v>3710</v>
      </c>
      <c r="I1" s="2979" t="s">
        <v>3711</v>
      </c>
    </row>
    <row r="2" spans="1:15">
      <c r="B2" s="2977">
        <v>134</v>
      </c>
      <c r="C2" s="2977">
        <v>19.21</v>
      </c>
      <c r="D2" s="2978" t="s">
        <v>3290</v>
      </c>
      <c r="E2" s="2976">
        <f>SUM(C1:C16,C19:C30,C32,C109:C127,C129:C131,C133:C134,C138:C171,C173,C175:C200,C202:C208,C211,C220,C224,C226:C227,C229:C230,C233:C238,C240:C243,C245)</f>
        <v>14322.350000000004</v>
      </c>
      <c r="F2" s="2976">
        <f>SUM(C18,C31,C34:C59,C61:C85,C87:C98,C100:C104,C128,C132,C135:C136,C174,C209:C210,C212:C219,C221:C223,C225,C228,C231:C232,C239,C244,C246:C249,C251:C298,C300:C347,C349:C396,C398:C444)</f>
        <v>26196.839999999982</v>
      </c>
      <c r="G2" s="2976">
        <f>C106+C446</f>
        <v>40519.19</v>
      </c>
      <c r="H2" s="2976">
        <v>13814.9</v>
      </c>
      <c r="I2" s="2976">
        <f>ROUND(F2/G2*H2,2)</f>
        <v>8931.74</v>
      </c>
    </row>
    <row r="3" spans="1:15">
      <c r="B3" s="2977">
        <v>135</v>
      </c>
      <c r="C3" s="2977">
        <v>31.54</v>
      </c>
      <c r="D3" s="2978" t="s">
        <v>3294</v>
      </c>
    </row>
    <row r="4" spans="1:15">
      <c r="B4" s="2977">
        <v>136</v>
      </c>
      <c r="C4" s="2977">
        <v>96.25</v>
      </c>
      <c r="D4" s="2978" t="s">
        <v>3323</v>
      </c>
    </row>
    <row r="5" spans="1:15">
      <c r="B5" s="2977">
        <v>137</v>
      </c>
      <c r="C5" s="2977">
        <v>101.57</v>
      </c>
      <c r="D5" s="2978" t="s">
        <v>3270</v>
      </c>
    </row>
    <row r="6" spans="1:15">
      <c r="B6" s="2977">
        <v>138</v>
      </c>
      <c r="C6" s="2977">
        <v>117.1</v>
      </c>
      <c r="D6" s="2978" t="s">
        <v>3244</v>
      </c>
      <c r="G6" s="2979" t="s">
        <v>3681</v>
      </c>
      <c r="H6" s="2979" t="s">
        <v>3682</v>
      </c>
    </row>
    <row r="7" spans="1:15">
      <c r="B7" s="2977">
        <v>139</v>
      </c>
      <c r="C7" s="2977">
        <v>119.09</v>
      </c>
      <c r="D7" s="2978" t="s">
        <v>3321</v>
      </c>
      <c r="F7" s="2979" t="s">
        <v>3677</v>
      </c>
      <c r="G7" s="2976">
        <f>C128+C132+C135+C136</f>
        <v>3905.5599999999995</v>
      </c>
      <c r="I7" s="2976">
        <f>G7+H7</f>
        <v>3905.5599999999995</v>
      </c>
      <c r="K7" s="2976">
        <v>2</v>
      </c>
      <c r="L7" s="2976">
        <v>0.89</v>
      </c>
      <c r="M7" s="2976">
        <f>K7*L7</f>
        <v>1.78</v>
      </c>
    </row>
    <row r="8" spans="1:15">
      <c r="B8" s="2977">
        <v>140</v>
      </c>
      <c r="C8" s="2977">
        <v>285.77</v>
      </c>
      <c r="D8" s="2978" t="s">
        <v>3272</v>
      </c>
      <c r="F8" s="2979" t="s">
        <v>3674</v>
      </c>
      <c r="G8" s="2976">
        <f>0</f>
        <v>0</v>
      </c>
      <c r="H8" s="2976">
        <v>0</v>
      </c>
      <c r="I8" s="2976">
        <f t="shared" ref="I8:I14" si="0">G8+H8</f>
        <v>0</v>
      </c>
      <c r="K8" s="2976">
        <v>4</v>
      </c>
    </row>
    <row r="9" spans="1:15">
      <c r="B9" s="2977">
        <v>141</v>
      </c>
      <c r="C9" s="2977">
        <v>108.17</v>
      </c>
      <c r="D9" s="2978" t="s">
        <v>3176</v>
      </c>
      <c r="F9" s="2979" t="s">
        <v>3675</v>
      </c>
      <c r="G9" s="2976">
        <f>C174</f>
        <v>106.57</v>
      </c>
      <c r="H9" s="2976">
        <f>C18+C31</f>
        <v>353.07</v>
      </c>
      <c r="I9" s="2976">
        <f>G9+H9</f>
        <v>459.64</v>
      </c>
      <c r="K9" s="2976">
        <v>3</v>
      </c>
      <c r="L9" s="2976">
        <f>ROUND(I9/(I9+I7),2)</f>
        <v>0.11</v>
      </c>
      <c r="M9" s="2976">
        <f t="shared" ref="M9" si="1">K9*L9</f>
        <v>0.33</v>
      </c>
    </row>
    <row r="10" spans="1:15">
      <c r="B10" s="2977">
        <v>142</v>
      </c>
      <c r="C10" s="2977">
        <v>62.32</v>
      </c>
      <c r="D10" s="2978" t="s">
        <v>3316</v>
      </c>
      <c r="F10" s="2979" t="s">
        <v>3676</v>
      </c>
      <c r="G10" s="2976">
        <f>SUM(C209:C210,C212:C219,C221:C223,C225,C228,C231:C232,C239,C244,C246:C249)</f>
        <v>1754.9199999999996</v>
      </c>
      <c r="H10" s="2976">
        <f>C60</f>
        <v>2056.5499999999997</v>
      </c>
      <c r="I10" s="2976">
        <f t="shared" si="0"/>
        <v>3811.4699999999993</v>
      </c>
      <c r="M10" s="2976">
        <f>ROUND(M7+M9,2)</f>
        <v>2.11</v>
      </c>
    </row>
    <row r="11" spans="1:15">
      <c r="B11" s="2977">
        <v>143</v>
      </c>
      <c r="C11" s="2977">
        <v>74.62</v>
      </c>
      <c r="D11" s="2978" t="s">
        <v>3319</v>
      </c>
      <c r="F11" s="2979" t="s">
        <v>3678</v>
      </c>
      <c r="G11" s="2976">
        <f>C299</f>
        <v>3710.9700000000003</v>
      </c>
      <c r="H11" s="2976">
        <f>C86</f>
        <v>1964.7799999999997</v>
      </c>
      <c r="I11" s="2976">
        <f t="shared" si="0"/>
        <v>5675.75</v>
      </c>
    </row>
    <row r="12" spans="1:15">
      <c r="B12" s="2977">
        <v>144</v>
      </c>
      <c r="C12" s="2977">
        <v>57.04</v>
      </c>
      <c r="D12" s="2978" t="s">
        <v>3287</v>
      </c>
      <c r="F12" s="2979" t="s">
        <v>3679</v>
      </c>
      <c r="G12" s="2976">
        <f>C348</f>
        <v>3720.5100000000011</v>
      </c>
      <c r="H12" s="2976">
        <f>C99</f>
        <v>885.81</v>
      </c>
      <c r="I12" s="2976">
        <f t="shared" si="0"/>
        <v>4606.3200000000015</v>
      </c>
    </row>
    <row r="13" spans="1:15">
      <c r="B13" s="2977">
        <v>145</v>
      </c>
      <c r="C13" s="2977">
        <v>95.81</v>
      </c>
      <c r="D13" s="2978" t="s">
        <v>3310</v>
      </c>
      <c r="F13" s="2979" t="s">
        <v>3680</v>
      </c>
      <c r="G13" s="2976">
        <f>C397</f>
        <v>3722.9800000000009</v>
      </c>
      <c r="H13" s="2976">
        <f>C105</f>
        <v>337.22</v>
      </c>
      <c r="I13" s="2976">
        <f t="shared" si="0"/>
        <v>4060.2000000000007</v>
      </c>
    </row>
    <row r="14" spans="1:15">
      <c r="B14" s="2977">
        <v>146</v>
      </c>
      <c r="C14" s="2977">
        <v>78.61</v>
      </c>
      <c r="D14" s="2978" t="s">
        <v>3277</v>
      </c>
      <c r="F14" s="2979" t="s">
        <v>3683</v>
      </c>
      <c r="G14" s="2976">
        <f>C445</f>
        <v>3677.900000000001</v>
      </c>
      <c r="I14" s="2976">
        <f t="shared" si="0"/>
        <v>3677.900000000001</v>
      </c>
    </row>
    <row r="15" spans="1:15">
      <c r="B15" s="2977">
        <v>147</v>
      </c>
      <c r="C15" s="2977">
        <v>457.96</v>
      </c>
      <c r="D15" s="2978" t="s">
        <v>3296</v>
      </c>
      <c r="I15" s="2976">
        <f>SUM(I10:I14)</f>
        <v>21831.640000000003</v>
      </c>
    </row>
    <row r="16" spans="1:15">
      <c r="B16" s="2977">
        <v>148</v>
      </c>
      <c r="C16" s="2977">
        <v>152.76</v>
      </c>
      <c r="D16" s="2978" t="s">
        <v>3281</v>
      </c>
      <c r="N16" s="2976">
        <v>9814.09</v>
      </c>
      <c r="O16" s="2976">
        <v>34.619999999999997</v>
      </c>
    </row>
    <row r="17" spans="1:16">
      <c r="A17" s="3106" t="s">
        <v>3056</v>
      </c>
      <c r="B17" s="3106"/>
      <c r="C17" s="2976">
        <f>SUM(C1:C16)</f>
        <v>2003.2999999999997</v>
      </c>
      <c r="N17" s="2976">
        <v>31454.12</v>
      </c>
      <c r="O17" s="2976">
        <v>700.57</v>
      </c>
      <c r="P17" s="2976">
        <f>N16+N17-O16-O17</f>
        <v>40533.019999999997</v>
      </c>
    </row>
    <row r="18" spans="1:16">
      <c r="A18" s="2976" t="s">
        <v>3050</v>
      </c>
      <c r="B18" s="2976">
        <v>229</v>
      </c>
      <c r="C18" s="2976">
        <v>188.28</v>
      </c>
      <c r="I18" s="2979" t="s">
        <v>3776</v>
      </c>
      <c r="J18" s="2979" t="s">
        <v>3775</v>
      </c>
      <c r="K18" s="2979" t="s">
        <v>3777</v>
      </c>
    </row>
    <row r="19" spans="1:16">
      <c r="B19" s="2977">
        <v>230</v>
      </c>
      <c r="C19" s="2977">
        <v>255.37</v>
      </c>
      <c r="D19" s="2978" t="s">
        <v>3224</v>
      </c>
      <c r="G19" s="2979" t="s">
        <v>3772</v>
      </c>
      <c r="I19" s="2976">
        <f>'比较法-商业'!C49</f>
        <v>5.2</v>
      </c>
    </row>
    <row r="20" spans="1:16">
      <c r="B20" s="2977">
        <v>231</v>
      </c>
      <c r="C20" s="2977">
        <v>59.41</v>
      </c>
      <c r="D20" s="2978" t="s">
        <v>3301</v>
      </c>
      <c r="G20" s="2979" t="s">
        <v>3773</v>
      </c>
      <c r="H20" s="2976">
        <f>C18+C31+C174</f>
        <v>459.64</v>
      </c>
      <c r="I20" s="2976">
        <f>I19*J20</f>
        <v>3.6399999999999997</v>
      </c>
      <c r="J20" s="2976">
        <v>0.7</v>
      </c>
      <c r="K20" s="2976">
        <f>ROUND(H20/(H20+H21),2)</f>
        <v>0.11</v>
      </c>
    </row>
    <row r="21" spans="1:16">
      <c r="B21" s="2977">
        <v>232</v>
      </c>
      <c r="C21" s="2977">
        <v>277.16000000000003</v>
      </c>
      <c r="D21" s="2978" t="s">
        <v>3266</v>
      </c>
      <c r="G21" s="2979" t="s">
        <v>3774</v>
      </c>
      <c r="H21" s="2976">
        <f>C128+C132+C135+C136</f>
        <v>3905.5599999999995</v>
      </c>
      <c r="I21" s="2976">
        <f>I19*J21</f>
        <v>3.12</v>
      </c>
      <c r="J21" s="2976">
        <v>0.6</v>
      </c>
      <c r="K21" s="2976">
        <f>ROUND(H21/(H20+H21),2)</f>
        <v>0.89</v>
      </c>
    </row>
    <row r="22" spans="1:16">
      <c r="B22" s="2977">
        <v>233</v>
      </c>
      <c r="C22" s="2977">
        <v>207.35</v>
      </c>
      <c r="D22" s="2978" t="s">
        <v>3283</v>
      </c>
      <c r="I22" s="2976">
        <f>ROUND(I20*K20+I21*K21,2)</f>
        <v>3.18</v>
      </c>
    </row>
    <row r="23" spans="1:16">
      <c r="B23" s="2977">
        <v>234</v>
      </c>
      <c r="C23" s="2977">
        <v>171.9</v>
      </c>
      <c r="D23" s="2978" t="s">
        <v>3303</v>
      </c>
    </row>
    <row r="24" spans="1:16">
      <c r="B24" s="2977">
        <v>235</v>
      </c>
      <c r="C24" s="2977">
        <v>100.32</v>
      </c>
      <c r="D24" s="2978" t="s">
        <v>3174</v>
      </c>
    </row>
    <row r="25" spans="1:16">
      <c r="B25" s="2977">
        <v>236</v>
      </c>
      <c r="C25" s="2977">
        <v>183.95</v>
      </c>
      <c r="D25" s="2978" t="s">
        <v>3123</v>
      </c>
      <c r="G25" s="2976">
        <f>ROUND(9553/系统读取表!B1*10000,0)</f>
        <v>2400</v>
      </c>
    </row>
    <row r="26" spans="1:16">
      <c r="B26" s="2977">
        <v>237</v>
      </c>
      <c r="C26" s="2977">
        <v>181.85</v>
      </c>
      <c r="D26" s="2978" t="s">
        <v>3157</v>
      </c>
    </row>
    <row r="27" spans="1:16">
      <c r="B27" s="2977">
        <v>238</v>
      </c>
      <c r="C27" s="2977">
        <v>152.78</v>
      </c>
      <c r="D27" s="2978" t="s">
        <v>3130</v>
      </c>
    </row>
    <row r="28" spans="1:16">
      <c r="B28" s="2977">
        <v>239</v>
      </c>
      <c r="C28" s="2977">
        <v>154.55000000000001</v>
      </c>
      <c r="D28" s="2978" t="s">
        <v>3127</v>
      </c>
    </row>
    <row r="29" spans="1:16">
      <c r="B29" s="2977">
        <v>240</v>
      </c>
      <c r="C29" s="2977">
        <v>139.30000000000001</v>
      </c>
      <c r="D29" s="2978" t="s">
        <v>3312</v>
      </c>
      <c r="F29" s="2979" t="s">
        <v>3815</v>
      </c>
      <c r="G29" s="2979" t="s">
        <v>3816</v>
      </c>
      <c r="H29" s="2979" t="s">
        <v>3817</v>
      </c>
      <c r="I29" s="2979" t="s">
        <v>3818</v>
      </c>
      <c r="J29" s="2979" t="s">
        <v>3820</v>
      </c>
      <c r="K29" s="2979" t="s">
        <v>3822</v>
      </c>
      <c r="L29" s="2979" t="s">
        <v>3821</v>
      </c>
    </row>
    <row r="30" spans="1:16">
      <c r="B30" s="2977">
        <v>241</v>
      </c>
      <c r="C30" s="2977">
        <v>174.13</v>
      </c>
      <c r="D30" s="2978" t="s">
        <v>3305</v>
      </c>
      <c r="F30" s="2976">
        <v>64557.75</v>
      </c>
      <c r="G30" s="2976">
        <v>45275</v>
      </c>
      <c r="H30" s="2976">
        <v>44382.51</v>
      </c>
      <c r="I30" s="2976">
        <v>114.75</v>
      </c>
      <c r="J30" s="2976">
        <v>185.21</v>
      </c>
      <c r="K30" s="2976">
        <v>534.79</v>
      </c>
      <c r="L30" s="2976">
        <v>57.74</v>
      </c>
    </row>
    <row r="31" spans="1:16">
      <c r="B31" s="2976">
        <v>242</v>
      </c>
      <c r="C31" s="2976">
        <v>164.79</v>
      </c>
      <c r="H31" s="2976">
        <f>C106-C137+C446+H40</f>
        <v>44540.79</v>
      </c>
      <c r="I31" s="2976">
        <f>I40</f>
        <v>114.75</v>
      </c>
      <c r="K31" s="2976">
        <f>L40</f>
        <v>164.43</v>
      </c>
    </row>
    <row r="32" spans="1:16">
      <c r="B32" s="2977">
        <v>243</v>
      </c>
      <c r="C32" s="2977">
        <v>120.67</v>
      </c>
      <c r="D32" s="2978" t="s">
        <v>3308</v>
      </c>
      <c r="G32" s="2979" t="s">
        <v>3819</v>
      </c>
      <c r="H32" s="2979" t="s">
        <v>3823</v>
      </c>
      <c r="I32" s="2979" t="s">
        <v>3817</v>
      </c>
      <c r="J32" s="2979" t="s">
        <v>3820</v>
      </c>
      <c r="K32" s="2979" t="s">
        <v>3824</v>
      </c>
    </row>
    <row r="33" spans="1:14">
      <c r="A33" s="3106" t="s">
        <v>3056</v>
      </c>
      <c r="B33" s="3106"/>
      <c r="C33" s="2976">
        <f>SUM(C18:C32)</f>
        <v>2531.81</v>
      </c>
      <c r="G33" s="2976">
        <v>19282.75</v>
      </c>
      <c r="H33" s="2976">
        <v>6216.7</v>
      </c>
      <c r="I33" s="2976">
        <v>5588.58</v>
      </c>
      <c r="J33" s="2976">
        <v>2291.4699999999998</v>
      </c>
      <c r="K33" s="2976">
        <v>5186</v>
      </c>
    </row>
    <row r="34" spans="1:14">
      <c r="A34" s="2976" t="s">
        <v>3052</v>
      </c>
      <c r="B34" s="2976">
        <v>349</v>
      </c>
      <c r="C34" s="2976">
        <v>73.459999999999994</v>
      </c>
      <c r="I34" s="2976">
        <f>C137</f>
        <v>5552.69</v>
      </c>
    </row>
    <row r="35" spans="1:14">
      <c r="B35" s="2976">
        <v>350</v>
      </c>
      <c r="C35" s="2976">
        <v>69.14</v>
      </c>
    </row>
    <row r="36" spans="1:14">
      <c r="B36" s="2976">
        <v>351</v>
      </c>
      <c r="C36" s="2976">
        <v>65.010000000000005</v>
      </c>
    </row>
    <row r="37" spans="1:14">
      <c r="B37" s="2976">
        <v>352</v>
      </c>
      <c r="C37" s="2976">
        <v>111.27</v>
      </c>
      <c r="F37" s="3007" t="s">
        <v>3835</v>
      </c>
      <c r="G37" s="3008"/>
      <c r="H37" s="3008"/>
      <c r="I37" s="3008"/>
      <c r="J37" s="3008"/>
      <c r="K37" s="3008"/>
      <c r="L37" s="3008"/>
      <c r="M37" s="3008"/>
      <c r="N37" s="3008"/>
    </row>
    <row r="38" spans="1:14">
      <c r="B38" s="2976">
        <v>353</v>
      </c>
      <c r="C38" s="2976">
        <v>103.55</v>
      </c>
      <c r="F38" s="3009"/>
      <c r="G38" s="3009" t="s">
        <v>3825</v>
      </c>
      <c r="H38" s="3009">
        <v>6255.3</v>
      </c>
      <c r="I38" s="3009"/>
      <c r="J38" s="3009"/>
      <c r="K38" s="3009"/>
      <c r="L38" s="3009"/>
      <c r="M38" s="3009"/>
      <c r="N38" s="3009"/>
    </row>
    <row r="39" spans="1:14">
      <c r="B39" s="2976">
        <v>354</v>
      </c>
      <c r="C39" s="2976">
        <v>98.46</v>
      </c>
      <c r="F39" s="3009"/>
      <c r="G39" s="3009" t="s">
        <v>3826</v>
      </c>
      <c r="H39" s="3009" t="s">
        <v>3827</v>
      </c>
      <c r="I39" s="3009" t="s">
        <v>3828</v>
      </c>
      <c r="J39" s="3009" t="s">
        <v>3829</v>
      </c>
      <c r="K39" s="3009" t="s">
        <v>3830</v>
      </c>
      <c r="L39" s="3009" t="s">
        <v>3831</v>
      </c>
      <c r="M39" s="3009" t="s">
        <v>3832</v>
      </c>
      <c r="N39" s="3009" t="s">
        <v>3830</v>
      </c>
    </row>
    <row r="40" spans="1:14">
      <c r="B40" s="2976">
        <v>355</v>
      </c>
      <c r="C40" s="2976">
        <v>80.92</v>
      </c>
      <c r="F40" s="3009" t="s">
        <v>3833</v>
      </c>
      <c r="G40" s="3009"/>
      <c r="H40" s="3009">
        <v>9574.2900000000009</v>
      </c>
      <c r="I40" s="3009">
        <v>114.75</v>
      </c>
      <c r="J40" s="3009">
        <v>42.11</v>
      </c>
      <c r="K40" s="3009"/>
      <c r="L40" s="3009">
        <v>164.43</v>
      </c>
      <c r="M40" s="3009"/>
      <c r="N40" s="3009"/>
    </row>
    <row r="41" spans="1:14">
      <c r="B41" s="2976">
        <v>356</v>
      </c>
      <c r="C41" s="2976">
        <v>82.11</v>
      </c>
      <c r="F41" s="3009" t="s">
        <v>3834</v>
      </c>
      <c r="G41" s="3009"/>
      <c r="H41" s="3009"/>
      <c r="I41" s="3009"/>
      <c r="J41" s="3009"/>
      <c r="K41" s="3009"/>
      <c r="L41" s="3009"/>
      <c r="M41" s="3009">
        <v>714.76</v>
      </c>
      <c r="N41" s="3009">
        <v>3001</v>
      </c>
    </row>
    <row r="42" spans="1:14">
      <c r="B42" s="2976">
        <v>357</v>
      </c>
      <c r="C42" s="2976">
        <v>94.27</v>
      </c>
      <c r="F42" s="3009"/>
      <c r="G42" s="3009"/>
      <c r="H42" s="3009"/>
      <c r="I42" s="3009"/>
      <c r="J42" s="3009"/>
      <c r="K42" s="3009"/>
      <c r="L42" s="3009"/>
      <c r="M42" s="3009"/>
      <c r="N42" s="3009"/>
    </row>
    <row r="43" spans="1:14">
      <c r="B43" s="2976">
        <v>358</v>
      </c>
      <c r="C43" s="2976">
        <v>88.74</v>
      </c>
    </row>
    <row r="44" spans="1:14">
      <c r="B44" s="2976">
        <v>359</v>
      </c>
      <c r="C44" s="2976">
        <v>101.98</v>
      </c>
    </row>
    <row r="45" spans="1:14">
      <c r="B45" s="2976">
        <v>360</v>
      </c>
      <c r="C45" s="2976">
        <v>94.98</v>
      </c>
    </row>
    <row r="46" spans="1:14">
      <c r="B46" s="2976">
        <v>361</v>
      </c>
      <c r="C46" s="2976">
        <v>91.86</v>
      </c>
    </row>
    <row r="47" spans="1:14">
      <c r="B47" s="2976">
        <v>362</v>
      </c>
      <c r="C47" s="2976">
        <v>85.29</v>
      </c>
    </row>
    <row r="48" spans="1:14">
      <c r="B48" s="2976">
        <v>363</v>
      </c>
      <c r="C48" s="2976">
        <v>65.400000000000006</v>
      </c>
    </row>
    <row r="49" spans="1:3">
      <c r="B49" s="2976">
        <v>364</v>
      </c>
      <c r="C49" s="2976">
        <v>90.53</v>
      </c>
    </row>
    <row r="50" spans="1:3">
      <c r="B50" s="2976">
        <v>365</v>
      </c>
      <c r="C50" s="2976">
        <v>52.94</v>
      </c>
    </row>
    <row r="51" spans="1:3">
      <c r="B51" s="2976">
        <v>366</v>
      </c>
      <c r="C51" s="2976">
        <v>74.069999999999993</v>
      </c>
    </row>
    <row r="52" spans="1:3">
      <c r="B52" s="2976">
        <v>367</v>
      </c>
      <c r="C52" s="2976">
        <v>69.760000000000005</v>
      </c>
    </row>
    <row r="53" spans="1:3">
      <c r="B53" s="2976">
        <v>368</v>
      </c>
      <c r="C53" s="2976">
        <v>62.02</v>
      </c>
    </row>
    <row r="54" spans="1:3">
      <c r="B54" s="2976">
        <v>369</v>
      </c>
      <c r="C54" s="2976">
        <v>61.67</v>
      </c>
    </row>
    <row r="55" spans="1:3">
      <c r="B55" s="2976">
        <v>370</v>
      </c>
      <c r="C55" s="2976">
        <v>68.86</v>
      </c>
    </row>
    <row r="56" spans="1:3">
      <c r="B56" s="2976">
        <v>371</v>
      </c>
      <c r="C56" s="2976">
        <v>76.12</v>
      </c>
    </row>
    <row r="57" spans="1:3">
      <c r="B57" s="2976">
        <v>372</v>
      </c>
      <c r="C57" s="2976">
        <v>71.58</v>
      </c>
    </row>
    <row r="58" spans="1:3">
      <c r="B58" s="2976">
        <v>373</v>
      </c>
      <c r="C58" s="2976">
        <v>80.08</v>
      </c>
    </row>
    <row r="59" spans="1:3">
      <c r="B59" s="2976">
        <v>374</v>
      </c>
      <c r="C59" s="2976">
        <v>42.48</v>
      </c>
    </row>
    <row r="60" spans="1:3">
      <c r="A60" s="3106" t="s">
        <v>3056</v>
      </c>
      <c r="B60" s="3106"/>
      <c r="C60" s="2976">
        <f>SUM(C34:C59)</f>
        <v>2056.5499999999997</v>
      </c>
    </row>
    <row r="61" spans="1:3">
      <c r="A61" s="2976" t="s">
        <v>3053</v>
      </c>
      <c r="B61" s="2976">
        <v>449</v>
      </c>
      <c r="C61" s="2976">
        <v>66.66</v>
      </c>
    </row>
    <row r="62" spans="1:3">
      <c r="B62" s="2976">
        <v>450</v>
      </c>
      <c r="C62" s="2976">
        <v>62.73</v>
      </c>
    </row>
    <row r="63" spans="1:3">
      <c r="B63" s="2976">
        <v>451</v>
      </c>
      <c r="C63" s="2976">
        <v>59.06</v>
      </c>
    </row>
    <row r="64" spans="1:3">
      <c r="B64" s="2976">
        <v>452</v>
      </c>
      <c r="C64" s="2976">
        <v>121.41</v>
      </c>
    </row>
    <row r="65" spans="2:3">
      <c r="B65" s="2976">
        <v>453</v>
      </c>
      <c r="C65" s="2976">
        <v>108.45</v>
      </c>
    </row>
    <row r="66" spans="2:3">
      <c r="B66" s="2976">
        <v>454</v>
      </c>
      <c r="C66" s="2976">
        <v>81.489999999999995</v>
      </c>
    </row>
    <row r="67" spans="2:3">
      <c r="B67" s="2976">
        <v>455</v>
      </c>
      <c r="C67" s="2976">
        <v>82.46</v>
      </c>
    </row>
    <row r="68" spans="2:3">
      <c r="B68" s="2976">
        <v>456</v>
      </c>
      <c r="C68" s="2976">
        <v>94.27</v>
      </c>
    </row>
    <row r="69" spans="2:3">
      <c r="B69" s="2976">
        <v>457</v>
      </c>
      <c r="C69" s="2976">
        <v>88.5</v>
      </c>
    </row>
    <row r="70" spans="2:3">
      <c r="B70" s="2976">
        <v>458</v>
      </c>
      <c r="C70" s="2976">
        <v>111.18</v>
      </c>
    </row>
    <row r="71" spans="2:3">
      <c r="B71" s="2976">
        <v>459</v>
      </c>
      <c r="C71" s="2976">
        <v>94.98</v>
      </c>
    </row>
    <row r="72" spans="2:3">
      <c r="B72" s="2976">
        <v>460</v>
      </c>
      <c r="C72" s="2976">
        <v>91.86</v>
      </c>
    </row>
    <row r="73" spans="2:3">
      <c r="B73" s="2976">
        <v>461</v>
      </c>
      <c r="C73" s="2976">
        <v>85.29</v>
      </c>
    </row>
    <row r="74" spans="2:3">
      <c r="B74" s="2976">
        <v>462</v>
      </c>
      <c r="C74" s="2976">
        <v>65.400000000000006</v>
      </c>
    </row>
    <row r="75" spans="2:3">
      <c r="B75" s="2976">
        <v>463</v>
      </c>
      <c r="C75" s="2976">
        <v>79.59</v>
      </c>
    </row>
    <row r="76" spans="2:3">
      <c r="B76" s="2976">
        <v>464</v>
      </c>
      <c r="C76" s="2976">
        <v>52.94</v>
      </c>
    </row>
    <row r="77" spans="2:3">
      <c r="B77" s="2976">
        <v>465</v>
      </c>
      <c r="C77" s="2976">
        <v>77.44</v>
      </c>
    </row>
    <row r="78" spans="2:3">
      <c r="B78" s="2976">
        <v>466</v>
      </c>
      <c r="C78" s="2976">
        <v>72.48</v>
      </c>
    </row>
    <row r="79" spans="2:3">
      <c r="B79" s="2976">
        <v>467</v>
      </c>
      <c r="C79" s="2976">
        <v>64.31</v>
      </c>
    </row>
    <row r="80" spans="2:3">
      <c r="B80" s="2976">
        <v>468</v>
      </c>
      <c r="C80" s="2976">
        <v>64.31</v>
      </c>
    </row>
    <row r="81" spans="1:3">
      <c r="B81" s="2976">
        <v>469</v>
      </c>
      <c r="C81" s="2976">
        <v>68.86</v>
      </c>
    </row>
    <row r="82" spans="1:3">
      <c r="B82" s="2976">
        <v>470</v>
      </c>
      <c r="C82" s="2976">
        <v>76.12</v>
      </c>
    </row>
    <row r="83" spans="1:3">
      <c r="B83" s="2976">
        <v>471</v>
      </c>
      <c r="C83" s="2976">
        <v>71.58</v>
      </c>
    </row>
    <row r="84" spans="1:3">
      <c r="B84" s="2976">
        <v>472</v>
      </c>
      <c r="C84" s="2976">
        <v>80.08</v>
      </c>
    </row>
    <row r="85" spans="1:3">
      <c r="B85" s="2976">
        <v>473</v>
      </c>
      <c r="C85" s="2976">
        <v>43.33</v>
      </c>
    </row>
    <row r="86" spans="1:3">
      <c r="A86" s="3106" t="s">
        <v>3056</v>
      </c>
      <c r="B86" s="3106"/>
      <c r="C86" s="2976">
        <f>SUM(C61:C85)</f>
        <v>1964.7799999999997</v>
      </c>
    </row>
    <row r="87" spans="1:3">
      <c r="A87" s="2976" t="s">
        <v>3055</v>
      </c>
      <c r="B87" s="2976">
        <v>549</v>
      </c>
      <c r="C87" s="2976">
        <v>73.459999999999994</v>
      </c>
    </row>
    <row r="88" spans="1:3">
      <c r="B88" s="2976">
        <v>550</v>
      </c>
      <c r="C88" s="2976">
        <v>69.14</v>
      </c>
    </row>
    <row r="89" spans="1:3">
      <c r="B89" s="2976">
        <v>551</v>
      </c>
      <c r="C89" s="2976">
        <v>62.24</v>
      </c>
    </row>
    <row r="90" spans="1:3">
      <c r="B90" s="2976">
        <v>552</v>
      </c>
      <c r="C90" s="2976">
        <v>100.85</v>
      </c>
    </row>
    <row r="91" spans="1:3">
      <c r="B91" s="2976">
        <v>553</v>
      </c>
      <c r="C91" s="2976">
        <v>77.44</v>
      </c>
    </row>
    <row r="92" spans="1:3">
      <c r="B92" s="2976">
        <v>554</v>
      </c>
      <c r="C92" s="2976">
        <v>72.48</v>
      </c>
    </row>
    <row r="93" spans="1:3">
      <c r="B93" s="2976">
        <v>555</v>
      </c>
      <c r="C93" s="2976">
        <v>64.31</v>
      </c>
    </row>
    <row r="94" spans="1:3">
      <c r="B94" s="2976">
        <v>556</v>
      </c>
      <c r="C94" s="2976">
        <v>64.31</v>
      </c>
    </row>
    <row r="95" spans="1:3">
      <c r="B95" s="2976">
        <v>557</v>
      </c>
      <c r="C95" s="2976">
        <v>74.48</v>
      </c>
    </row>
    <row r="96" spans="1:3">
      <c r="B96" s="2976">
        <v>558</v>
      </c>
      <c r="C96" s="2976">
        <v>122.26</v>
      </c>
    </row>
    <row r="97" spans="1:4">
      <c r="B97" s="2976">
        <v>559</v>
      </c>
      <c r="C97" s="2976">
        <v>53.18</v>
      </c>
    </row>
    <row r="98" spans="1:4">
      <c r="B98" s="2976">
        <v>560</v>
      </c>
      <c r="C98" s="2976">
        <v>51.66</v>
      </c>
    </row>
    <row r="99" spans="1:4">
      <c r="A99" s="3106" t="s">
        <v>3056</v>
      </c>
      <c r="B99" s="3106"/>
      <c r="C99" s="2976">
        <f>SUM(C87:C98)</f>
        <v>885.81</v>
      </c>
    </row>
    <row r="100" spans="1:4">
      <c r="A100" s="2976" t="s">
        <v>3054</v>
      </c>
      <c r="B100" s="2976">
        <v>649</v>
      </c>
      <c r="C100" s="2976">
        <v>84.25</v>
      </c>
    </row>
    <row r="101" spans="1:4">
      <c r="B101" s="2976">
        <v>650</v>
      </c>
      <c r="C101" s="2976">
        <v>78.510000000000005</v>
      </c>
    </row>
    <row r="102" spans="1:4">
      <c r="B102" s="2976">
        <v>651</v>
      </c>
      <c r="C102" s="2976">
        <v>56.71</v>
      </c>
    </row>
    <row r="103" spans="1:4">
      <c r="B103" s="2976">
        <v>652</v>
      </c>
      <c r="C103" s="2976">
        <v>77.14</v>
      </c>
    </row>
    <row r="104" spans="1:4">
      <c r="B104" s="2976">
        <v>653</v>
      </c>
      <c r="C104" s="2976">
        <v>40.61</v>
      </c>
    </row>
    <row r="105" spans="1:4">
      <c r="A105" s="3106" t="s">
        <v>3056</v>
      </c>
      <c r="B105" s="3106"/>
      <c r="C105" s="2976">
        <f>SUM(C100:C104)</f>
        <v>337.22</v>
      </c>
    </row>
    <row r="106" spans="1:4">
      <c r="A106" s="3106" t="s">
        <v>3057</v>
      </c>
      <c r="B106" s="3106"/>
      <c r="C106" s="2976">
        <f>C17+C33+C60+C86+C99+C105</f>
        <v>9779.4699999999975</v>
      </c>
    </row>
    <row r="109" spans="1:4">
      <c r="A109" s="2976" t="s">
        <v>3058</v>
      </c>
      <c r="B109" s="2977">
        <v>-101</v>
      </c>
      <c r="C109" s="2977">
        <v>82.44</v>
      </c>
      <c r="D109" s="2978" t="s">
        <v>3205</v>
      </c>
    </row>
    <row r="110" spans="1:4">
      <c r="B110" s="2977">
        <v>-102</v>
      </c>
      <c r="C110" s="2977">
        <v>93.09</v>
      </c>
      <c r="D110" s="2978" t="s">
        <v>3220</v>
      </c>
    </row>
    <row r="111" spans="1:4">
      <c r="B111" s="2977">
        <v>-103</v>
      </c>
      <c r="C111" s="2977">
        <v>51.86</v>
      </c>
      <c r="D111" s="2978" t="s">
        <v>3211</v>
      </c>
    </row>
    <row r="112" spans="1:4">
      <c r="B112" s="2977">
        <v>-104</v>
      </c>
      <c r="C112" s="2977">
        <v>55.4</v>
      </c>
      <c r="D112" s="2978" t="s">
        <v>3190</v>
      </c>
    </row>
    <row r="113" spans="2:4">
      <c r="B113" s="2977">
        <v>-105</v>
      </c>
      <c r="C113" s="2977">
        <v>101.14</v>
      </c>
      <c r="D113" s="2978" t="s">
        <v>3153</v>
      </c>
    </row>
    <row r="114" spans="2:4">
      <c r="B114" s="2977">
        <v>-106</v>
      </c>
      <c r="C114" s="2977">
        <v>72.790000000000006</v>
      </c>
      <c r="D114" s="2978" t="s">
        <v>3209</v>
      </c>
    </row>
    <row r="115" spans="2:4">
      <c r="B115" s="2977">
        <v>-107</v>
      </c>
      <c r="C115" s="2977">
        <v>95.94</v>
      </c>
      <c r="D115" s="2978" t="s">
        <v>3195</v>
      </c>
    </row>
    <row r="116" spans="2:4">
      <c r="B116" s="2977">
        <v>-108</v>
      </c>
      <c r="C116" s="2977">
        <v>22.3</v>
      </c>
      <c r="D116" s="2978" t="s">
        <v>3215</v>
      </c>
    </row>
    <row r="117" spans="2:4">
      <c r="B117" s="2977">
        <v>-109</v>
      </c>
      <c r="C117" s="2977">
        <v>30.4</v>
      </c>
      <c r="D117" s="2978" t="s">
        <v>3218</v>
      </c>
    </row>
    <row r="118" spans="2:4">
      <c r="B118" s="2977">
        <v>-110</v>
      </c>
      <c r="C118" s="2977">
        <v>61.9</v>
      </c>
      <c r="D118" s="2978" t="s">
        <v>3086</v>
      </c>
    </row>
    <row r="119" spans="2:4">
      <c r="B119" s="2977">
        <v>-111</v>
      </c>
      <c r="C119" s="2977">
        <v>80.36</v>
      </c>
      <c r="D119" s="2978" t="s">
        <v>3402</v>
      </c>
    </row>
    <row r="120" spans="2:4">
      <c r="B120" s="2977">
        <v>-112</v>
      </c>
      <c r="C120" s="2977">
        <v>69.78</v>
      </c>
      <c r="D120" s="2978" t="s">
        <v>3444</v>
      </c>
    </row>
    <row r="121" spans="2:4">
      <c r="B121" s="2977">
        <v>-113</v>
      </c>
      <c r="C121" s="2977">
        <v>69.78</v>
      </c>
      <c r="D121" s="2978" t="s">
        <v>3481</v>
      </c>
    </row>
    <row r="122" spans="2:4">
      <c r="B122" s="2977">
        <v>-114</v>
      </c>
      <c r="C122" s="2977">
        <v>76.849999999999994</v>
      </c>
      <c r="D122" s="2978" t="s">
        <v>3470</v>
      </c>
    </row>
    <row r="123" spans="2:4">
      <c r="B123" s="2977">
        <v>-115</v>
      </c>
      <c r="C123" s="2977">
        <v>137.55000000000001</v>
      </c>
      <c r="D123" s="2978" t="s">
        <v>3368</v>
      </c>
    </row>
    <row r="124" spans="2:4">
      <c r="B124" s="2977">
        <v>-116</v>
      </c>
      <c r="C124" s="2977">
        <v>59.41</v>
      </c>
      <c r="D124" s="2978" t="s">
        <v>3390</v>
      </c>
    </row>
    <row r="125" spans="2:4">
      <c r="B125" s="2977">
        <v>-117</v>
      </c>
      <c r="C125" s="2977">
        <v>40.94</v>
      </c>
      <c r="D125" s="2978" t="s">
        <v>3392</v>
      </c>
    </row>
    <row r="126" spans="2:4">
      <c r="B126" s="2977">
        <v>-118</v>
      </c>
      <c r="C126" s="2977">
        <v>51.54</v>
      </c>
      <c r="D126" s="2978" t="s">
        <v>3383</v>
      </c>
    </row>
    <row r="127" spans="2:4">
      <c r="B127" s="2977">
        <v>-119</v>
      </c>
      <c r="C127" s="2977">
        <v>92.87</v>
      </c>
      <c r="D127" s="2978" t="s">
        <v>3407</v>
      </c>
    </row>
    <row r="128" spans="2:4">
      <c r="B128" s="2976">
        <v>-120</v>
      </c>
      <c r="C128" s="2976">
        <v>75.03</v>
      </c>
    </row>
    <row r="129" spans="1:4">
      <c r="B129" s="2977">
        <v>-121</v>
      </c>
      <c r="C129" s="2977">
        <v>47.79</v>
      </c>
      <c r="D129" s="2978" t="s">
        <v>3093</v>
      </c>
    </row>
    <row r="130" spans="1:4">
      <c r="B130" s="2977">
        <v>-122</v>
      </c>
      <c r="C130" s="2977">
        <v>37.450000000000003</v>
      </c>
      <c r="D130" s="2978" t="s">
        <v>3376</v>
      </c>
    </row>
    <row r="131" spans="1:4">
      <c r="B131" s="2977">
        <v>-123</v>
      </c>
      <c r="C131" s="2977">
        <v>45.88</v>
      </c>
      <c r="D131" s="2978" t="s">
        <v>3331</v>
      </c>
    </row>
    <row r="132" spans="1:4">
      <c r="B132" s="2976">
        <v>-124</v>
      </c>
      <c r="C132" s="2976">
        <v>72.86</v>
      </c>
    </row>
    <row r="133" spans="1:4">
      <c r="B133" s="2977">
        <v>-125</v>
      </c>
      <c r="C133" s="2977">
        <v>75.28</v>
      </c>
      <c r="D133" s="2978" t="s">
        <v>3096</v>
      </c>
    </row>
    <row r="134" spans="1:4">
      <c r="B134" s="2977">
        <v>-126</v>
      </c>
      <c r="C134" s="2977">
        <v>94.39</v>
      </c>
      <c r="D134" s="2978" t="s">
        <v>3410</v>
      </c>
    </row>
    <row r="135" spans="1:4">
      <c r="B135" s="2976">
        <v>-127</v>
      </c>
      <c r="C135" s="2976">
        <v>2243.56</v>
      </c>
    </row>
    <row r="136" spans="1:4">
      <c r="B136" s="2976">
        <v>-128</v>
      </c>
      <c r="C136" s="2976">
        <v>1514.11</v>
      </c>
    </row>
    <row r="137" spans="1:4">
      <c r="A137" s="3106" t="s">
        <v>3056</v>
      </c>
      <c r="B137" s="3106"/>
      <c r="C137" s="2976">
        <f>SUM(C109:C136)</f>
        <v>5552.69</v>
      </c>
    </row>
    <row r="138" spans="1:4">
      <c r="A138" s="2976" t="s">
        <v>3059</v>
      </c>
      <c r="B138" s="2977">
        <v>101</v>
      </c>
      <c r="C138" s="2977">
        <v>18.38</v>
      </c>
      <c r="D138" s="2978" t="s">
        <v>3432</v>
      </c>
    </row>
    <row r="139" spans="1:4">
      <c r="B139" s="2977">
        <v>102</v>
      </c>
      <c r="C139" s="2977">
        <v>96.07</v>
      </c>
      <c r="D139" s="2978" t="s">
        <v>3434</v>
      </c>
    </row>
    <row r="140" spans="1:4">
      <c r="B140" s="2977">
        <v>103</v>
      </c>
      <c r="C140" s="2977">
        <v>101.51</v>
      </c>
      <c r="D140" s="2978" t="s">
        <v>3436</v>
      </c>
    </row>
    <row r="141" spans="1:4">
      <c r="B141" s="2977">
        <v>104</v>
      </c>
      <c r="C141" s="2977">
        <v>79.72</v>
      </c>
      <c r="D141" s="2978" t="s">
        <v>3386</v>
      </c>
    </row>
    <row r="142" spans="1:4">
      <c r="B142" s="2977">
        <v>105</v>
      </c>
      <c r="C142" s="2977">
        <v>73.98</v>
      </c>
      <c r="D142" s="2978" t="s">
        <v>3397</v>
      </c>
    </row>
    <row r="143" spans="1:4">
      <c r="B143" s="2977">
        <v>106</v>
      </c>
      <c r="C143" s="2977">
        <v>115.96</v>
      </c>
      <c r="D143" s="2978" t="s">
        <v>3450</v>
      </c>
    </row>
    <row r="144" spans="1:4">
      <c r="B144" s="2977">
        <v>107</v>
      </c>
      <c r="C144" s="2977">
        <v>129.91</v>
      </c>
      <c r="D144" s="2978" t="s">
        <v>3465</v>
      </c>
    </row>
    <row r="145" spans="2:4">
      <c r="B145" s="2977">
        <v>108</v>
      </c>
      <c r="C145" s="2977">
        <v>131.37</v>
      </c>
      <c r="D145" s="2978" t="s">
        <v>3448</v>
      </c>
    </row>
    <row r="146" spans="2:4">
      <c r="B146" s="2977">
        <v>109</v>
      </c>
      <c r="C146" s="2977">
        <v>93.26</v>
      </c>
      <c r="D146" s="2978" t="s">
        <v>3424</v>
      </c>
    </row>
    <row r="147" spans="2:4">
      <c r="B147" s="2977">
        <v>110</v>
      </c>
      <c r="C147" s="2977">
        <v>130.4</v>
      </c>
      <c r="D147" s="2978" t="s">
        <v>3394</v>
      </c>
    </row>
    <row r="148" spans="2:4">
      <c r="B148" s="2977">
        <v>111</v>
      </c>
      <c r="C148" s="2977">
        <v>128.69999999999999</v>
      </c>
      <c r="D148" s="2978" t="s">
        <v>3419</v>
      </c>
    </row>
    <row r="149" spans="2:4">
      <c r="B149" s="2977">
        <v>112</v>
      </c>
      <c r="C149" s="2977">
        <v>135.03</v>
      </c>
      <c r="D149" s="2978" t="s">
        <v>3325</v>
      </c>
    </row>
    <row r="150" spans="2:4">
      <c r="B150" s="2977">
        <v>113</v>
      </c>
      <c r="C150" s="2977">
        <v>126.61</v>
      </c>
      <c r="D150" s="2978" t="s">
        <v>3422</v>
      </c>
    </row>
    <row r="151" spans="2:4">
      <c r="B151" s="2977">
        <v>114</v>
      </c>
      <c r="C151" s="2977">
        <v>39.43</v>
      </c>
      <c r="D151" s="2978" t="s">
        <v>3501</v>
      </c>
    </row>
    <row r="152" spans="2:4">
      <c r="B152" s="2977">
        <v>115</v>
      </c>
      <c r="C152" s="2977">
        <v>128.71</v>
      </c>
      <c r="D152" s="2978" t="s">
        <v>3479</v>
      </c>
    </row>
    <row r="153" spans="2:4">
      <c r="B153" s="2977">
        <v>116</v>
      </c>
      <c r="C153" s="2977">
        <v>119.4</v>
      </c>
      <c r="D153" s="2978" t="s">
        <v>3442</v>
      </c>
    </row>
    <row r="154" spans="2:4">
      <c r="B154" s="2977">
        <v>117</v>
      </c>
      <c r="C154" s="2977">
        <v>73.349999999999994</v>
      </c>
      <c r="D154" s="2978" t="s">
        <v>3485</v>
      </c>
    </row>
    <row r="155" spans="2:4">
      <c r="B155" s="2977">
        <v>118</v>
      </c>
      <c r="C155" s="2977">
        <v>52.58</v>
      </c>
      <c r="D155" s="2978" t="s">
        <v>3429</v>
      </c>
    </row>
    <row r="156" spans="2:4">
      <c r="B156" s="2977">
        <v>119</v>
      </c>
      <c r="C156" s="2977">
        <v>21.55</v>
      </c>
      <c r="D156" s="2978" t="s">
        <v>3455</v>
      </c>
    </row>
    <row r="157" spans="2:4">
      <c r="B157" s="2977">
        <v>120</v>
      </c>
      <c r="C157" s="2977">
        <v>84.44</v>
      </c>
      <c r="D157" s="2978" t="s">
        <v>3345</v>
      </c>
    </row>
    <row r="158" spans="2:4">
      <c r="B158" s="2977">
        <v>121</v>
      </c>
      <c r="C158" s="2977">
        <v>99.31</v>
      </c>
      <c r="D158" s="2978" t="s">
        <v>3350</v>
      </c>
    </row>
    <row r="159" spans="2:4">
      <c r="B159" s="2977">
        <v>122</v>
      </c>
      <c r="C159" s="2977">
        <v>96.33</v>
      </c>
      <c r="D159" s="2978" t="s">
        <v>3352</v>
      </c>
    </row>
    <row r="160" spans="2:4">
      <c r="B160" s="2977">
        <v>123</v>
      </c>
      <c r="C160" s="2977">
        <v>95.85</v>
      </c>
      <c r="D160" s="2978" t="s">
        <v>3356</v>
      </c>
    </row>
    <row r="161" spans="1:4">
      <c r="B161" s="2977">
        <v>124</v>
      </c>
      <c r="C161" s="2977">
        <v>40.35</v>
      </c>
      <c r="D161" s="2978" t="s">
        <v>3340</v>
      </c>
    </row>
    <row r="162" spans="1:4">
      <c r="B162" s="2977">
        <v>125</v>
      </c>
      <c r="C162" s="2977">
        <v>97.52</v>
      </c>
      <c r="D162" s="2978" t="s">
        <v>3458</v>
      </c>
    </row>
    <row r="163" spans="1:4">
      <c r="B163" s="2977">
        <v>126</v>
      </c>
      <c r="C163" s="2977">
        <v>95.84</v>
      </c>
      <c r="D163" s="2978" t="s">
        <v>3453</v>
      </c>
    </row>
    <row r="164" spans="1:4">
      <c r="B164" s="2977">
        <v>127</v>
      </c>
      <c r="C164" s="2977">
        <v>91.53</v>
      </c>
      <c r="D164" s="2978" t="s">
        <v>3503</v>
      </c>
    </row>
    <row r="165" spans="1:4">
      <c r="B165" s="2977">
        <v>128</v>
      </c>
      <c r="C165" s="2977">
        <v>85.25</v>
      </c>
      <c r="D165" s="2978" t="s">
        <v>3489</v>
      </c>
    </row>
    <row r="166" spans="1:4">
      <c r="B166" s="2977">
        <v>129</v>
      </c>
      <c r="C166" s="2977">
        <v>69.7</v>
      </c>
      <c r="D166" s="2978" t="s">
        <v>3366</v>
      </c>
    </row>
    <row r="167" spans="1:4">
      <c r="B167" s="2977">
        <v>130</v>
      </c>
      <c r="C167" s="2977">
        <v>125.52</v>
      </c>
      <c r="D167" s="2978" t="s">
        <v>3491</v>
      </c>
    </row>
    <row r="168" spans="1:4">
      <c r="B168" s="2977">
        <v>131</v>
      </c>
      <c r="C168" s="2977">
        <v>40.340000000000003</v>
      </c>
      <c r="D168" s="2978" t="s">
        <v>3493</v>
      </c>
    </row>
    <row r="169" spans="1:4">
      <c r="B169" s="2977">
        <v>132</v>
      </c>
      <c r="C169" s="2977">
        <v>19.989999999999998</v>
      </c>
      <c r="D169" s="2978" t="s">
        <v>3495</v>
      </c>
    </row>
    <row r="170" spans="1:4">
      <c r="B170" s="2977">
        <v>149</v>
      </c>
      <c r="C170" s="2977">
        <v>153.81</v>
      </c>
      <c r="D170" s="2978" t="s">
        <v>3497</v>
      </c>
    </row>
    <row r="171" spans="1:4">
      <c r="B171" s="2977">
        <v>150</v>
      </c>
      <c r="C171" s="2977">
        <v>358.53</v>
      </c>
      <c r="D171" s="2978" t="s">
        <v>3499</v>
      </c>
    </row>
    <row r="172" spans="1:4">
      <c r="A172" s="3106" t="s">
        <v>3056</v>
      </c>
      <c r="B172" s="3106"/>
      <c r="C172" s="2976">
        <f>SUM(C138:C171)</f>
        <v>3350.2299999999996</v>
      </c>
    </row>
    <row r="173" spans="1:4">
      <c r="A173" s="2976" t="s">
        <v>3060</v>
      </c>
      <c r="B173" s="2977">
        <v>201</v>
      </c>
      <c r="C173" s="2977">
        <v>330.02</v>
      </c>
      <c r="D173" s="2978" t="s">
        <v>3388</v>
      </c>
    </row>
    <row r="174" spans="1:4">
      <c r="B174" s="2976">
        <v>202</v>
      </c>
      <c r="C174" s="2976">
        <v>106.57</v>
      </c>
    </row>
    <row r="175" spans="1:4">
      <c r="B175" s="2977">
        <v>203</v>
      </c>
      <c r="C175" s="2977">
        <v>117.83</v>
      </c>
      <c r="D175" s="2978" t="s">
        <v>3363</v>
      </c>
    </row>
    <row r="176" spans="1:4">
      <c r="B176" s="2977">
        <v>204</v>
      </c>
      <c r="C176" s="2977">
        <v>130.4</v>
      </c>
      <c r="D176" s="2978" t="s">
        <v>3468</v>
      </c>
    </row>
    <row r="177" spans="2:4">
      <c r="B177" s="2977">
        <v>205</v>
      </c>
      <c r="C177" s="2977">
        <v>131.08000000000001</v>
      </c>
      <c r="D177" s="2978" t="s">
        <v>3475</v>
      </c>
    </row>
    <row r="178" spans="2:4">
      <c r="B178" s="2977">
        <v>206</v>
      </c>
      <c r="C178" s="2977">
        <v>128.38</v>
      </c>
      <c r="D178" s="2978" t="s">
        <v>3400</v>
      </c>
    </row>
    <row r="179" spans="2:4">
      <c r="B179" s="2977">
        <v>207</v>
      </c>
      <c r="C179" s="2977">
        <v>130.88</v>
      </c>
      <c r="D179" s="2978" t="s">
        <v>3372</v>
      </c>
    </row>
    <row r="180" spans="2:4">
      <c r="B180" s="2977">
        <v>208</v>
      </c>
      <c r="C180" s="2977">
        <v>130.75</v>
      </c>
      <c r="D180" s="2978" t="s">
        <v>3404</v>
      </c>
    </row>
    <row r="181" spans="2:4">
      <c r="B181" s="2977">
        <v>209</v>
      </c>
      <c r="C181" s="2977">
        <v>134.69999999999999</v>
      </c>
      <c r="D181" s="2978" t="s">
        <v>3342</v>
      </c>
    </row>
    <row r="182" spans="2:4">
      <c r="B182" s="2977">
        <v>210</v>
      </c>
      <c r="C182" s="2977">
        <v>128.78</v>
      </c>
      <c r="D182" s="2978" t="s">
        <v>3412</v>
      </c>
    </row>
    <row r="183" spans="2:4">
      <c r="B183" s="2977">
        <v>211</v>
      </c>
      <c r="C183" s="2977">
        <v>109.28</v>
      </c>
      <c r="D183" s="2978" t="s">
        <v>3505</v>
      </c>
    </row>
    <row r="184" spans="2:4">
      <c r="B184" s="2977">
        <v>212</v>
      </c>
      <c r="C184" s="2977">
        <v>137.75</v>
      </c>
      <c r="D184" s="2978" t="s">
        <v>3446</v>
      </c>
    </row>
    <row r="185" spans="2:4">
      <c r="B185" s="2977">
        <v>213</v>
      </c>
      <c r="C185" s="2977">
        <v>209.73</v>
      </c>
      <c r="D185" s="2978" t="s">
        <v>3427</v>
      </c>
    </row>
    <row r="186" spans="2:4">
      <c r="B186" s="2977">
        <v>214</v>
      </c>
      <c r="C186" s="2977">
        <v>124.04</v>
      </c>
      <c r="D186" s="2978" t="s">
        <v>3483</v>
      </c>
    </row>
    <row r="187" spans="2:4">
      <c r="B187" s="2977">
        <v>215</v>
      </c>
      <c r="C187" s="2977">
        <v>36.090000000000003</v>
      </c>
      <c r="D187" s="2978" t="s">
        <v>3477</v>
      </c>
    </row>
    <row r="188" spans="2:4">
      <c r="B188" s="2977">
        <v>216</v>
      </c>
      <c r="C188" s="2977">
        <v>81.86</v>
      </c>
      <c r="D188" s="2978" t="s">
        <v>3463</v>
      </c>
    </row>
    <row r="189" spans="2:4">
      <c r="B189" s="2977">
        <v>217</v>
      </c>
      <c r="C189" s="2977">
        <v>137</v>
      </c>
      <c r="D189" s="2978" t="s">
        <v>3472</v>
      </c>
    </row>
    <row r="190" spans="2:4">
      <c r="B190" s="2977">
        <v>218</v>
      </c>
      <c r="C190" s="2977">
        <v>132.44999999999999</v>
      </c>
      <c r="D190" s="2978" t="s">
        <v>3359</v>
      </c>
    </row>
    <row r="191" spans="2:4">
      <c r="B191" s="2977">
        <v>219</v>
      </c>
      <c r="C191" s="2977">
        <v>131.08000000000001</v>
      </c>
      <c r="D191" s="2978" t="s">
        <v>3361</v>
      </c>
    </row>
    <row r="192" spans="2:4">
      <c r="B192" s="2977">
        <v>220</v>
      </c>
      <c r="C192" s="2977">
        <v>93.04</v>
      </c>
      <c r="D192" s="2978" t="s">
        <v>3335</v>
      </c>
    </row>
    <row r="193" spans="1:4">
      <c r="B193" s="2977">
        <v>221</v>
      </c>
      <c r="C193" s="2977">
        <v>134.58000000000001</v>
      </c>
      <c r="D193" s="2978" t="s">
        <v>3461</v>
      </c>
    </row>
    <row r="194" spans="1:4">
      <c r="B194" s="2977">
        <v>222</v>
      </c>
      <c r="C194" s="2977">
        <v>136.44</v>
      </c>
      <c r="D194" s="2978" t="s">
        <v>3487</v>
      </c>
    </row>
    <row r="195" spans="1:4">
      <c r="B195" s="2977">
        <v>223</v>
      </c>
      <c r="C195" s="2977">
        <v>81.03</v>
      </c>
      <c r="D195" s="2978" t="s">
        <v>3507</v>
      </c>
    </row>
    <row r="196" spans="1:4">
      <c r="B196" s="2977">
        <v>224</v>
      </c>
      <c r="C196" s="2977">
        <v>12.76</v>
      </c>
      <c r="D196" s="2978" t="s">
        <v>3438</v>
      </c>
    </row>
    <row r="197" spans="1:4">
      <c r="B197" s="2977">
        <v>225</v>
      </c>
      <c r="C197" s="2977">
        <v>16.97</v>
      </c>
      <c r="D197" s="2978" t="s">
        <v>3440</v>
      </c>
    </row>
    <row r="198" spans="1:4">
      <c r="B198" s="2977">
        <v>226</v>
      </c>
      <c r="C198" s="2977">
        <v>152.13999999999999</v>
      </c>
      <c r="D198" s="2978" t="s">
        <v>3417</v>
      </c>
    </row>
    <row r="199" spans="1:4">
      <c r="B199" s="2977">
        <v>227</v>
      </c>
      <c r="C199" s="2977">
        <v>192.39</v>
      </c>
      <c r="D199" s="2978" t="s">
        <v>3415</v>
      </c>
    </row>
    <row r="200" spans="1:4">
      <c r="B200" s="2977">
        <v>228</v>
      </c>
      <c r="C200" s="2977">
        <v>75.930000000000007</v>
      </c>
      <c r="D200" s="2978" t="s">
        <v>3380</v>
      </c>
    </row>
    <row r="201" spans="1:4">
      <c r="A201" s="3106" t="s">
        <v>3056</v>
      </c>
      <c r="B201" s="3106"/>
      <c r="C201" s="2976">
        <f>SUM(C173:C200)</f>
        <v>3463.95</v>
      </c>
    </row>
    <row r="202" spans="1:4">
      <c r="A202" s="2976" t="s">
        <v>3061</v>
      </c>
      <c r="B202" s="2977">
        <v>301</v>
      </c>
      <c r="C202" s="2977">
        <v>63.74</v>
      </c>
      <c r="D202" s="2978" t="s">
        <v>3238</v>
      </c>
    </row>
    <row r="203" spans="1:4">
      <c r="B203" s="2977">
        <v>302</v>
      </c>
      <c r="C203" s="2977">
        <v>64.599999999999994</v>
      </c>
      <c r="D203" s="2978" t="s">
        <v>3240</v>
      </c>
    </row>
    <row r="204" spans="1:4">
      <c r="B204" s="2977">
        <v>303</v>
      </c>
      <c r="C204" s="2977">
        <v>69.760000000000005</v>
      </c>
      <c r="D204" s="2978" t="s">
        <v>3258</v>
      </c>
    </row>
    <row r="205" spans="1:4">
      <c r="B205" s="2977">
        <v>304</v>
      </c>
      <c r="C205" s="2977">
        <v>69.760000000000005</v>
      </c>
      <c r="D205" s="2978" t="s">
        <v>3260</v>
      </c>
    </row>
    <row r="206" spans="1:4">
      <c r="B206" s="2977">
        <v>305</v>
      </c>
      <c r="C206" s="2977">
        <v>69.760000000000005</v>
      </c>
      <c r="D206" s="2978" t="s">
        <v>3248</v>
      </c>
    </row>
    <row r="207" spans="1:4">
      <c r="B207" s="2977">
        <v>306</v>
      </c>
      <c r="C207" s="2977">
        <v>99.05</v>
      </c>
      <c r="D207" s="2978" t="s">
        <v>3252</v>
      </c>
    </row>
    <row r="208" spans="1:4">
      <c r="B208" s="2977">
        <v>307</v>
      </c>
      <c r="C208" s="2977">
        <v>110.75</v>
      </c>
      <c r="D208" s="2978" t="s">
        <v>3254</v>
      </c>
    </row>
    <row r="209" spans="2:4">
      <c r="B209" s="2976">
        <v>308</v>
      </c>
      <c r="C209" s="2976">
        <v>63.39</v>
      </c>
    </row>
    <row r="210" spans="2:4">
      <c r="B210" s="2976">
        <v>309</v>
      </c>
      <c r="C210" s="2976">
        <v>37.06</v>
      </c>
    </row>
    <row r="211" spans="2:4">
      <c r="B211" s="2977">
        <v>310</v>
      </c>
      <c r="C211" s="2977">
        <v>37.06</v>
      </c>
      <c r="D211" s="2978" t="s">
        <v>3256</v>
      </c>
    </row>
    <row r="212" spans="2:4">
      <c r="B212" s="2976">
        <v>311</v>
      </c>
      <c r="C212" s="2976">
        <v>37.06</v>
      </c>
    </row>
    <row r="213" spans="2:4">
      <c r="B213" s="2976">
        <v>312</v>
      </c>
      <c r="C213" s="2976">
        <v>37.06</v>
      </c>
    </row>
    <row r="214" spans="2:4">
      <c r="B214" s="2976">
        <v>313</v>
      </c>
      <c r="C214" s="2976">
        <v>58.66</v>
      </c>
    </row>
    <row r="215" spans="2:4">
      <c r="B215" s="2976">
        <v>314</v>
      </c>
      <c r="C215" s="2976">
        <v>55.05</v>
      </c>
    </row>
    <row r="216" spans="2:4">
      <c r="B216" s="2976">
        <v>315</v>
      </c>
      <c r="C216" s="2976">
        <v>58.44</v>
      </c>
    </row>
    <row r="217" spans="2:4">
      <c r="B217" s="2976">
        <v>316</v>
      </c>
      <c r="C217" s="2976">
        <v>91.07</v>
      </c>
    </row>
    <row r="218" spans="2:4">
      <c r="B218" s="2976">
        <v>317</v>
      </c>
      <c r="C218" s="2976">
        <v>100.24</v>
      </c>
    </row>
    <row r="219" spans="2:4">
      <c r="B219" s="2976">
        <v>318</v>
      </c>
      <c r="C219" s="2976">
        <v>98.83</v>
      </c>
    </row>
    <row r="220" spans="2:4">
      <c r="B220" s="2977">
        <v>319</v>
      </c>
      <c r="C220" s="2977">
        <v>98.19</v>
      </c>
      <c r="D220" s="2978" t="s">
        <v>3262</v>
      </c>
    </row>
    <row r="221" spans="2:4">
      <c r="B221" s="2976">
        <v>320</v>
      </c>
      <c r="C221" s="2976">
        <v>123.05</v>
      </c>
    </row>
    <row r="222" spans="2:4">
      <c r="B222" s="2976">
        <v>321</v>
      </c>
      <c r="C222" s="2976">
        <v>95.15</v>
      </c>
    </row>
    <row r="223" spans="2:4">
      <c r="B223" s="2976">
        <v>322</v>
      </c>
      <c r="C223" s="2976">
        <v>98.16</v>
      </c>
    </row>
    <row r="224" spans="2:4">
      <c r="B224" s="2977">
        <v>323</v>
      </c>
      <c r="C224" s="2977">
        <v>96.75</v>
      </c>
      <c r="D224" s="2978" t="s">
        <v>3227</v>
      </c>
    </row>
    <row r="225" spans="2:4">
      <c r="B225" s="2976">
        <v>324</v>
      </c>
      <c r="C225" s="2976">
        <v>92.11</v>
      </c>
    </row>
    <row r="226" spans="2:4">
      <c r="B226" s="2977">
        <v>325</v>
      </c>
      <c r="C226" s="2977">
        <v>100.09</v>
      </c>
      <c r="D226" s="2978" t="s">
        <v>3232</v>
      </c>
    </row>
    <row r="227" spans="2:4">
      <c r="B227" s="2977">
        <v>326</v>
      </c>
      <c r="C227" s="2977">
        <v>100.92</v>
      </c>
      <c r="D227" s="2978" t="s">
        <v>3236</v>
      </c>
    </row>
    <row r="228" spans="2:4">
      <c r="B228" s="2976">
        <v>327</v>
      </c>
      <c r="C228" s="2976">
        <v>108.04</v>
      </c>
    </row>
    <row r="229" spans="2:4">
      <c r="B229" s="2977">
        <v>328</v>
      </c>
      <c r="C229" s="2977">
        <v>89.61</v>
      </c>
      <c r="D229" s="2978" t="s">
        <v>3246</v>
      </c>
    </row>
    <row r="230" spans="2:4">
      <c r="B230" s="2977">
        <v>329</v>
      </c>
      <c r="C230" s="2977">
        <v>100.51</v>
      </c>
      <c r="D230" s="2978" t="s">
        <v>3242</v>
      </c>
    </row>
    <row r="231" spans="2:4">
      <c r="B231" s="2976">
        <v>330</v>
      </c>
      <c r="C231" s="2976">
        <v>103.86</v>
      </c>
    </row>
    <row r="232" spans="2:4">
      <c r="B232" s="2976">
        <v>331</v>
      </c>
      <c r="C232" s="2976">
        <v>99.59</v>
      </c>
    </row>
    <row r="233" spans="2:4">
      <c r="B233" s="2977">
        <v>332</v>
      </c>
      <c r="C233" s="2977">
        <v>59.37</v>
      </c>
      <c r="D233" s="2978" t="s">
        <v>3160</v>
      </c>
    </row>
    <row r="234" spans="2:4">
      <c r="B234" s="2977">
        <v>333</v>
      </c>
      <c r="C234" s="2977">
        <v>37.06</v>
      </c>
      <c r="D234" s="2978" t="s">
        <v>3164</v>
      </c>
    </row>
    <row r="235" spans="2:4">
      <c r="B235" s="2977">
        <v>334</v>
      </c>
      <c r="C235" s="2977">
        <v>37.06</v>
      </c>
      <c r="D235" s="2978" t="s">
        <v>3166</v>
      </c>
    </row>
    <row r="236" spans="2:4">
      <c r="B236" s="2977">
        <v>335</v>
      </c>
      <c r="C236" s="2977">
        <v>37.479999999999997</v>
      </c>
      <c r="D236" s="2978" t="s">
        <v>3168</v>
      </c>
    </row>
    <row r="237" spans="2:4">
      <c r="B237" s="2977">
        <v>336</v>
      </c>
      <c r="C237" s="2977">
        <v>36.64</v>
      </c>
      <c r="D237" s="2978" t="s">
        <v>3170</v>
      </c>
    </row>
    <row r="238" spans="2:4">
      <c r="B238" s="2977">
        <v>337</v>
      </c>
      <c r="C238" s="2977">
        <v>63.77</v>
      </c>
      <c r="D238" s="2978" t="s">
        <v>3172</v>
      </c>
    </row>
    <row r="239" spans="2:4">
      <c r="B239" s="2976">
        <v>338</v>
      </c>
      <c r="C239" s="2976">
        <v>66.56</v>
      </c>
    </row>
    <row r="240" spans="2:4">
      <c r="B240" s="2977">
        <v>339</v>
      </c>
      <c r="C240" s="2977">
        <v>69.760000000000005</v>
      </c>
      <c r="D240" s="2978" t="s">
        <v>3178</v>
      </c>
    </row>
    <row r="241" spans="1:4">
      <c r="B241" s="2977">
        <v>340</v>
      </c>
      <c r="C241" s="2977">
        <v>69.760000000000005</v>
      </c>
      <c r="D241" s="2978" t="s">
        <v>3184</v>
      </c>
    </row>
    <row r="242" spans="1:4">
      <c r="B242" s="2977">
        <v>341</v>
      </c>
      <c r="C242" s="2977">
        <v>69.760000000000005</v>
      </c>
      <c r="D242" s="2978" t="s">
        <v>3186</v>
      </c>
    </row>
    <row r="243" spans="1:4">
      <c r="B243" s="2977">
        <v>342</v>
      </c>
      <c r="C243" s="2977">
        <v>69.760000000000005</v>
      </c>
      <c r="D243" s="2978" t="s">
        <v>3188</v>
      </c>
    </row>
    <row r="244" spans="1:4">
      <c r="B244" s="2976">
        <v>343</v>
      </c>
      <c r="C244" s="2976">
        <v>69.760000000000005</v>
      </c>
    </row>
    <row r="245" spans="1:4">
      <c r="B245" s="2977">
        <v>344</v>
      </c>
      <c r="C245" s="2977">
        <v>64.599999999999994</v>
      </c>
      <c r="D245" s="2978" t="s">
        <v>3201</v>
      </c>
    </row>
    <row r="246" spans="1:4">
      <c r="B246" s="2976">
        <v>345</v>
      </c>
      <c r="C246" s="2976">
        <v>62.54</v>
      </c>
    </row>
    <row r="247" spans="1:4">
      <c r="B247" s="2976">
        <v>346</v>
      </c>
      <c r="C247" s="2976">
        <v>85.23</v>
      </c>
    </row>
    <row r="248" spans="1:4">
      <c r="B248" s="2976">
        <v>347</v>
      </c>
      <c r="C248" s="2976">
        <v>57.36</v>
      </c>
    </row>
    <row r="249" spans="1:4">
      <c r="B249" s="2976">
        <v>348</v>
      </c>
      <c r="C249" s="2976">
        <v>56.65</v>
      </c>
    </row>
    <row r="250" spans="1:4">
      <c r="A250" s="2976" t="s">
        <v>3056</v>
      </c>
      <c r="C250" s="2976">
        <f>SUM(C202:C249)</f>
        <v>3540.4900000000011</v>
      </c>
    </row>
    <row r="251" spans="1:4">
      <c r="A251" s="2976" t="s">
        <v>3053</v>
      </c>
      <c r="B251" s="2976">
        <v>401</v>
      </c>
      <c r="C251" s="2976">
        <v>66.53</v>
      </c>
    </row>
    <row r="252" spans="1:4">
      <c r="B252" s="2976">
        <v>402</v>
      </c>
      <c r="C252" s="2976">
        <v>67.040000000000006</v>
      </c>
    </row>
    <row r="253" spans="1:4">
      <c r="B253" s="2976">
        <v>403</v>
      </c>
      <c r="C253" s="2976">
        <v>72.48</v>
      </c>
    </row>
    <row r="254" spans="1:4">
      <c r="B254" s="2976">
        <v>404</v>
      </c>
      <c r="C254" s="2976">
        <v>72.48</v>
      </c>
    </row>
    <row r="255" spans="1:4">
      <c r="B255" s="2976">
        <v>405</v>
      </c>
      <c r="C255" s="2976">
        <v>72.48</v>
      </c>
    </row>
    <row r="256" spans="1:4">
      <c r="B256" s="2976">
        <v>406</v>
      </c>
      <c r="C256" s="2976">
        <v>103.96</v>
      </c>
    </row>
    <row r="257" spans="2:3">
      <c r="B257" s="2976">
        <v>407</v>
      </c>
      <c r="C257" s="2976">
        <v>114.55</v>
      </c>
    </row>
    <row r="258" spans="2:3">
      <c r="B258" s="2976">
        <v>408</v>
      </c>
      <c r="C258" s="2976">
        <v>77.819999999999993</v>
      </c>
    </row>
    <row r="259" spans="2:3">
      <c r="B259" s="2976">
        <v>409</v>
      </c>
      <c r="C259" s="2976">
        <v>41.07</v>
      </c>
    </row>
    <row r="260" spans="2:3">
      <c r="B260" s="2976">
        <v>410</v>
      </c>
      <c r="C260" s="2976">
        <v>41.07</v>
      </c>
    </row>
    <row r="261" spans="2:3">
      <c r="B261" s="2976">
        <v>411</v>
      </c>
      <c r="C261" s="2976">
        <v>41.07</v>
      </c>
    </row>
    <row r="262" spans="2:3">
      <c r="B262" s="2976">
        <v>412</v>
      </c>
      <c r="C262" s="2976">
        <v>41.07</v>
      </c>
    </row>
    <row r="263" spans="2:3">
      <c r="B263" s="2976">
        <v>413</v>
      </c>
      <c r="C263" s="2976">
        <v>62.67</v>
      </c>
    </row>
    <row r="264" spans="2:3">
      <c r="B264" s="2976">
        <v>414</v>
      </c>
      <c r="C264" s="2976">
        <v>55.05</v>
      </c>
    </row>
    <row r="265" spans="2:3">
      <c r="B265" s="2976">
        <v>415</v>
      </c>
      <c r="C265" s="2976">
        <v>58.44</v>
      </c>
    </row>
    <row r="266" spans="2:3">
      <c r="B266" s="2976">
        <v>416</v>
      </c>
      <c r="C266" s="2976">
        <v>91.07</v>
      </c>
    </row>
    <row r="267" spans="2:3">
      <c r="B267" s="2976">
        <v>417</v>
      </c>
      <c r="C267" s="2976">
        <v>100.24</v>
      </c>
    </row>
    <row r="268" spans="2:3">
      <c r="B268" s="2976">
        <v>418</v>
      </c>
      <c r="C268" s="2976">
        <v>98.83</v>
      </c>
    </row>
    <row r="269" spans="2:3">
      <c r="B269" s="2976">
        <v>419</v>
      </c>
      <c r="C269" s="2976">
        <v>98.19</v>
      </c>
    </row>
    <row r="270" spans="2:3">
      <c r="B270" s="2976">
        <v>420</v>
      </c>
      <c r="C270" s="2976">
        <v>123.05</v>
      </c>
    </row>
    <row r="271" spans="2:3">
      <c r="B271" s="2976">
        <v>421</v>
      </c>
      <c r="C271" s="2976">
        <v>95.15</v>
      </c>
    </row>
    <row r="272" spans="2:3">
      <c r="B272" s="2976">
        <v>422</v>
      </c>
      <c r="C272" s="2976">
        <v>98.16</v>
      </c>
    </row>
    <row r="273" spans="2:3">
      <c r="B273" s="2976">
        <v>423</v>
      </c>
      <c r="C273" s="2976">
        <v>96.75</v>
      </c>
    </row>
    <row r="274" spans="2:3">
      <c r="B274" s="2976">
        <v>424</v>
      </c>
      <c r="C274" s="2976">
        <v>98.8</v>
      </c>
    </row>
    <row r="275" spans="2:3">
      <c r="B275" s="2976">
        <v>425</v>
      </c>
      <c r="C275" s="2976">
        <v>106.54</v>
      </c>
    </row>
    <row r="276" spans="2:3">
      <c r="B276" s="2976">
        <v>426</v>
      </c>
      <c r="C276" s="2976">
        <v>107.35</v>
      </c>
    </row>
    <row r="277" spans="2:3">
      <c r="B277" s="2976">
        <v>427</v>
      </c>
      <c r="C277" s="2976">
        <v>115.25</v>
      </c>
    </row>
    <row r="278" spans="2:3">
      <c r="B278" s="2976">
        <v>428</v>
      </c>
      <c r="C278" s="2976">
        <v>95.58</v>
      </c>
    </row>
    <row r="279" spans="2:3">
      <c r="B279" s="2976">
        <v>429</v>
      </c>
      <c r="C279" s="2976">
        <v>106.95</v>
      </c>
    </row>
    <row r="280" spans="2:3">
      <c r="B280" s="2976">
        <v>430</v>
      </c>
      <c r="C280" s="2976">
        <v>110.54</v>
      </c>
    </row>
    <row r="281" spans="2:3">
      <c r="B281" s="2976">
        <v>431</v>
      </c>
      <c r="C281" s="2976">
        <v>106.03</v>
      </c>
    </row>
    <row r="282" spans="2:3">
      <c r="B282" s="2976">
        <v>432</v>
      </c>
      <c r="C282" s="2976">
        <v>64.47</v>
      </c>
    </row>
    <row r="283" spans="2:3">
      <c r="B283" s="2976">
        <v>433</v>
      </c>
      <c r="C283" s="2976">
        <v>43.48</v>
      </c>
    </row>
    <row r="284" spans="2:3">
      <c r="B284" s="2976">
        <v>434</v>
      </c>
      <c r="C284" s="2976">
        <v>43.48</v>
      </c>
    </row>
    <row r="285" spans="2:3">
      <c r="B285" s="2976">
        <v>435</v>
      </c>
      <c r="C285" s="2976">
        <v>42.57</v>
      </c>
    </row>
    <row r="286" spans="2:3">
      <c r="B286" s="2976">
        <v>436</v>
      </c>
      <c r="C286" s="2976">
        <v>40.64</v>
      </c>
    </row>
    <row r="287" spans="2:3">
      <c r="B287" s="2976">
        <v>437</v>
      </c>
      <c r="C287" s="2976">
        <v>76.69</v>
      </c>
    </row>
    <row r="288" spans="2:3">
      <c r="B288" s="2976">
        <v>438</v>
      </c>
      <c r="C288" s="2976">
        <v>69.28</v>
      </c>
    </row>
    <row r="289" spans="1:3">
      <c r="B289" s="2976">
        <v>439</v>
      </c>
      <c r="C289" s="2976">
        <v>72.48</v>
      </c>
    </row>
    <row r="290" spans="1:3">
      <c r="B290" s="2976">
        <v>440</v>
      </c>
      <c r="C290" s="2976">
        <v>73.400000000000006</v>
      </c>
    </row>
    <row r="291" spans="1:3">
      <c r="B291" s="2976">
        <v>441</v>
      </c>
      <c r="C291" s="2976">
        <v>71.58</v>
      </c>
    </row>
    <row r="292" spans="1:3">
      <c r="B292" s="2976">
        <v>442</v>
      </c>
      <c r="C292" s="2976">
        <v>72.48</v>
      </c>
    </row>
    <row r="293" spans="1:3">
      <c r="B293" s="2976">
        <v>443</v>
      </c>
      <c r="C293" s="2976">
        <v>72.48</v>
      </c>
    </row>
    <row r="294" spans="1:3">
      <c r="B294" s="2976">
        <v>444</v>
      </c>
      <c r="C294" s="2976">
        <v>67.040000000000006</v>
      </c>
    </row>
    <row r="295" spans="1:3">
      <c r="B295" s="2976">
        <v>445</v>
      </c>
      <c r="C295" s="2976">
        <v>65.400000000000006</v>
      </c>
    </row>
    <row r="296" spans="1:3">
      <c r="B296" s="2976">
        <v>446</v>
      </c>
      <c r="C296" s="2976">
        <v>85.23</v>
      </c>
    </row>
    <row r="297" spans="1:3">
      <c r="B297" s="2976">
        <v>447</v>
      </c>
      <c r="C297" s="2976">
        <v>57.36</v>
      </c>
    </row>
    <row r="298" spans="1:3">
      <c r="B298" s="2976">
        <v>448</v>
      </c>
      <c r="C298" s="2976">
        <v>56.65</v>
      </c>
    </row>
    <row r="299" spans="1:3">
      <c r="A299" s="3106" t="s">
        <v>3056</v>
      </c>
      <c r="B299" s="3106"/>
      <c r="C299" s="2976">
        <f>SUM(C251:C298)</f>
        <v>3710.9700000000003</v>
      </c>
    </row>
    <row r="300" spans="1:3">
      <c r="A300" s="2976" t="s">
        <v>3062</v>
      </c>
      <c r="B300" s="2976">
        <v>501</v>
      </c>
      <c r="C300" s="2976">
        <v>66.53</v>
      </c>
    </row>
    <row r="301" spans="1:3">
      <c r="B301" s="2976">
        <v>502</v>
      </c>
      <c r="C301" s="2976">
        <v>67.040000000000006</v>
      </c>
    </row>
    <row r="302" spans="1:3">
      <c r="B302" s="2976">
        <v>503</v>
      </c>
      <c r="C302" s="2976">
        <v>72.48</v>
      </c>
    </row>
    <row r="303" spans="1:3">
      <c r="B303" s="2976">
        <v>504</v>
      </c>
      <c r="C303" s="2976">
        <v>72.48</v>
      </c>
    </row>
    <row r="304" spans="1:3">
      <c r="B304" s="2976">
        <v>505</v>
      </c>
      <c r="C304" s="2976">
        <v>72.48</v>
      </c>
    </row>
    <row r="305" spans="2:3">
      <c r="B305" s="2976">
        <v>506</v>
      </c>
      <c r="C305" s="2976">
        <v>103.96</v>
      </c>
    </row>
    <row r="306" spans="2:3">
      <c r="B306" s="2976">
        <v>507</v>
      </c>
      <c r="C306" s="2976">
        <v>116.47</v>
      </c>
    </row>
    <row r="307" spans="2:3">
      <c r="B307" s="2976">
        <v>508</v>
      </c>
      <c r="C307" s="2976">
        <v>82.12</v>
      </c>
    </row>
    <row r="308" spans="2:3">
      <c r="B308" s="2976">
        <v>509</v>
      </c>
      <c r="C308" s="2976">
        <v>43.48</v>
      </c>
    </row>
    <row r="309" spans="2:3">
      <c r="B309" s="2976">
        <v>510</v>
      </c>
      <c r="C309" s="2976">
        <v>43.48</v>
      </c>
    </row>
    <row r="310" spans="2:3">
      <c r="B310" s="2976">
        <v>511</v>
      </c>
      <c r="C310" s="2976">
        <v>43.48</v>
      </c>
    </row>
    <row r="311" spans="2:3">
      <c r="B311" s="2976">
        <v>512</v>
      </c>
      <c r="C311" s="2976">
        <v>43.48</v>
      </c>
    </row>
    <row r="312" spans="2:3">
      <c r="B312" s="2976">
        <v>513</v>
      </c>
      <c r="C312" s="2976">
        <v>63.35</v>
      </c>
    </row>
    <row r="313" spans="2:3">
      <c r="B313" s="2976">
        <v>514</v>
      </c>
      <c r="C313" s="2976">
        <v>55.05</v>
      </c>
    </row>
    <row r="314" spans="2:3">
      <c r="B314" s="2976">
        <v>515</v>
      </c>
      <c r="C314" s="2976">
        <v>58.44</v>
      </c>
    </row>
    <row r="315" spans="2:3">
      <c r="B315" s="2976">
        <v>516</v>
      </c>
      <c r="C315" s="2976">
        <v>91.07</v>
      </c>
    </row>
    <row r="316" spans="2:3">
      <c r="B316" s="2976">
        <v>517</v>
      </c>
      <c r="C316" s="2976">
        <v>100.24</v>
      </c>
    </row>
    <row r="317" spans="2:3">
      <c r="B317" s="2976">
        <v>518</v>
      </c>
      <c r="C317" s="2976">
        <v>98.83</v>
      </c>
    </row>
    <row r="318" spans="2:3">
      <c r="B318" s="2976">
        <v>519</v>
      </c>
      <c r="C318" s="2976">
        <v>98.19</v>
      </c>
    </row>
    <row r="319" spans="2:3">
      <c r="B319" s="2976">
        <v>520</v>
      </c>
      <c r="C319" s="2976">
        <v>123.05</v>
      </c>
    </row>
    <row r="320" spans="2:3">
      <c r="B320" s="2976">
        <v>521</v>
      </c>
      <c r="C320" s="2976">
        <v>95.15</v>
      </c>
    </row>
    <row r="321" spans="2:3">
      <c r="B321" s="2976">
        <v>522</v>
      </c>
      <c r="C321" s="2976">
        <v>98.16</v>
      </c>
    </row>
    <row r="322" spans="2:3">
      <c r="B322" s="2976">
        <v>523</v>
      </c>
      <c r="C322" s="2976">
        <v>96.75</v>
      </c>
    </row>
    <row r="323" spans="2:3">
      <c r="B323" s="2976">
        <v>524</v>
      </c>
      <c r="C323" s="2976">
        <v>98.8</v>
      </c>
    </row>
    <row r="324" spans="2:3">
      <c r="B324" s="2976">
        <v>525</v>
      </c>
      <c r="C324" s="2976">
        <v>106.54</v>
      </c>
    </row>
    <row r="325" spans="2:3">
      <c r="B325" s="2976">
        <v>526</v>
      </c>
      <c r="C325" s="2976">
        <v>107.35</v>
      </c>
    </row>
    <row r="326" spans="2:3">
      <c r="B326" s="2976">
        <v>527</v>
      </c>
      <c r="C326" s="2976">
        <v>115.25</v>
      </c>
    </row>
    <row r="327" spans="2:3">
      <c r="B327" s="2976">
        <v>528</v>
      </c>
      <c r="C327" s="2976">
        <v>95.58</v>
      </c>
    </row>
    <row r="328" spans="2:3">
      <c r="B328" s="2976">
        <v>529</v>
      </c>
      <c r="C328" s="2976">
        <v>106.95</v>
      </c>
    </row>
    <row r="329" spans="2:3">
      <c r="B329" s="2976">
        <v>530</v>
      </c>
      <c r="C329" s="2976">
        <v>110.54</v>
      </c>
    </row>
    <row r="330" spans="2:3">
      <c r="B330" s="2976">
        <v>531</v>
      </c>
      <c r="C330" s="2976">
        <v>106.03</v>
      </c>
    </row>
    <row r="331" spans="2:3">
      <c r="B331" s="2976">
        <v>532</v>
      </c>
      <c r="C331" s="2976">
        <v>63.38</v>
      </c>
    </row>
    <row r="332" spans="2:3">
      <c r="B332" s="2976">
        <v>533</v>
      </c>
      <c r="C332" s="2976">
        <v>41.07</v>
      </c>
    </row>
    <row r="333" spans="2:3">
      <c r="B333" s="2976">
        <v>534</v>
      </c>
      <c r="C333" s="2976">
        <v>41.07</v>
      </c>
    </row>
    <row r="334" spans="2:3">
      <c r="B334" s="2976">
        <v>535</v>
      </c>
      <c r="C334" s="2976">
        <v>41.48</v>
      </c>
    </row>
    <row r="335" spans="2:3">
      <c r="B335" s="2976">
        <v>536</v>
      </c>
      <c r="C335" s="2976">
        <v>40.64</v>
      </c>
    </row>
    <row r="336" spans="2:3">
      <c r="B336" s="2976">
        <v>537</v>
      </c>
      <c r="C336" s="2976">
        <v>76.69</v>
      </c>
    </row>
    <row r="337" spans="1:3">
      <c r="B337" s="2976">
        <v>538</v>
      </c>
      <c r="C337" s="2976">
        <v>69.28</v>
      </c>
    </row>
    <row r="338" spans="1:3">
      <c r="B338" s="2976">
        <v>539</v>
      </c>
      <c r="C338" s="2976">
        <v>72.48</v>
      </c>
    </row>
    <row r="339" spans="1:3">
      <c r="B339" s="2976">
        <v>540</v>
      </c>
      <c r="C339" s="2976">
        <v>73.400000000000006</v>
      </c>
    </row>
    <row r="340" spans="1:3">
      <c r="B340" s="2976">
        <v>541</v>
      </c>
      <c r="C340" s="2976">
        <v>71.58</v>
      </c>
    </row>
    <row r="341" spans="1:3">
      <c r="B341" s="2976">
        <v>542</v>
      </c>
      <c r="C341" s="2976">
        <v>72.48</v>
      </c>
    </row>
    <row r="342" spans="1:3">
      <c r="B342" s="2976">
        <v>543</v>
      </c>
      <c r="C342" s="2976">
        <v>72.48</v>
      </c>
    </row>
    <row r="343" spans="1:3">
      <c r="B343" s="2976">
        <v>544</v>
      </c>
      <c r="C343" s="2976">
        <v>67.040000000000006</v>
      </c>
    </row>
    <row r="344" spans="1:3">
      <c r="B344" s="2976">
        <v>545</v>
      </c>
      <c r="C344" s="2976">
        <v>65.400000000000006</v>
      </c>
    </row>
    <row r="345" spans="1:3">
      <c r="B345" s="2976">
        <v>546</v>
      </c>
      <c r="C345" s="2976">
        <v>85.23</v>
      </c>
    </row>
    <row r="346" spans="1:3">
      <c r="B346" s="2976">
        <v>547</v>
      </c>
      <c r="C346" s="2976">
        <v>57.36</v>
      </c>
    </row>
    <row r="347" spans="1:3">
      <c r="B347" s="2976">
        <v>548</v>
      </c>
      <c r="C347" s="2976">
        <v>56.65</v>
      </c>
    </row>
    <row r="348" spans="1:3">
      <c r="A348" s="3106" t="s">
        <v>3056</v>
      </c>
      <c r="B348" s="3106"/>
      <c r="C348" s="2976">
        <f>SUM(C300:C347)</f>
        <v>3720.5100000000011</v>
      </c>
    </row>
    <row r="349" spans="1:3">
      <c r="A349" s="2976" t="s">
        <v>3063</v>
      </c>
      <c r="B349" s="2976">
        <v>601</v>
      </c>
      <c r="C349" s="2976">
        <v>66.53</v>
      </c>
    </row>
    <row r="350" spans="1:3">
      <c r="B350" s="2976">
        <v>602</v>
      </c>
      <c r="C350" s="2976">
        <v>67.040000000000006</v>
      </c>
    </row>
    <row r="351" spans="1:3">
      <c r="B351" s="2976">
        <v>603</v>
      </c>
      <c r="C351" s="2976">
        <v>72.48</v>
      </c>
    </row>
    <row r="352" spans="1:3">
      <c r="B352" s="2976">
        <v>604</v>
      </c>
      <c r="C352" s="2976">
        <v>72.48</v>
      </c>
    </row>
    <row r="353" spans="2:3">
      <c r="B353" s="2976">
        <v>605</v>
      </c>
      <c r="C353" s="2976">
        <v>72.48</v>
      </c>
    </row>
    <row r="354" spans="2:3">
      <c r="B354" s="2976">
        <v>606</v>
      </c>
      <c r="C354" s="2976">
        <v>103.96</v>
      </c>
    </row>
    <row r="355" spans="2:3">
      <c r="B355" s="2976">
        <v>607</v>
      </c>
      <c r="C355" s="2976">
        <v>116.47</v>
      </c>
    </row>
    <row r="356" spans="2:3">
      <c r="B356" s="2976">
        <v>608</v>
      </c>
      <c r="C356" s="2976">
        <v>82.12</v>
      </c>
    </row>
    <row r="357" spans="2:3">
      <c r="B357" s="2976">
        <v>609</v>
      </c>
      <c r="C357" s="2976">
        <v>43.48</v>
      </c>
    </row>
    <row r="358" spans="2:3">
      <c r="B358" s="2976">
        <v>610</v>
      </c>
      <c r="C358" s="2976">
        <v>43.48</v>
      </c>
    </row>
    <row r="359" spans="2:3">
      <c r="B359" s="2976">
        <v>611</v>
      </c>
      <c r="C359" s="2976">
        <v>43.48</v>
      </c>
    </row>
    <row r="360" spans="2:3">
      <c r="B360" s="2976">
        <v>612</v>
      </c>
      <c r="C360" s="2976">
        <v>43.48</v>
      </c>
    </row>
    <row r="361" spans="2:3">
      <c r="B361" s="2976">
        <v>613</v>
      </c>
      <c r="C361" s="2976">
        <v>63.35</v>
      </c>
    </row>
    <row r="362" spans="2:3">
      <c r="B362" s="2976">
        <v>614</v>
      </c>
      <c r="C362" s="2976">
        <v>55.34</v>
      </c>
    </row>
    <row r="363" spans="2:3">
      <c r="B363" s="2976">
        <v>615</v>
      </c>
      <c r="C363" s="2976">
        <v>58.44</v>
      </c>
    </row>
    <row r="364" spans="2:3">
      <c r="B364" s="2976">
        <v>616</v>
      </c>
      <c r="C364" s="2976">
        <v>91.07</v>
      </c>
    </row>
    <row r="365" spans="2:3">
      <c r="B365" s="2976">
        <v>617</v>
      </c>
      <c r="C365" s="2976">
        <v>100.24</v>
      </c>
    </row>
    <row r="366" spans="2:3">
      <c r="B366" s="2976">
        <v>618</v>
      </c>
      <c r="C366" s="2976">
        <v>98.83</v>
      </c>
    </row>
    <row r="367" spans="2:3">
      <c r="B367" s="2976">
        <v>619</v>
      </c>
      <c r="C367" s="2976">
        <v>98.19</v>
      </c>
    </row>
    <row r="368" spans="2:3">
      <c r="B368" s="2976">
        <v>620</v>
      </c>
      <c r="C368" s="2976">
        <v>123.05</v>
      </c>
    </row>
    <row r="369" spans="2:3">
      <c r="B369" s="2976">
        <v>621</v>
      </c>
      <c r="C369" s="2976">
        <v>95.15</v>
      </c>
    </row>
    <row r="370" spans="2:3">
      <c r="B370" s="2976">
        <v>622</v>
      </c>
      <c r="C370" s="2976">
        <v>98.16</v>
      </c>
    </row>
    <row r="371" spans="2:3">
      <c r="B371" s="2976">
        <v>623</v>
      </c>
      <c r="C371" s="2976">
        <v>96.75</v>
      </c>
    </row>
    <row r="372" spans="2:3">
      <c r="B372" s="2976">
        <v>624</v>
      </c>
      <c r="C372" s="2976">
        <v>98.64</v>
      </c>
    </row>
    <row r="373" spans="2:3">
      <c r="B373" s="2976">
        <v>625</v>
      </c>
      <c r="C373" s="2976">
        <v>106.54</v>
      </c>
    </row>
    <row r="374" spans="2:3">
      <c r="B374" s="2976">
        <v>626</v>
      </c>
      <c r="C374" s="2976">
        <v>107.35</v>
      </c>
    </row>
    <row r="375" spans="2:3">
      <c r="B375" s="2976">
        <v>627</v>
      </c>
      <c r="C375" s="2976">
        <v>115.25</v>
      </c>
    </row>
    <row r="376" spans="2:3">
      <c r="B376" s="2976">
        <v>628</v>
      </c>
      <c r="C376" s="2976">
        <v>95.58</v>
      </c>
    </row>
    <row r="377" spans="2:3">
      <c r="B377" s="2976">
        <v>629</v>
      </c>
      <c r="C377" s="2976">
        <v>106.95</v>
      </c>
    </row>
    <row r="378" spans="2:3">
      <c r="B378" s="2976">
        <v>630</v>
      </c>
      <c r="C378" s="2976">
        <v>110.54</v>
      </c>
    </row>
    <row r="379" spans="2:3">
      <c r="B379" s="2976">
        <v>631</v>
      </c>
      <c r="C379" s="2976">
        <v>106.03</v>
      </c>
    </row>
    <row r="380" spans="2:3">
      <c r="B380" s="2976">
        <v>632</v>
      </c>
      <c r="C380" s="2976">
        <v>63.38</v>
      </c>
    </row>
    <row r="381" spans="2:3">
      <c r="B381" s="2976">
        <v>633</v>
      </c>
      <c r="C381" s="2976">
        <v>41.07</v>
      </c>
    </row>
    <row r="382" spans="2:3">
      <c r="B382" s="2976">
        <v>634</v>
      </c>
      <c r="C382" s="2976">
        <v>41.07</v>
      </c>
    </row>
    <row r="383" spans="2:3">
      <c r="B383" s="2976">
        <v>635</v>
      </c>
      <c r="C383" s="2976">
        <v>41.48</v>
      </c>
    </row>
    <row r="384" spans="2:3">
      <c r="B384" s="2976">
        <v>636</v>
      </c>
      <c r="C384" s="2976">
        <v>40.64</v>
      </c>
    </row>
    <row r="385" spans="1:3">
      <c r="B385" s="2976">
        <v>637</v>
      </c>
      <c r="C385" s="2976">
        <v>76.63</v>
      </c>
    </row>
    <row r="386" spans="1:3">
      <c r="B386" s="2976">
        <v>638</v>
      </c>
      <c r="C386" s="2976">
        <v>69.28</v>
      </c>
    </row>
    <row r="387" spans="1:3">
      <c r="B387" s="2976">
        <v>639</v>
      </c>
      <c r="C387" s="2976">
        <v>72.48</v>
      </c>
    </row>
    <row r="388" spans="1:3">
      <c r="B388" s="2976">
        <v>640</v>
      </c>
      <c r="C388" s="2976">
        <v>72.48</v>
      </c>
    </row>
    <row r="389" spans="1:3">
      <c r="B389" s="2976">
        <v>641</v>
      </c>
      <c r="C389" s="2976">
        <v>72.48</v>
      </c>
    </row>
    <row r="390" spans="1:3">
      <c r="B390" s="2976">
        <v>642</v>
      </c>
      <c r="C390" s="2976">
        <v>72.48</v>
      </c>
    </row>
    <row r="391" spans="1:3">
      <c r="B391" s="2976">
        <v>643</v>
      </c>
      <c r="C391" s="2976">
        <v>72.48</v>
      </c>
    </row>
    <row r="392" spans="1:3">
      <c r="B392" s="2976">
        <v>644</v>
      </c>
      <c r="C392" s="2976">
        <v>67.040000000000006</v>
      </c>
    </row>
    <row r="393" spans="1:3">
      <c r="B393" s="2976">
        <v>645</v>
      </c>
      <c r="C393" s="2976">
        <v>66.89</v>
      </c>
    </row>
    <row r="394" spans="1:3">
      <c r="B394" s="2976">
        <v>646</v>
      </c>
      <c r="C394" s="2976">
        <v>85.23</v>
      </c>
    </row>
    <row r="395" spans="1:3">
      <c r="B395" s="2976">
        <v>647</v>
      </c>
      <c r="C395" s="2976">
        <v>57.36</v>
      </c>
    </row>
    <row r="396" spans="1:3">
      <c r="B396" s="2976">
        <v>648</v>
      </c>
      <c r="C396" s="2976">
        <v>57.58</v>
      </c>
    </row>
    <row r="397" spans="1:3">
      <c r="A397" s="3106" t="s">
        <v>3056</v>
      </c>
      <c r="B397" s="3106"/>
      <c r="C397" s="2976">
        <f>SUM(C349:C396)</f>
        <v>3722.9800000000009</v>
      </c>
    </row>
    <row r="398" spans="1:3">
      <c r="A398" s="2976" t="s">
        <v>3064</v>
      </c>
      <c r="B398" s="2976">
        <v>701</v>
      </c>
      <c r="C398" s="2976">
        <v>68.290000000000006</v>
      </c>
    </row>
    <row r="399" spans="1:3">
      <c r="B399" s="2976">
        <v>702</v>
      </c>
      <c r="C399" s="2976">
        <v>67.040000000000006</v>
      </c>
    </row>
    <row r="400" spans="1:3">
      <c r="B400" s="2976">
        <v>703</v>
      </c>
      <c r="C400" s="2976">
        <v>72.48</v>
      </c>
    </row>
    <row r="401" spans="2:3">
      <c r="B401" s="2976">
        <v>704</v>
      </c>
      <c r="C401" s="2976">
        <v>72.48</v>
      </c>
    </row>
    <row r="402" spans="2:3">
      <c r="B402" s="2976">
        <v>705</v>
      </c>
      <c r="C402" s="2976">
        <v>72.48</v>
      </c>
    </row>
    <row r="403" spans="2:3">
      <c r="B403" s="2976">
        <v>706</v>
      </c>
      <c r="C403" s="2976">
        <v>103.96</v>
      </c>
    </row>
    <row r="404" spans="2:3">
      <c r="B404" s="2976">
        <v>707</v>
      </c>
      <c r="C404" s="2976">
        <v>116.42</v>
      </c>
    </row>
    <row r="405" spans="2:3">
      <c r="B405" s="2976">
        <v>708</v>
      </c>
      <c r="C405" s="2976">
        <v>82.12</v>
      </c>
    </row>
    <row r="406" spans="2:3">
      <c r="B406" s="2976">
        <v>709</v>
      </c>
      <c r="C406" s="2976">
        <v>43.48</v>
      </c>
    </row>
    <row r="407" spans="2:3">
      <c r="B407" s="2976">
        <v>710</v>
      </c>
      <c r="C407" s="2976">
        <v>43.48</v>
      </c>
    </row>
    <row r="408" spans="2:3">
      <c r="B408" s="2976">
        <v>711</v>
      </c>
      <c r="C408" s="2976">
        <v>43.48</v>
      </c>
    </row>
    <row r="409" spans="2:3">
      <c r="B409" s="2976">
        <v>712</v>
      </c>
      <c r="C409" s="2976">
        <v>43.48</v>
      </c>
    </row>
    <row r="410" spans="2:3">
      <c r="B410" s="2976">
        <v>713</v>
      </c>
      <c r="C410" s="2976">
        <v>63.35</v>
      </c>
    </row>
    <row r="411" spans="2:3">
      <c r="B411" s="2976">
        <v>714</v>
      </c>
      <c r="C411" s="2976">
        <v>56</v>
      </c>
    </row>
    <row r="412" spans="2:3">
      <c r="B412" s="2976">
        <v>715</v>
      </c>
      <c r="C412" s="2976">
        <v>58.44</v>
      </c>
    </row>
    <row r="413" spans="2:3">
      <c r="B413" s="2976">
        <v>716</v>
      </c>
      <c r="C413" s="2976">
        <v>91.07</v>
      </c>
    </row>
    <row r="414" spans="2:3">
      <c r="B414" s="2976">
        <v>717</v>
      </c>
      <c r="C414" s="2976">
        <v>100.24</v>
      </c>
    </row>
    <row r="415" spans="2:3">
      <c r="B415" s="2976">
        <v>718</v>
      </c>
      <c r="C415" s="2976">
        <v>98.83</v>
      </c>
    </row>
    <row r="416" spans="2:3">
      <c r="B416" s="2976">
        <v>719</v>
      </c>
      <c r="C416" s="2976">
        <v>98.19</v>
      </c>
    </row>
    <row r="417" spans="2:3">
      <c r="B417" s="2976">
        <v>720</v>
      </c>
      <c r="C417" s="2976">
        <v>124.4</v>
      </c>
    </row>
    <row r="418" spans="2:3">
      <c r="B418" s="2976">
        <v>721</v>
      </c>
      <c r="C418" s="2976">
        <v>95.15</v>
      </c>
    </row>
    <row r="419" spans="2:3">
      <c r="B419" s="2976">
        <v>722</v>
      </c>
      <c r="C419" s="2976">
        <v>98.16</v>
      </c>
    </row>
    <row r="420" spans="2:3">
      <c r="B420" s="2976">
        <v>723</v>
      </c>
      <c r="C420" s="2976">
        <v>96.75</v>
      </c>
    </row>
    <row r="421" spans="2:3">
      <c r="B421" s="2976">
        <v>724</v>
      </c>
      <c r="C421" s="2976">
        <v>98.64</v>
      </c>
    </row>
    <row r="422" spans="2:3">
      <c r="B422" s="2976">
        <v>725</v>
      </c>
      <c r="C422" s="2976">
        <v>106.55</v>
      </c>
    </row>
    <row r="423" spans="2:3">
      <c r="B423" s="2976">
        <v>726</v>
      </c>
      <c r="C423" s="2976">
        <v>107.35</v>
      </c>
    </row>
    <row r="424" spans="2:3">
      <c r="B424" s="2976">
        <v>727</v>
      </c>
      <c r="C424" s="2976">
        <v>115.25</v>
      </c>
    </row>
    <row r="425" spans="2:3">
      <c r="B425" s="2976">
        <v>728</v>
      </c>
      <c r="C425" s="2976">
        <v>95.58</v>
      </c>
    </row>
    <row r="426" spans="2:3">
      <c r="B426" s="2976">
        <v>729</v>
      </c>
      <c r="C426" s="2976">
        <v>106.95</v>
      </c>
    </row>
    <row r="427" spans="2:3">
      <c r="B427" s="2976">
        <v>730</v>
      </c>
      <c r="C427" s="2976">
        <v>110.54</v>
      </c>
    </row>
    <row r="428" spans="2:3">
      <c r="B428" s="2976">
        <v>731</v>
      </c>
      <c r="C428" s="2976">
        <v>106.03</v>
      </c>
    </row>
    <row r="429" spans="2:3">
      <c r="B429" s="2976">
        <v>732</v>
      </c>
      <c r="C429" s="2976">
        <v>63.38</v>
      </c>
    </row>
    <row r="430" spans="2:3">
      <c r="B430" s="2976">
        <v>733</v>
      </c>
      <c r="C430" s="2976">
        <v>41.07</v>
      </c>
    </row>
    <row r="431" spans="2:3">
      <c r="B431" s="2976">
        <v>734</v>
      </c>
      <c r="C431" s="2976">
        <v>41.07</v>
      </c>
    </row>
    <row r="432" spans="2:3">
      <c r="B432" s="2976">
        <v>735</v>
      </c>
      <c r="C432" s="2976">
        <v>41.48</v>
      </c>
    </row>
    <row r="433" spans="1:3">
      <c r="B433" s="2976">
        <v>736</v>
      </c>
      <c r="C433" s="2976">
        <v>40.64</v>
      </c>
    </row>
    <row r="434" spans="1:3">
      <c r="B434" s="2976">
        <v>737</v>
      </c>
      <c r="C434" s="2976">
        <v>76.69</v>
      </c>
    </row>
    <row r="435" spans="1:3">
      <c r="B435" s="2976">
        <v>738</v>
      </c>
      <c r="C435" s="2976">
        <v>69.28</v>
      </c>
    </row>
    <row r="436" spans="1:3">
      <c r="B436" s="2976">
        <v>739</v>
      </c>
      <c r="C436" s="2976">
        <v>72.48</v>
      </c>
    </row>
    <row r="437" spans="1:3">
      <c r="B437" s="2976">
        <v>740</v>
      </c>
      <c r="C437" s="2976">
        <v>72.48</v>
      </c>
    </row>
    <row r="438" spans="1:3">
      <c r="B438" s="2976">
        <v>741</v>
      </c>
      <c r="C438" s="2976">
        <v>72.48</v>
      </c>
    </row>
    <row r="439" spans="1:3">
      <c r="B439" s="2976">
        <v>742</v>
      </c>
      <c r="C439" s="2976">
        <v>72.48</v>
      </c>
    </row>
    <row r="440" spans="1:3">
      <c r="B440" s="2976">
        <v>743</v>
      </c>
      <c r="C440" s="2976">
        <v>74.37</v>
      </c>
    </row>
    <row r="441" spans="1:3">
      <c r="B441" s="2976">
        <v>744</v>
      </c>
      <c r="C441" s="2976">
        <v>45.79</v>
      </c>
    </row>
    <row r="442" spans="1:3">
      <c r="B442" s="2976">
        <v>745</v>
      </c>
      <c r="C442" s="2976">
        <v>85.23</v>
      </c>
    </row>
    <row r="443" spans="1:3">
      <c r="B443" s="2976">
        <v>746</v>
      </c>
      <c r="C443" s="2976">
        <v>57.36</v>
      </c>
    </row>
    <row r="444" spans="1:3">
      <c r="B444" s="2976">
        <v>747</v>
      </c>
      <c r="C444" s="2976">
        <v>94.96</v>
      </c>
    </row>
    <row r="445" spans="1:3">
      <c r="A445" s="3106" t="s">
        <v>3056</v>
      </c>
      <c r="B445" s="3106"/>
      <c r="C445" s="2976">
        <f>SUM(C398:C444)</f>
        <v>3677.900000000001</v>
      </c>
    </row>
    <row r="446" spans="1:3">
      <c r="A446" s="3106" t="s">
        <v>3051</v>
      </c>
      <c r="B446" s="3106"/>
      <c r="C446" s="2976">
        <f>C137+C172+C201+C250+C299+C348+C397+C445</f>
        <v>30739.720000000005</v>
      </c>
    </row>
  </sheetData>
  <mergeCells count="15">
    <mergeCell ref="A397:B397"/>
    <mergeCell ref="A445:B445"/>
    <mergeCell ref="A446:B446"/>
    <mergeCell ref="A106:B106"/>
    <mergeCell ref="A137:B137"/>
    <mergeCell ref="A172:B172"/>
    <mergeCell ref="A201:B201"/>
    <mergeCell ref="A299:B299"/>
    <mergeCell ref="A348:B348"/>
    <mergeCell ref="A105:B105"/>
    <mergeCell ref="A17:B17"/>
    <mergeCell ref="A33:B33"/>
    <mergeCell ref="A60:B60"/>
    <mergeCell ref="A86:B86"/>
    <mergeCell ref="A99:B99"/>
  </mergeCells>
  <phoneticPr fontId="2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43243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3721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56625</v>
      </c>
      <c r="F6" s="72">
        <f>SUMIF(项目基本情况!D$12:I$12,C6,项目基本情况!D$15:I$15)</f>
        <v>36.659999999999997</v>
      </c>
      <c r="G6" s="73">
        <f>IF(ISERROR(ROUND(POWER(1+H6,D6-F6)*(POWER(1+H6,F6)-1)/(POWER(1+H6,D6)-1),3)),0,ROUND(POWER(1+H6,D6-F6)*(POWER(1+H6,F6)-1)/(POWER(1+H6,D6)-1),3))</f>
        <v>0.97099999999999997</v>
      </c>
      <c r="H6" s="802">
        <v>0.05</v>
      </c>
      <c r="I6" s="802">
        <v>5.5E-2</v>
      </c>
      <c r="J6" s="74">
        <v>0.08</v>
      </c>
      <c r="K6" s="1254">
        <f>SUMIF('数据-汇总表'!C$19:C$33,A6,'数据-汇总表'!E$19:E$33)</f>
        <v>4365.2</v>
      </c>
      <c r="L6" s="803">
        <v>2600</v>
      </c>
      <c r="M6" s="75">
        <f t="shared" ref="M6:M14" si="0">ROUND(K6*L6/10000,0)</f>
        <v>1135</v>
      </c>
      <c r="N6" s="801">
        <f>ROUND(1-(2018-2017)/60,2)</f>
        <v>0.98</v>
      </c>
      <c r="O6" s="75" t="str">
        <f>IF($N$5="成新度","——",ROUND(M6*N6,0))</f>
        <v>——</v>
      </c>
      <c r="P6" s="76" t="str">
        <f>IF($N$5="成新度","——",M6-O6)</f>
        <v>——</v>
      </c>
      <c r="Q6" s="804">
        <v>0.2</v>
      </c>
      <c r="R6" s="77">
        <f ca="1">SUMIF('数据-汇总表'!C$19:C$33,A6,'数据-汇总表'!R$19:R$27)</f>
        <v>1488.3</v>
      </c>
      <c r="S6" s="54">
        <f>IF('数据-汇总表'!$I$17="按面积比例",SUMIF('数据-汇总表'!C$19:C$33,A6,'数据-汇总表'!K$19:K$33),SUMIF('数据-汇总表'!C$19:C$33,A6,'数据-汇总表'!N$19:N$33))</f>
        <v>0</v>
      </c>
      <c r="T6" s="1446">
        <f>ROUND($L$14*S6/10000,0)</f>
        <v>0</v>
      </c>
      <c r="U6" s="78">
        <f>面积清单!I22</f>
        <v>3.18</v>
      </c>
      <c r="V6" s="79">
        <v>0.03</v>
      </c>
      <c r="W6" s="79">
        <v>0.1</v>
      </c>
      <c r="X6" s="1264"/>
      <c r="Y6" s="80">
        <f>N6</f>
        <v>0.98</v>
      </c>
      <c r="Z6" s="81"/>
      <c r="AA6" s="74"/>
      <c r="AB6" s="74"/>
      <c r="AC6" s="1264"/>
      <c r="AD6" s="82"/>
      <c r="AE6" s="1265">
        <f ca="1">IF(AN6="",0,SUMIF(INDIRECT("'"&amp;AN6&amp;"'"&amp;"!E:E"),$AE$5,INDIRECT("'"&amp;AN6&amp;"'"&amp;"!F:F")))</f>
        <v>36.659999999999997</v>
      </c>
      <c r="AF6" s="1807"/>
      <c r="AG6" s="147">
        <f>IF(AF6="",0,AE6-AF6)</f>
        <v>0</v>
      </c>
      <c r="AH6" s="83"/>
      <c r="AI6" s="85">
        <v>365</v>
      </c>
      <c r="AJ6" s="86"/>
      <c r="AK6" s="87">
        <v>1.4999999999999999E-2</v>
      </c>
      <c r="AL6" s="88">
        <v>1.5E-3</v>
      </c>
      <c r="AM6" s="89">
        <v>0.02</v>
      </c>
      <c r="AN6" s="2313" t="s">
        <v>3692</v>
      </c>
      <c r="AO6" s="55">
        <f ca="1">SUMIF(INDIRECT("'"&amp;AN6&amp;"'"&amp;"!A:A"),"总价",INDIRECT("'"&amp;AN6&amp;"'"&amp;"!B:B"))</f>
        <v>7967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1377</v>
      </c>
      <c r="D7" s="1054">
        <f>SUMIF(项目基本情况!D$12:I$12,C7,项目基本情况!D$14:I$14)</f>
        <v>40</v>
      </c>
      <c r="E7" s="1051">
        <f>IF(B7="","",SUMIF(项目基本情况!D$12:I$12,C7,项目基本情况!D$13:I$13))</f>
        <v>56625</v>
      </c>
      <c r="F7" s="72">
        <f>SUMIF(项目基本情况!D$12:I$12,C7,项目基本情况!D$15:I$15)</f>
        <v>36.659999999999997</v>
      </c>
      <c r="G7" s="73">
        <f t="shared" ref="G7:G11" si="2">IF(ISERROR(ROUND(POWER(1+H7,D7-F7)*(POWER(1+H7,F7)-1)/(POWER(1+H7,D7)-1),3)),0,ROUND(POWER(1+H7,D7-F7)*(POWER(1+H7,F7)-1)/(POWER(1+H7,D7)-1),3))</f>
        <v>0.97099999999999997</v>
      </c>
      <c r="H7" s="802">
        <v>0.05</v>
      </c>
      <c r="I7" s="802">
        <v>5.5E-2</v>
      </c>
      <c r="J7" s="74">
        <v>0.08</v>
      </c>
      <c r="K7" s="1254">
        <f>SUMIF('数据-汇总表'!C$19:C$33,A7,'数据-汇总表'!E$19:E$33)</f>
        <v>21831.640000000003</v>
      </c>
      <c r="L7" s="803">
        <v>2600</v>
      </c>
      <c r="M7" s="75">
        <f t="shared" si="0"/>
        <v>5676</v>
      </c>
      <c r="N7" s="801">
        <f>N6</f>
        <v>0.98</v>
      </c>
      <c r="O7" s="75" t="str">
        <f t="shared" ref="O7:O14" si="3">IF($N$5="成新度","——",ROUND(M7*N7,0))</f>
        <v>——</v>
      </c>
      <c r="P7" s="76" t="str">
        <f t="shared" ref="P7:P14" si="4">IF($N$5="成新度","——",M7-O7)</f>
        <v>——</v>
      </c>
      <c r="Q7" s="804">
        <v>0.2</v>
      </c>
      <c r="R7" s="77">
        <f ca="1">SUMIF('数据-汇总表'!C$19:C$33,A7,'数据-汇总表'!R$19:R$27)</f>
        <v>7443.44</v>
      </c>
      <c r="S7" s="54">
        <f>IF('数据-汇总表'!$I$17="按面积比例",SUMIF('数据-汇总表'!C$19:C$33,A7,'数据-汇总表'!K$19:K$33),SUMIF('数据-汇总表'!C$19:C$33,A7,'数据-汇总表'!N$19:N$33))</f>
        <v>0</v>
      </c>
      <c r="T7" s="1446">
        <f t="shared" ref="T7:T13" si="5">ROUND($L$14*S7/10000,0)</f>
        <v>0</v>
      </c>
      <c r="U7" s="78">
        <f>'比较法-办公'!C50</f>
        <v>5</v>
      </c>
      <c r="V7" s="79">
        <v>0.03</v>
      </c>
      <c r="W7" s="79">
        <v>0.1</v>
      </c>
      <c r="X7" s="1264"/>
      <c r="Y7" s="80">
        <f>N6</f>
        <v>0.98</v>
      </c>
      <c r="Z7" s="81"/>
      <c r="AA7" s="74"/>
      <c r="AB7" s="74"/>
      <c r="AC7" s="1264"/>
      <c r="AD7" s="82"/>
      <c r="AE7" s="1265">
        <f t="shared" ref="AE7:AE13" ca="1" si="6">IF(AN7="",0,SUMIF(INDIRECT("'"&amp;AN7&amp;"'"&amp;"!E:E"),$AE$5,INDIRECT("'"&amp;AN7&amp;"'"&amp;"!F:F")))</f>
        <v>36.659999999999997</v>
      </c>
      <c r="AF7" s="1807"/>
      <c r="AG7" s="147">
        <f t="shared" ref="AG7:AG13" si="7">IF(AF7="",0,AE7-AF7)</f>
        <v>0</v>
      </c>
      <c r="AH7" s="83"/>
      <c r="AI7" s="85">
        <v>365</v>
      </c>
      <c r="AJ7" s="86"/>
      <c r="AK7" s="87">
        <v>1.4999999999999999E-2</v>
      </c>
      <c r="AL7" s="88">
        <v>1.5E-3</v>
      </c>
      <c r="AM7" s="89">
        <v>0.02</v>
      </c>
      <c r="AN7" s="2313" t="s">
        <v>3694</v>
      </c>
      <c r="AO7" s="55">
        <f t="shared" ref="AO7:AO13" ca="1" si="8">SUMIF(INDIRECT("'"&amp;AN7&amp;"'"&amp;"!A:A"),"总价",INDIRECT("'"&amp;AN7&amp;"'"&amp;"!B:B"))</f>
        <v>64468</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0.97099999999999997</v>
      </c>
      <c r="H16" s="99">
        <f>ROUND(SUMPRODUCT(H6:H13,K6:K13)/SUMPRODUCT((H6:H13&gt;0)*(K6:K13)),3)</f>
        <v>0.05</v>
      </c>
      <c r="I16" s="100"/>
      <c r="J16" s="100"/>
      <c r="K16" s="101">
        <f>SUM(K6:K15)</f>
        <v>26196.840000000004</v>
      </c>
      <c r="L16" s="102">
        <f>ROUND(M16*10000/SUM(K6:K14),0)</f>
        <v>2600</v>
      </c>
      <c r="M16" s="102">
        <f>SUM(M6:M14)</f>
        <v>6811</v>
      </c>
      <c r="N16" s="103">
        <f>ROUND(SUMPRODUCT(M6:M14,N6:N14)/M16,3)</f>
        <v>0.98</v>
      </c>
      <c r="O16" s="102">
        <f>SUM(O6:O14)</f>
        <v>0</v>
      </c>
      <c r="P16" s="102">
        <f>SUM(P6:P14)</f>
        <v>0</v>
      </c>
      <c r="Q16" s="104">
        <f>ROUND(SUMPRODUCT(Q6:Q13,K6:K13)/SUMPRODUCT((Q6:Q13&gt;0)*(K6:K13)),2)</f>
        <v>0.2</v>
      </c>
      <c r="R16" s="1258">
        <f ca="1">SUM(R6:R13)</f>
        <v>8931.74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524</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0.04</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0.05</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07" t="s">
        <v>2083</v>
      </c>
      <c r="B1" s="3108"/>
      <c r="C1" s="3108"/>
      <c r="D1" s="3108"/>
      <c r="E1" s="3108"/>
      <c r="F1" s="3108"/>
      <c r="G1" s="310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39808.180000000008</v>
      </c>
      <c r="C1" s="1745"/>
      <c r="D1" s="1745"/>
      <c r="E1" s="1745"/>
      <c r="F1" s="1745"/>
      <c r="G1" s="1743"/>
    </row>
    <row r="2" spans="1:10" ht="16.5">
      <c r="A2" s="1746" t="s">
        <v>1353</v>
      </c>
      <c r="B2" s="1746">
        <f>SUM(C14:C23)</f>
        <v>15187.04</v>
      </c>
      <c r="C2" s="1745"/>
      <c r="D2" s="1745"/>
      <c r="E2" s="1745"/>
      <c r="F2" s="1745"/>
      <c r="G2" s="1743"/>
    </row>
    <row r="3" spans="1:10" ht="16.5">
      <c r="A3" s="1746" t="s">
        <v>1362</v>
      </c>
      <c r="B3" s="1747">
        <f>项目基本情况!D3</f>
        <v>43243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91264</v>
      </c>
      <c r="C5" s="1746">
        <f ca="1">ROUND(B5*10000/$B$1,0)</f>
        <v>22926</v>
      </c>
      <c r="D5" s="1746">
        <f ca="1">ROUND(B5*10000/$B$2,0)</f>
        <v>60093</v>
      </c>
      <c r="E5" s="1745"/>
      <c r="F5" s="1743"/>
      <c r="G5" s="1743"/>
    </row>
    <row r="6" spans="1:10" ht="16.5">
      <c r="A6" s="1746" t="s">
        <v>1356</v>
      </c>
      <c r="B6" s="1746">
        <f ca="1">SUM(G14:G23)</f>
        <v>91264</v>
      </c>
      <c r="C6" s="1746">
        <f ca="1">ROUND(B6*10000/$B$1,0)</f>
        <v>22926</v>
      </c>
      <c r="D6" s="1746">
        <f ca="1">ROUND(B6*10000/$B$2,0)</f>
        <v>60093</v>
      </c>
      <c r="E6" s="1745"/>
      <c r="F6" s="1743"/>
      <c r="G6" s="1743"/>
    </row>
    <row r="7" spans="1:10" ht="16.5">
      <c r="A7" s="1746" t="s">
        <v>1364</v>
      </c>
      <c r="B7" s="1746">
        <f ca="1">SUM(H14:H23)</f>
        <v>91264</v>
      </c>
      <c r="C7" s="1746">
        <f ca="1">ROUND(B7*10000/$B$1,0)</f>
        <v>22926</v>
      </c>
      <c r="D7" s="1746">
        <f ca="1">ROUND(B7*10000/$B$2,0)</f>
        <v>60093</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26196.840000000004</v>
      </c>
      <c r="C14" s="1744">
        <f>结果表!C118</f>
        <v>8931.74</v>
      </c>
      <c r="D14" s="1744">
        <f ca="1">结果表!H118</f>
        <v>67356</v>
      </c>
      <c r="E14" s="1744">
        <f ca="1">ROUND(D14*10000/B14,0)</f>
        <v>25711</v>
      </c>
      <c r="F14" s="1744">
        <f ca="1">ROUND(D14*10000/C14,0)</f>
        <v>75412</v>
      </c>
      <c r="G14" s="1744">
        <f ca="1">结果表!D122</f>
        <v>67356</v>
      </c>
      <c r="H14" s="1744">
        <f ca="1">结果表!D124</f>
        <v>67356</v>
      </c>
      <c r="I14" s="1744" t="str">
        <f>结果表!D126</f>
        <v>——</v>
      </c>
      <c r="J14" s="1743"/>
    </row>
    <row r="15" spans="1:10" ht="16.5">
      <c r="A15" s="1742" t="s">
        <v>1349</v>
      </c>
      <c r="B15" s="1749">
        <f>[1]系统读取表!$B$14</f>
        <v>13611.34</v>
      </c>
      <c r="C15" s="1749">
        <f>[1]系统读取表!$C$14</f>
        <v>6255.3</v>
      </c>
      <c r="D15" s="1749">
        <f ca="1">[1]系统读取表!$D$14</f>
        <v>23908</v>
      </c>
      <c r="E15" s="1744">
        <f t="shared" ref="E15:E23" ca="1" si="0">ROUND(D15*10000/B15,0)</f>
        <v>17565</v>
      </c>
      <c r="F15" s="1744">
        <f t="shared" ref="F15:F23" ca="1" si="1">ROUND(D15*10000/C15,0)</f>
        <v>38220</v>
      </c>
      <c r="G15" s="1750">
        <f ca="1">D15</f>
        <v>23908</v>
      </c>
      <c r="H15" s="1750">
        <f ca="1">D15</f>
        <v>23908</v>
      </c>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SheetLayoutView="100" zoomScalePageLayoutView="80" workbookViewId="0">
      <selection activeCell="H31" sqref="H3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3742</v>
      </c>
      <c r="H1" s="2426" t="str">
        <f>IF(G1="现房","——","估价对象范围")</f>
        <v>——</v>
      </c>
      <c r="I1" s="2427" t="s">
        <v>3778</v>
      </c>
    </row>
    <row r="2" spans="1:12" ht="21.75" customHeight="1" thickBot="1">
      <c r="A2" s="3142" t="str">
        <f>项目基本情况!S2</f>
        <v>北京市房地产</v>
      </c>
      <c r="B2" s="3143"/>
      <c r="C2" s="3143"/>
      <c r="D2" s="3143"/>
      <c r="E2" s="3143"/>
      <c r="F2" s="3143"/>
      <c r="G2" s="3143"/>
      <c r="H2" s="3143"/>
      <c r="I2" s="3144"/>
    </row>
    <row r="3" spans="1:12" ht="12.75">
      <c r="A3" s="3146" t="s">
        <v>2122</v>
      </c>
      <c r="B3" s="3147"/>
      <c r="C3" s="3147"/>
      <c r="D3" s="3147"/>
      <c r="E3" s="3147"/>
      <c r="F3" s="3147"/>
      <c r="G3" s="3147"/>
      <c r="H3" s="3147"/>
      <c r="I3" s="3147"/>
    </row>
    <row r="4" spans="1:12" ht="14.25">
      <c r="A4" s="2430" t="s">
        <v>2123</v>
      </c>
      <c r="B4" s="2431" t="s">
        <v>2124</v>
      </c>
      <c r="C4" s="2432" t="s">
        <v>3740</v>
      </c>
      <c r="D4" s="2432" t="s">
        <v>3741</v>
      </c>
      <c r="E4" s="3139" t="s">
        <v>2125</v>
      </c>
      <c r="F4" s="3140"/>
      <c r="G4" s="3140"/>
      <c r="H4" s="3140"/>
      <c r="I4" s="3148"/>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22" t="s">
        <v>2126</v>
      </c>
      <c r="B5" s="3059">
        <v>25</v>
      </c>
      <c r="C5" s="3125"/>
      <c r="D5" s="3145"/>
      <c r="E5" s="140" t="s">
        <v>2127</v>
      </c>
      <c r="F5" s="2434"/>
      <c r="G5" s="2434"/>
      <c r="H5" s="2434"/>
      <c r="I5" s="1834"/>
    </row>
    <row r="6" spans="1:12" ht="12.75">
      <c r="A6" s="3122"/>
      <c r="B6" s="3059"/>
      <c r="C6" s="3126"/>
      <c r="D6" s="3145"/>
      <c r="E6" s="140" t="s">
        <v>2128</v>
      </c>
      <c r="F6" s="2434"/>
      <c r="G6" s="2434"/>
      <c r="H6" s="2434"/>
      <c r="I6" s="1834"/>
    </row>
    <row r="7" spans="1:12" ht="12.75">
      <c r="A7" s="3122"/>
      <c r="B7" s="3059"/>
      <c r="C7" s="3127"/>
      <c r="D7" s="3145"/>
      <c r="E7" s="140" t="s">
        <v>2129</v>
      </c>
      <c r="F7" s="2434"/>
      <c r="G7" s="2434"/>
      <c r="H7" s="2434"/>
      <c r="I7" s="1834"/>
    </row>
    <row r="8" spans="1:12" ht="12.75">
      <c r="A8" s="3122" t="s">
        <v>2130</v>
      </c>
      <c r="B8" s="3059">
        <v>15</v>
      </c>
      <c r="C8" s="3125"/>
      <c r="D8" s="3145"/>
      <c r="E8" s="140" t="s">
        <v>2131</v>
      </c>
      <c r="F8" s="2434"/>
      <c r="G8" s="2434"/>
      <c r="H8" s="2434"/>
      <c r="I8" s="1834"/>
    </row>
    <row r="9" spans="1:12" ht="12.75">
      <c r="A9" s="3122"/>
      <c r="B9" s="3059"/>
      <c r="C9" s="3127"/>
      <c r="D9" s="3145"/>
      <c r="E9" s="140" t="s">
        <v>2132</v>
      </c>
      <c r="F9" s="2434"/>
      <c r="G9" s="2434"/>
      <c r="H9" s="2434"/>
      <c r="I9" s="1834"/>
    </row>
    <row r="10" spans="1:12" ht="12.75">
      <c r="A10" s="3122" t="s">
        <v>2133</v>
      </c>
      <c r="B10" s="3059">
        <v>15</v>
      </c>
      <c r="C10" s="3125"/>
      <c r="D10" s="3145"/>
      <c r="E10" s="140" t="s">
        <v>2134</v>
      </c>
      <c r="F10" s="2434"/>
      <c r="G10" s="2434"/>
      <c r="H10" s="2434"/>
      <c r="I10" s="1834"/>
    </row>
    <row r="11" spans="1:12" ht="12.75">
      <c r="A11" s="3122"/>
      <c r="B11" s="3059"/>
      <c r="C11" s="3127"/>
      <c r="D11" s="3145"/>
      <c r="E11" s="140" t="s">
        <v>2135</v>
      </c>
      <c r="F11" s="2434"/>
      <c r="G11" s="2434"/>
      <c r="H11" s="2434"/>
      <c r="I11" s="1834"/>
    </row>
    <row r="12" spans="1:12" ht="12.75">
      <c r="A12" s="3122" t="s">
        <v>2136</v>
      </c>
      <c r="B12" s="3059">
        <v>15</v>
      </c>
      <c r="C12" s="3125"/>
      <c r="D12" s="3145"/>
      <c r="E12" s="140" t="s">
        <v>2137</v>
      </c>
      <c r="F12" s="2434"/>
      <c r="G12" s="2434"/>
      <c r="H12" s="2434"/>
      <c r="I12" s="1834"/>
    </row>
    <row r="13" spans="1:12" ht="12.75">
      <c r="A13" s="3122"/>
      <c r="B13" s="3059"/>
      <c r="C13" s="3127"/>
      <c r="D13" s="3145"/>
      <c r="E13" s="140" t="s">
        <v>2138</v>
      </c>
      <c r="F13" s="2434"/>
      <c r="G13" s="2434"/>
      <c r="H13" s="2434"/>
      <c r="I13" s="1834"/>
    </row>
    <row r="14" spans="1:12" ht="12.75">
      <c r="A14" s="3122" t="s">
        <v>2139</v>
      </c>
      <c r="B14" s="3059">
        <v>30</v>
      </c>
      <c r="C14" s="3125">
        <v>5</v>
      </c>
      <c r="D14" s="3145">
        <v>5</v>
      </c>
      <c r="E14" s="140" t="s">
        <v>2140</v>
      </c>
      <c r="F14" s="2434"/>
      <c r="G14" s="2434"/>
      <c r="H14" s="2434"/>
      <c r="I14" s="1834"/>
    </row>
    <row r="15" spans="1:12" ht="12.75">
      <c r="A15" s="3122"/>
      <c r="B15" s="3059"/>
      <c r="C15" s="3126"/>
      <c r="D15" s="3145"/>
      <c r="E15" s="140" t="s">
        <v>2141</v>
      </c>
      <c r="F15" s="2434"/>
      <c r="G15" s="2434"/>
      <c r="H15" s="2434"/>
      <c r="I15" s="1834"/>
    </row>
    <row r="16" spans="1:12" ht="12.75">
      <c r="A16" s="3122"/>
      <c r="B16" s="3059"/>
      <c r="C16" s="3127"/>
      <c r="D16" s="3145"/>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26196.840000000004</v>
      </c>
      <c r="M18" s="2433">
        <f>IF(C1="",'数据-汇总表'!E3,SUMIF(项目类型,C1,'数据-汇总表'!E17:E26))</f>
        <v>26196.840000000004</v>
      </c>
    </row>
    <row r="19" spans="1:35" ht="15">
      <c r="A19" s="2439" t="s">
        <v>2148</v>
      </c>
      <c r="B19" s="2440" t="s">
        <v>2149</v>
      </c>
      <c r="C19" s="143">
        <f ca="1">SUMIF(INDIRECT("'"&amp;C4&amp;"'"&amp;"!A:A"),结果表!B19,INDIRECT("'"&amp;C4&amp;"'"&amp;"!B:B"))</f>
        <v>62277</v>
      </c>
      <c r="D19" s="144">
        <f ca="1">SUMIF(INDIRECT("'"&amp;D4&amp;"'"&amp;"!A:A"),结果表!B19,INDIRECT("'"&amp;D4&amp;"'"&amp;"!B:B"))</f>
        <v>72435</v>
      </c>
      <c r="E19" s="2439" t="s">
        <v>2150</v>
      </c>
      <c r="F19" s="2440" t="s">
        <v>2149</v>
      </c>
      <c r="G19" s="145">
        <f ca="1">ROUND(C19*$C$18+D19*$D$18,0)</f>
        <v>67356</v>
      </c>
      <c r="H19" s="2441" t="s">
        <v>2151</v>
      </c>
      <c r="I19" s="138"/>
      <c r="K19" s="2433" t="s">
        <v>2152</v>
      </c>
      <c r="L19" s="2433">
        <f>IF(C1="",'数据-汇总表'!D3,SUMIF(项目类型,C1,'数据-汇总表'!D17:D26)+SUMIF(项目类型,C1,'数据-汇总表'!H17:H27))</f>
        <v>8931.74</v>
      </c>
      <c r="M19" s="2433">
        <f>IF(C1="",'数据-汇总表'!D3,SUMIF(项目类型,C1,'数据-汇总表'!D17:D26))</f>
        <v>8931.74</v>
      </c>
    </row>
    <row r="20" spans="1:35" ht="15">
      <c r="A20" s="2442"/>
      <c r="B20" s="1250" t="s">
        <v>2153</v>
      </c>
      <c r="C20" s="146">
        <f ca="1">SUMIF(INDIRECT("'"&amp;C4&amp;"'"&amp;"!A:A"),结果表!B20,INDIRECT("'"&amp;C4&amp;"'"&amp;"!B:B"))</f>
        <v>23773</v>
      </c>
      <c r="D20" s="147">
        <f ca="1">SUMIF(INDIRECT("'"&amp;D4&amp;"'"&amp;"!A:A"),结果表!B20,INDIRECT("'"&amp;D4&amp;"'"&amp;"!B:B"))</f>
        <v>27650</v>
      </c>
      <c r="E20" s="2442"/>
      <c r="F20" s="1250" t="s">
        <v>2153</v>
      </c>
      <c r="G20" s="148">
        <f ca="1">ROUND(C20*$C$18+D20*$D$18,0)</f>
        <v>25712</v>
      </c>
      <c r="H20" s="983" t="s">
        <v>2154</v>
      </c>
      <c r="I20" s="138"/>
    </row>
    <row r="21" spans="1:35" ht="15" customHeight="1" thickBot="1">
      <c r="A21" s="1003"/>
      <c r="B21" s="2443" t="s">
        <v>2155</v>
      </c>
      <c r="C21" s="789">
        <f ca="1">ROUND(C19*10000/L19,0)</f>
        <v>69725</v>
      </c>
      <c r="D21" s="790">
        <f ca="1">ROUND(D19*10000/L19,0)</f>
        <v>81098</v>
      </c>
      <c r="E21" s="1003"/>
      <c r="F21" s="2443" t="s">
        <v>2155</v>
      </c>
      <c r="G21" s="149">
        <f ca="1">ROUND(G19*10000/L19,0)</f>
        <v>75412</v>
      </c>
      <c r="H21" s="2444" t="s">
        <v>2154</v>
      </c>
      <c r="I21" s="138"/>
    </row>
    <row r="22" spans="1:35" ht="15" thickBot="1">
      <c r="A22" s="2285" t="s">
        <v>2156</v>
      </c>
      <c r="B22" s="2445"/>
      <c r="C22" s="2446"/>
      <c r="D22" s="791">
        <f ca="1">IF(C19&lt;D19,D19/C19-1,C19/D19-1)</f>
        <v>0.16310997639578018</v>
      </c>
      <c r="E22" s="138"/>
      <c r="F22" s="138"/>
      <c r="G22" s="138"/>
      <c r="H22" s="138"/>
      <c r="I22" s="138"/>
    </row>
    <row r="23" spans="1:35" ht="13.5" thickBot="1">
      <c r="A23" s="2423"/>
      <c r="B23" s="2423"/>
      <c r="C23" s="2423"/>
      <c r="D23" s="2423"/>
      <c r="E23" s="138"/>
      <c r="F23" s="138"/>
      <c r="G23" s="138"/>
      <c r="H23" s="138"/>
      <c r="I23" s="138"/>
    </row>
    <row r="24" spans="1:35" ht="14.25">
      <c r="A24" s="3116" t="s">
        <v>2157</v>
      </c>
      <c r="B24" s="2440" t="s">
        <v>2149</v>
      </c>
      <c r="C24" s="145">
        <f>IF(B30=0,0,D30)</f>
        <v>0</v>
      </c>
      <c r="D24" s="2447"/>
      <c r="E24" s="138"/>
      <c r="F24" s="138"/>
      <c r="G24" s="138"/>
      <c r="H24" s="138"/>
      <c r="I24" s="138"/>
    </row>
    <row r="25" spans="1:35" ht="14.25">
      <c r="A25" s="3117"/>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67356</v>
      </c>
      <c r="D32" s="2454" t="s">
        <v>2164</v>
      </c>
      <c r="E32" s="138"/>
      <c r="F32" s="138"/>
      <c r="G32" s="138"/>
      <c r="H32" s="138"/>
      <c r="I32" s="138"/>
    </row>
    <row r="33" spans="1:15" ht="15">
      <c r="A33" s="960" t="s">
        <v>2165</v>
      </c>
      <c r="B33" s="2455"/>
      <c r="C33" s="2456" t="s">
        <v>3814</v>
      </c>
      <c r="D33" s="2457" t="s">
        <v>3740</v>
      </c>
      <c r="E33" s="2458" t="s">
        <v>2166</v>
      </c>
      <c r="F33" s="2459" t="str">
        <f>IF(D32="楼面单价","取值（单价）","取值（总价）")</f>
        <v>取值（总价）</v>
      </c>
      <c r="G33" s="138"/>
      <c r="H33" s="138"/>
      <c r="I33" s="138"/>
    </row>
    <row r="34" spans="1:15" ht="15">
      <c r="A34" s="2460"/>
      <c r="B34" s="2461" t="s">
        <v>2167</v>
      </c>
      <c r="C34" s="157">
        <f ca="1">IF(C33="自定义",F34,C32-C35)</f>
        <v>56108</v>
      </c>
      <c r="D34" s="1058">
        <f ca="1">IF(C33="自定义",ROUND(C34/C32,3),IF(C33="收益比率",SUMIF(INDIRECT("'"&amp;D33&amp;"'"&amp;"!b:b"),"土地收益比率",INDIRECT("'"&amp;D33&amp;"'"&amp;"!c:c")),SUMIF(INDIRECT("'"&amp;D33&amp;"'"&amp;"!b:b"),"土地成本比率",INDIRECT("'"&amp;D33&amp;"'"&amp;"!c:c"))))</f>
        <v>0.83299999999999996</v>
      </c>
      <c r="E34" s="2462" t="s">
        <v>2168</v>
      </c>
      <c r="F34" s="1739"/>
      <c r="G34" s="138"/>
      <c r="H34" s="138"/>
      <c r="I34" s="138"/>
    </row>
    <row r="35" spans="1:15" ht="15.75" thickBot="1">
      <c r="A35" s="2463"/>
      <c r="B35" s="2464" t="s">
        <v>2169</v>
      </c>
      <c r="C35" s="1444">
        <f ca="1">IF(C33="自定义",F35,ROUND(C32*D35,0))</f>
        <v>11248</v>
      </c>
      <c r="D35" s="1445">
        <f ca="1">IF(C33="自定义",ROUND(C35/C32,3),IF(C33="收益比率",SUMIF(INDIRECT("'"&amp;D33&amp;"'"&amp;"!b:b"),"建筑物收益比率",INDIRECT("'"&amp;D33&amp;"'"&amp;"!c:c")),SUMIF(INDIRECT("'"&amp;D33&amp;"'"&amp;"!b:b"),"建筑物成本比率",INDIRECT("'"&amp;D33&amp;"'"&amp;"!c:c"))))</f>
        <v>0.16700000000000001</v>
      </c>
      <c r="E35" s="2465" t="s">
        <v>2170</v>
      </c>
      <c r="F35" s="163"/>
      <c r="G35" s="138"/>
      <c r="H35" s="138"/>
      <c r="I35" s="138"/>
    </row>
    <row r="36" spans="1:15" ht="15.75" thickBot="1">
      <c r="A36" s="3134" t="s">
        <v>2171</v>
      </c>
      <c r="B36" s="2466" t="s">
        <v>2172</v>
      </c>
      <c r="C36" s="154"/>
      <c r="D36" s="2467"/>
      <c r="E36" s="2468"/>
      <c r="F36" s="2469"/>
      <c r="G36" s="138"/>
      <c r="H36" s="138"/>
      <c r="I36" s="138"/>
    </row>
    <row r="37" spans="1:15" ht="15.75" thickBot="1">
      <c r="A37" s="3135"/>
      <c r="B37" s="2271" t="s">
        <v>2173</v>
      </c>
      <c r="C37" s="156"/>
      <c r="D37" s="1395"/>
      <c r="E37" s="1395"/>
      <c r="F37" s="2469"/>
      <c r="G37" s="138"/>
      <c r="H37" s="138"/>
      <c r="I37" s="138"/>
    </row>
    <row r="38" spans="1:15" ht="15.75" thickBot="1">
      <c r="A38" s="3136"/>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13" t="s">
        <v>2185</v>
      </c>
      <c r="B45" s="3114"/>
      <c r="C45" s="3115"/>
      <c r="D45" s="164">
        <f ca="1">ROUND(H101*F45,0)</f>
        <v>67356</v>
      </c>
      <c r="E45" s="165" t="s">
        <v>2186</v>
      </c>
      <c r="F45" s="166">
        <v>1</v>
      </c>
      <c r="G45" s="167" t="s">
        <v>2187</v>
      </c>
      <c r="H45" s="138"/>
      <c r="I45" s="138"/>
      <c r="J45" s="3173" t="s">
        <v>2188</v>
      </c>
      <c r="K45" s="3173"/>
      <c r="L45" s="3173"/>
      <c r="M45" s="3173"/>
      <c r="N45" s="3173"/>
      <c r="O45" s="3173"/>
    </row>
    <row r="46" spans="1:15" ht="14.25" customHeight="1">
      <c r="A46" s="3110" t="s">
        <v>2189</v>
      </c>
      <c r="B46" s="3111"/>
      <c r="C46" s="3111"/>
      <c r="D46" s="3111"/>
      <c r="E46" s="3111"/>
      <c r="F46" s="3111"/>
      <c r="G46" s="3112"/>
      <c r="H46" s="2485"/>
      <c r="I46" s="168"/>
      <c r="J46" s="1812">
        <v>1</v>
      </c>
      <c r="K46" s="3173" t="s">
        <v>2190</v>
      </c>
      <c r="L46" s="3173"/>
      <c r="M46" s="3193"/>
      <c r="N46" s="3193"/>
      <c r="O46" s="3193"/>
    </row>
    <row r="47" spans="1:15" ht="12" customHeight="1">
      <c r="A47" s="169" t="s">
        <v>2191</v>
      </c>
      <c r="B47" s="170"/>
      <c r="C47" s="171"/>
      <c r="D47" s="172" t="s">
        <v>2192</v>
      </c>
      <c r="E47" s="24" t="s">
        <v>2193</v>
      </c>
      <c r="F47" s="173" t="s">
        <v>2194</v>
      </c>
      <c r="G47" s="174" t="s">
        <v>2195</v>
      </c>
      <c r="H47" s="2485"/>
      <c r="I47" s="168"/>
      <c r="J47" s="1812">
        <v>2</v>
      </c>
      <c r="K47" s="3173" t="s">
        <v>2196</v>
      </c>
      <c r="L47" s="3173"/>
      <c r="M47" s="3194">
        <f>'数据-取费表'!B2</f>
        <v>43243</v>
      </c>
      <c r="N47" s="3194"/>
      <c r="O47" s="3194"/>
    </row>
    <row r="48" spans="1:15" ht="25.5">
      <c r="A48" s="3141" t="s">
        <v>2197</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73" t="s">
        <v>2200</v>
      </c>
      <c r="L48" s="3173"/>
      <c r="M48" s="3195">
        <f ca="1">H101</f>
        <v>67356</v>
      </c>
      <c r="N48" s="3195"/>
      <c r="O48" s="3195"/>
    </row>
    <row r="49" spans="1:35" ht="25.5" customHeight="1">
      <c r="A49" s="176" t="s">
        <v>2201</v>
      </c>
      <c r="B49" s="3109" t="s">
        <v>2202</v>
      </c>
      <c r="C49" s="3109"/>
      <c r="D49" s="177">
        <v>0</v>
      </c>
      <c r="E49" s="23" t="s">
        <v>2203</v>
      </c>
      <c r="F49" s="28" t="s">
        <v>34</v>
      </c>
      <c r="G49" s="3179"/>
      <c r="H49" s="138"/>
      <c r="I49" s="2488"/>
      <c r="J49" s="1812">
        <v>4</v>
      </c>
      <c r="K49" s="3173" t="str">
        <f>IF(项目基本情况!E8="房地产抵押价值","房地产抵押价值","抵押担保权已注销时的房地产抵押价值")</f>
        <v>抵押担保权已注销时的房地产抵押价值</v>
      </c>
      <c r="L49" s="3173"/>
      <c r="M49" s="3195">
        <f ca="1">IF(项目基本情况!E8="房地产抵押价值",H107,H109)</f>
        <v>67356</v>
      </c>
      <c r="N49" s="3195"/>
      <c r="O49" s="3195"/>
    </row>
    <row r="50" spans="1:35" ht="25.5" customHeight="1">
      <c r="A50" s="178"/>
      <c r="B50" s="3109" t="s">
        <v>2204</v>
      </c>
      <c r="C50" s="3109"/>
      <c r="D50" s="179"/>
      <c r="E50" s="31"/>
      <c r="F50" s="180"/>
      <c r="G50" s="3180"/>
      <c r="H50" s="138"/>
      <c r="I50" s="2488"/>
      <c r="J50" s="3173" t="s">
        <v>2205</v>
      </c>
      <c r="K50" s="3173"/>
      <c r="L50" s="3173"/>
      <c r="M50" s="3173"/>
      <c r="N50" s="3173"/>
      <c r="O50" s="3173"/>
    </row>
    <row r="51" spans="1:35" ht="12" customHeight="1">
      <c r="A51" s="181"/>
      <c r="B51" s="3109" t="s">
        <v>2206</v>
      </c>
      <c r="C51" s="3109"/>
      <c r="D51" s="182"/>
      <c r="E51" s="30"/>
      <c r="F51" s="180"/>
      <c r="G51" s="3181"/>
      <c r="H51" s="138"/>
      <c r="I51" s="2488"/>
      <c r="J51" s="2489" t="s">
        <v>2207</v>
      </c>
      <c r="K51" s="3173" t="s">
        <v>2208</v>
      </c>
      <c r="L51" s="3173"/>
      <c r="M51" s="2489" t="s">
        <v>2209</v>
      </c>
      <c r="N51" s="2489" t="s">
        <v>2210</v>
      </c>
      <c r="O51" s="2489" t="s">
        <v>2211</v>
      </c>
    </row>
    <row r="52" spans="1:35" ht="24" customHeight="1">
      <c r="A52" s="183" t="s">
        <v>2212</v>
      </c>
      <c r="B52" s="3109" t="s">
        <v>2213</v>
      </c>
      <c r="C52" s="3109"/>
      <c r="D52" s="182">
        <f ca="1">ROUND(D45*'数据-取费表'!B41/(1+'数据-取费表'!C42),0)</f>
        <v>3592</v>
      </c>
      <c r="E52" s="11" t="s">
        <v>2214</v>
      </c>
      <c r="F52" s="184">
        <f>'数据-取费表'!B41</f>
        <v>5.6000000000000001E-2</v>
      </c>
      <c r="G52" s="2490"/>
      <c r="H52" s="138"/>
      <c r="I52" s="2488"/>
      <c r="J52" s="1812">
        <v>1</v>
      </c>
      <c r="K52" s="3174" t="s">
        <v>2215</v>
      </c>
      <c r="L52" s="3174"/>
      <c r="M52" s="1754">
        <f>D48</f>
        <v>0</v>
      </c>
      <c r="N52" s="1812" t="str">
        <f>E48</f>
        <v>销售额×税（费）率</v>
      </c>
      <c r="O52" s="1755" t="str">
        <f>F48</f>
        <v>免征</v>
      </c>
    </row>
    <row r="53" spans="1:35" ht="12" customHeight="1">
      <c r="A53" s="183" t="s">
        <v>2216</v>
      </c>
      <c r="B53" s="3132" t="s">
        <v>2217</v>
      </c>
      <c r="C53" s="3133"/>
      <c r="D53" s="182">
        <f ca="1">ROUND(D45*'数据-取费表'!B41/(1+'数据-取费表'!C42),0)</f>
        <v>3592</v>
      </c>
      <c r="E53" s="11" t="s">
        <v>2214</v>
      </c>
      <c r="F53" s="184">
        <f>'数据-取费表'!B41</f>
        <v>5.6000000000000001E-2</v>
      </c>
      <c r="G53" s="2490"/>
      <c r="H53" s="138"/>
      <c r="I53" s="2488"/>
      <c r="J53" s="1812">
        <v>2</v>
      </c>
      <c r="K53" s="3174" t="s">
        <v>2218</v>
      </c>
      <c r="L53" s="3174"/>
      <c r="M53" s="1754">
        <f t="shared" ref="M53:O54" ca="1" si="0">D55</f>
        <v>34</v>
      </c>
      <c r="N53" s="1812" t="str">
        <f t="shared" si="0"/>
        <v>销售额×税（费）率</v>
      </c>
      <c r="O53" s="1755">
        <f t="shared" si="0"/>
        <v>5.0000000000000001E-4</v>
      </c>
    </row>
    <row r="54" spans="1:35" ht="12" customHeight="1">
      <c r="A54" s="183" t="s">
        <v>2219</v>
      </c>
      <c r="B54" s="3132" t="s">
        <v>2220</v>
      </c>
      <c r="C54" s="3133"/>
      <c r="D54" s="182">
        <f ca="1">C68</f>
        <v>3592</v>
      </c>
      <c r="E54" s="30" t="s">
        <v>2221</v>
      </c>
      <c r="F54" s="184">
        <f>'数据-取费表'!B41</f>
        <v>5.6000000000000001E-2</v>
      </c>
      <c r="G54" s="2490"/>
      <c r="H54" s="2491"/>
      <c r="I54" s="2488"/>
      <c r="J54" s="1812">
        <v>3</v>
      </c>
      <c r="K54" s="3174" t="s">
        <v>2222</v>
      </c>
      <c r="L54" s="3174"/>
      <c r="M54" s="1754">
        <f t="shared" ca="1" si="0"/>
        <v>38124</v>
      </c>
      <c r="N54" s="1812" t="str">
        <f t="shared" si="0"/>
        <v>增值额×税（费）率</v>
      </c>
      <c r="O54" s="1756" t="str">
        <f t="shared" si="0"/>
        <v>——</v>
      </c>
    </row>
    <row r="55" spans="1:35" ht="24" customHeight="1">
      <c r="A55" s="3123" t="s">
        <v>2223</v>
      </c>
      <c r="B55" s="3124"/>
      <c r="C55" s="3124"/>
      <c r="D55" s="185">
        <f ca="1">IF(H55="个人住宅",0,ROUND(D45*I55,0))</f>
        <v>34</v>
      </c>
      <c r="E55" s="11" t="s">
        <v>2224</v>
      </c>
      <c r="F55" s="184">
        <f>IF(H55="正常",I55,"免征")</f>
        <v>5.0000000000000001E-4</v>
      </c>
      <c r="G55" s="2490"/>
      <c r="H55" s="2487" t="s">
        <v>2225</v>
      </c>
      <c r="I55" s="186">
        <f>'数据-取费表'!B49</f>
        <v>5.0000000000000001E-4</v>
      </c>
      <c r="J55" s="1812" t="str">
        <f>IF(H59="非个人房产","",4)</f>
        <v/>
      </c>
      <c r="K55" s="3174" t="str">
        <f>IF(H59="非个人房产","——","个人所得税")</f>
        <v>——</v>
      </c>
      <c r="L55" s="3174"/>
      <c r="M55" s="1757" t="str">
        <f>D59</f>
        <v>——</v>
      </c>
      <c r="N55" s="1810" t="str">
        <f>E59</f>
        <v>——</v>
      </c>
      <c r="O55" s="1758" t="str">
        <f>F59</f>
        <v>——</v>
      </c>
    </row>
    <row r="56" spans="1:35" ht="24.75">
      <c r="A56" s="3123" t="s">
        <v>2226</v>
      </c>
      <c r="B56" s="3124"/>
      <c r="C56" s="3124"/>
      <c r="D56" s="185">
        <f ca="1">IF(H56="个人住宅",D57,D58)</f>
        <v>38124</v>
      </c>
      <c r="E56" s="11" t="s">
        <v>2227</v>
      </c>
      <c r="F56" s="184" t="str">
        <f>IF(H56="正常",F58,"免征")</f>
        <v>——</v>
      </c>
      <c r="G56" s="2492" t="s">
        <v>2228</v>
      </c>
      <c r="H56" s="2493" t="s">
        <v>2225</v>
      </c>
      <c r="I56" s="2494"/>
      <c r="J56" s="1812" t="str">
        <f>IF(项目基本情况!K6="上海银行",IF(J55="",4,J55+1),"")</f>
        <v/>
      </c>
      <c r="K56" s="3197" t="str">
        <f>IF(项目基本情况!K6="上海银行","其他处置费用","")</f>
        <v/>
      </c>
      <c r="L56" s="3198"/>
      <c r="M56" s="1754" t="str">
        <f>IF(项目基本情况!K6="上海银行",M69,"")</f>
        <v/>
      </c>
      <c r="N56" s="3200" t="str">
        <f>IF(项目基本情况!K6="上海银行","包含处置中涉及的律师、诉讼、拍卖、评估等费用","")</f>
        <v/>
      </c>
      <c r="O56" s="3201"/>
    </row>
    <row r="57" spans="1:35" ht="12.75">
      <c r="A57" s="183" t="s">
        <v>2201</v>
      </c>
      <c r="B57" s="3139" t="s">
        <v>2229</v>
      </c>
      <c r="C57" s="3148"/>
      <c r="D57" s="187">
        <v>0</v>
      </c>
      <c r="E57" s="23" t="s">
        <v>2203</v>
      </c>
      <c r="F57" s="155"/>
      <c r="G57" s="2490"/>
      <c r="H57" s="2494"/>
      <c r="I57" s="2494"/>
      <c r="J57" s="3174">
        <f>IF(AND(J55="",J56=""),4,IF(项目基本情况!K6="上海银行",结果表!J56+1,结果表!J55+1))</f>
        <v>4</v>
      </c>
      <c r="K57" s="3174" t="s">
        <v>2230</v>
      </c>
      <c r="L57" s="2495" t="s">
        <v>2231</v>
      </c>
      <c r="M57" s="1759"/>
      <c r="N57" s="1760">
        <f ca="1">SUMIF(M52:M56,"&lt;9e307")</f>
        <v>38158</v>
      </c>
      <c r="O57" s="2496"/>
      <c r="P57" s="1753">
        <f ca="1">N57/M49</f>
        <v>0.56651226319852721</v>
      </c>
    </row>
    <row r="58" spans="1:35" ht="24.75">
      <c r="A58" s="183" t="s">
        <v>2212</v>
      </c>
      <c r="B58" s="3139" t="s">
        <v>2232</v>
      </c>
      <c r="C58" s="3140"/>
      <c r="D58" s="185">
        <f ca="1">IF(H58="转让取得",C81,C97)</f>
        <v>38124</v>
      </c>
      <c r="E58" s="11" t="s">
        <v>2227</v>
      </c>
      <c r="F58" s="24" t="s">
        <v>34</v>
      </c>
      <c r="G58" s="2490"/>
      <c r="H58" s="2493" t="s">
        <v>2233</v>
      </c>
      <c r="I58" s="2494"/>
      <c r="J58" s="3174"/>
      <c r="K58" s="3174"/>
      <c r="L58" s="2495" t="s">
        <v>2234</v>
      </c>
      <c r="M58" s="1761"/>
      <c r="N58" s="2497" t="str">
        <f ca="1">NUMBERSTRING(INT(N57*10000),2)&amp;"元整"</f>
        <v>叁亿捌仟壹佰伍拾捌万元整</v>
      </c>
      <c r="O58" s="2498"/>
    </row>
    <row r="59" spans="1:35" ht="24.75" thickBot="1">
      <c r="A59" s="3177" t="s">
        <v>2235</v>
      </c>
      <c r="B59" s="3178"/>
      <c r="C59" s="3178"/>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75">
        <f>J57+1</f>
        <v>5</v>
      </c>
      <c r="K59" s="3174" t="s">
        <v>2237</v>
      </c>
      <c r="L59" s="1812" t="s">
        <v>2231</v>
      </c>
      <c r="M59" s="1762"/>
      <c r="N59" s="1763">
        <f ca="1">M49-N57</f>
        <v>29198</v>
      </c>
      <c r="O59" s="2500"/>
    </row>
    <row r="60" spans="1:35" ht="12" customHeight="1">
      <c r="A60" s="2501"/>
      <c r="B60" s="2423"/>
      <c r="C60" s="2423"/>
      <c r="D60" s="2423"/>
      <c r="E60" s="2170"/>
      <c r="F60" s="2494"/>
      <c r="G60" s="2494"/>
      <c r="H60" s="2502"/>
      <c r="I60" s="138"/>
      <c r="J60" s="3176"/>
      <c r="K60" s="3174"/>
      <c r="L60" s="2495" t="s">
        <v>2234</v>
      </c>
      <c r="M60" s="1761"/>
      <c r="N60" s="2497" t="str">
        <f ca="1">NUMBERSTRING(INT(N59*10000),2)&amp;"元整"</f>
        <v>贰亿玖仟壹佰玖拾捌万元整</v>
      </c>
      <c r="O60" s="2498"/>
    </row>
    <row r="61" spans="1:35" ht="13.5" thickBot="1">
      <c r="A61" s="3121" t="s">
        <v>2238</v>
      </c>
      <c r="B61" s="3121"/>
      <c r="C61" s="3121"/>
      <c r="D61" s="3121"/>
      <c r="E61" s="3121"/>
      <c r="F61" s="2494"/>
      <c r="G61" s="2494"/>
      <c r="H61" s="2502"/>
      <c r="I61" s="138"/>
      <c r="J61" s="1812">
        <f>J59+1</f>
        <v>6</v>
      </c>
      <c r="K61" s="3174" t="s">
        <v>2239</v>
      </c>
      <c r="L61" s="3174"/>
      <c r="M61" s="1764"/>
      <c r="N61" s="1765">
        <f ca="1">ROUND(N59*10000/'数据-汇总表'!E3,0)</f>
        <v>11146</v>
      </c>
      <c r="O61" s="2503"/>
    </row>
    <row r="62" spans="1:35" ht="12.75">
      <c r="A62" s="3137" t="s">
        <v>2240</v>
      </c>
      <c r="B62" s="3138"/>
      <c r="C62" s="1804"/>
      <c r="D62" s="1804" t="s">
        <v>2241</v>
      </c>
      <c r="E62" s="192" t="s">
        <v>2242</v>
      </c>
      <c r="F62" s="2494"/>
      <c r="G62" s="2494"/>
      <c r="H62" s="2502"/>
      <c r="I62" s="138"/>
    </row>
    <row r="63" spans="1:35" ht="12.75">
      <c r="A63" s="203" t="s">
        <v>775</v>
      </c>
      <c r="B63" s="193" t="s">
        <v>2243</v>
      </c>
      <c r="C63" s="194">
        <f ca="1">ROUND((C64+C65)/(1+'数据-取费表'!C42),0)</f>
        <v>64149</v>
      </c>
      <c r="D63" s="195"/>
      <c r="E63" s="196"/>
      <c r="F63" s="2494"/>
      <c r="G63" s="2494"/>
      <c r="H63" s="2502"/>
      <c r="I63" s="138"/>
      <c r="J63" s="3199" t="s">
        <v>2244</v>
      </c>
      <c r="K63" s="2504" t="s">
        <v>2245</v>
      </c>
      <c r="L63" s="1752">
        <f ca="1">IF(M49&gt;10000,M49*0.5%,IF(AND(M49&gt;1000,M49&lt;=10000),M49*1%,IF(AND(M49&gt;100,M49&lt;=1000),M49*3%,IF(AND(M49&gt;10,M49&lt;=100),M49*5%,M49*8%))))</f>
        <v>336.78000000000003</v>
      </c>
      <c r="M63" s="24">
        <f ca="1">ROUND(L63,1)</f>
        <v>336.8</v>
      </c>
      <c r="Z63" s="2428"/>
      <c r="AI63" s="2429"/>
    </row>
    <row r="64" spans="1:35" ht="14.25" customHeight="1">
      <c r="A64" s="197" t="s">
        <v>770</v>
      </c>
      <c r="B64" s="198" t="s">
        <v>2246</v>
      </c>
      <c r="C64" s="199">
        <f ca="1">D45</f>
        <v>67356</v>
      </c>
      <c r="D64" s="200" t="s">
        <v>32</v>
      </c>
      <c r="E64" s="201"/>
      <c r="F64" s="2494"/>
      <c r="G64" s="2494"/>
      <c r="H64" s="2502"/>
      <c r="I64" s="138"/>
      <c r="J64" s="3199"/>
      <c r="K64" s="2504" t="s">
        <v>2247</v>
      </c>
      <c r="L64" s="1752">
        <f ca="1">IF(M49&gt;2000,M49*0.5%,IF(AND(M49&gt;1000,M49&lt;=2000),M49*0.6%,IF(AND(M49&gt;500,M49&lt;=1000),M49*0.7%,IF(AND(M49&gt;200,M49&lt;=500),M49*0.8%,IF(AND(M49&gt;100,M49&lt;=200),M49*0.9%,IF(AND(M49&gt;50,M49&lt;=100),M49*1%,IF(AND(M49&gt;20,M49&lt;=50),M49*1.5%,IF(AND(M49&gt;10,M49&lt;=20),M49*2%,IF(AND(M49&gt;1,M49&lt;=10),M49*2.5%)))))))))</f>
        <v>336.78000000000003</v>
      </c>
      <c r="M64" s="24">
        <f t="shared" ref="M64:M65" ca="1" si="1">ROUND(L64,1)</f>
        <v>336.8</v>
      </c>
      <c r="N64" s="138" t="s">
        <v>2248</v>
      </c>
      <c r="Z64" s="2428"/>
      <c r="AI64" s="2429"/>
    </row>
    <row r="65" spans="1:35" ht="14.25" customHeight="1">
      <c r="A65" s="197" t="s">
        <v>771</v>
      </c>
      <c r="B65" s="198" t="s">
        <v>2249</v>
      </c>
      <c r="C65" s="202"/>
      <c r="D65" s="200"/>
      <c r="E65" s="201"/>
      <c r="F65" s="2494"/>
      <c r="G65" s="2494"/>
      <c r="H65" s="2502"/>
      <c r="I65" s="138"/>
      <c r="J65" s="3199"/>
      <c r="K65" s="2504" t="s">
        <v>2250</v>
      </c>
      <c r="L65" s="1752">
        <f ca="1">IF(M49&gt;1000,M49*0.1%,IF(AND(M49&gt;500,M49&lt;=1000),M49*0.5%,IF(AND(M49&gt;50,M49&lt;=500),M49*1%,IF(AND(M49&gt;1,M49&lt;=50),M49*1.5%))))</f>
        <v>67.355999999999995</v>
      </c>
      <c r="M65" s="24">
        <f t="shared" ca="1" si="1"/>
        <v>67.400000000000006</v>
      </c>
      <c r="N65" s="138" t="s">
        <v>2248</v>
      </c>
      <c r="Z65" s="2428"/>
      <c r="AI65" s="2429"/>
    </row>
    <row r="66" spans="1:35" ht="14.25" customHeight="1">
      <c r="A66" s="203" t="s">
        <v>772</v>
      </c>
      <c r="B66" s="204" t="s">
        <v>2251</v>
      </c>
      <c r="C66" s="205"/>
      <c r="D66" s="206" t="s">
        <v>32</v>
      </c>
      <c r="E66" s="1776" t="s">
        <v>1371</v>
      </c>
      <c r="F66" s="2494"/>
      <c r="G66" s="2494"/>
      <c r="H66" s="2502"/>
      <c r="I66" s="138"/>
      <c r="J66" s="3199"/>
      <c r="K66" s="2504" t="s">
        <v>2252</v>
      </c>
      <c r="L66" s="1752">
        <f ca="1">M49*0.5%</f>
        <v>336.78000000000003</v>
      </c>
      <c r="M66" s="24">
        <f ca="1">IF(L66&gt;0.5,0.5,ROUND(L66,0))</f>
        <v>0.5</v>
      </c>
      <c r="N66" s="138" t="s">
        <v>2253</v>
      </c>
      <c r="Z66" s="2428"/>
      <c r="AI66" s="2429"/>
    </row>
    <row r="67" spans="1:35" ht="14.25" customHeight="1">
      <c r="A67" s="203" t="s">
        <v>773</v>
      </c>
      <c r="B67" s="204" t="s">
        <v>2254</v>
      </c>
      <c r="C67" s="207">
        <f ca="1">C63-C66</f>
        <v>64149</v>
      </c>
      <c r="D67" s="200" t="s">
        <v>32</v>
      </c>
      <c r="E67" s="201"/>
      <c r="F67" s="2494"/>
      <c r="G67" s="2494"/>
      <c r="H67" s="2502"/>
      <c r="I67" s="138"/>
      <c r="J67" s="3199"/>
      <c r="K67" s="2504" t="s">
        <v>2255</v>
      </c>
      <c r="L67" s="1752">
        <f ca="1">IF(M49&gt;=10000,(8.25+(M49-10000)*0.01%),IF(AND(M49&gt;=8000,M49&lt;10000),(7.85+(M49-8000)*0.02%),IF(AND(M49&gt;=5000,M49&lt;8000),(6.65+(M49-5000)*0.04%),IF(AND(M49&gt;=2000,M49&lt;5000),(4.25+(PM49-2000)*0.08%),IF(AND(M49&gt;=1000,M49&lt;2000),(2.75+(M49-1000)*0.15%),IF(AND(M49&gt;=100,M49&lt;1000),(0.5+(M49-100)*0.25%),IF(AND(M49&gt;0,M49&lt;100),M49*0.5%)))))))</f>
        <v>13.985600000000002</v>
      </c>
      <c r="M67" s="24">
        <f ca="1">ROUND(L67*0.9,1)</f>
        <v>12.6</v>
      </c>
      <c r="Z67" s="2428"/>
      <c r="AI67" s="2429"/>
    </row>
    <row r="68" spans="1:35" ht="14.25" customHeight="1" thickBot="1">
      <c r="A68" s="208" t="s">
        <v>774</v>
      </c>
      <c r="B68" s="209" t="s">
        <v>2256</v>
      </c>
      <c r="C68" s="210">
        <f ca="1">IF(C67&lt;=0,0,ROUND(C67*D68,0))</f>
        <v>3592</v>
      </c>
      <c r="D68" s="211">
        <f>'数据-取费表'!B41</f>
        <v>5.6000000000000001E-2</v>
      </c>
      <c r="E68" s="212"/>
      <c r="F68" s="2494"/>
      <c r="G68" s="2494"/>
      <c r="H68" s="2502"/>
      <c r="I68" s="138"/>
      <c r="J68" s="3199"/>
      <c r="K68" s="2504" t="s">
        <v>2257</v>
      </c>
      <c r="L68" s="1752">
        <f ca="1">IF(M49&gt;10000,M49*0.5%,IF(AND(M49&gt;5000,M49&lt;=10000),M49*1%,IF(AND(M49&gt;1000,M49&lt;=5000),M49*2%,IF(AND(M49&gt;200,M49&lt;=1000),M49*3%,M49*5%))))</f>
        <v>336.78000000000003</v>
      </c>
      <c r="M68" s="24">
        <f ca="1">ROUND(L68,1)</f>
        <v>336.8</v>
      </c>
      <c r="Z68" s="2428"/>
      <c r="AI68" s="2429"/>
    </row>
    <row r="69" spans="1:35" s="2451" customFormat="1" ht="16.5" customHeight="1">
      <c r="A69" s="2505"/>
      <c r="B69" s="2506"/>
      <c r="C69" s="2507"/>
      <c r="D69" s="2508"/>
      <c r="E69" s="2509"/>
      <c r="F69" s="2170"/>
      <c r="G69" s="2170"/>
      <c r="H69" s="2169"/>
      <c r="I69" s="2423"/>
      <c r="J69" s="3199"/>
      <c r="K69" s="2504" t="s">
        <v>2258</v>
      </c>
      <c r="L69" s="2510"/>
      <c r="M69" s="24">
        <f ca="1">ROUND(SUM(M63:M68),0)</f>
        <v>1091</v>
      </c>
      <c r="N69" s="1753">
        <f ca="1">M69/M49</f>
        <v>1.6197517667319913E-2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58" t="s">
        <v>2259</v>
      </c>
      <c r="B70" s="3159"/>
      <c r="C70" s="3159"/>
      <c r="D70" s="3159"/>
      <c r="E70" s="3159"/>
      <c r="F70" s="3159"/>
      <c r="G70" s="3159"/>
      <c r="H70" s="315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37" t="s">
        <v>2240</v>
      </c>
      <c r="B71" s="3138"/>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64149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385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132" t="s">
        <v>2268</v>
      </c>
      <c r="F76" s="3109"/>
      <c r="G76" s="3109"/>
      <c r="H76" s="315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385</v>
      </c>
      <c r="D78" s="226">
        <f>'数据-取费表'!B43</f>
        <v>6.000000000000001E-3</v>
      </c>
      <c r="E78" s="3118" t="s">
        <v>2273</v>
      </c>
      <c r="F78" s="3119"/>
      <c r="G78" s="3119"/>
      <c r="H78" s="312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63764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165.62077922077921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38124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58" t="s">
        <v>2277</v>
      </c>
      <c r="B83" s="3159"/>
      <c r="C83" s="3159"/>
      <c r="D83" s="3159"/>
      <c r="E83" s="3159"/>
      <c r="F83" s="3159"/>
      <c r="G83" s="3159"/>
      <c r="H83" s="315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37" t="s">
        <v>2240</v>
      </c>
      <c r="B84" s="3138"/>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64149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385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118" t="s">
        <v>2286</v>
      </c>
      <c r="F91" s="3119"/>
      <c r="G91" s="3119"/>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118" t="s">
        <v>2290</v>
      </c>
      <c r="F92" s="3119"/>
      <c r="G92" s="3119"/>
      <c r="H92" s="312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385</v>
      </c>
      <c r="D93" s="226">
        <f>'数据-取费表'!B43</f>
        <v>6.000000000000001E-3</v>
      </c>
      <c r="E93" s="3118" t="s">
        <v>2273</v>
      </c>
      <c r="F93" s="3119"/>
      <c r="G93" s="3119"/>
      <c r="H93" s="312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29" t="s">
        <v>2294</v>
      </c>
      <c r="F94" s="3130"/>
      <c r="G94" s="3130"/>
      <c r="H94" s="313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63764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165.62077922077921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38124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102" t="s">
        <v>2296</v>
      </c>
      <c r="B100" s="3103"/>
      <c r="C100" s="3103"/>
      <c r="D100" s="3120"/>
      <c r="E100" s="3103" t="s">
        <v>2297</v>
      </c>
      <c r="F100" s="3103"/>
      <c r="G100" s="3103"/>
      <c r="H100" s="3120"/>
      <c r="I100" s="138"/>
    </row>
    <row r="101" spans="1:35" ht="18.75" customHeight="1">
      <c r="A101" s="3182" t="s">
        <v>2298</v>
      </c>
      <c r="B101" s="3183"/>
      <c r="C101" s="736" t="str">
        <f>C4</f>
        <v>成本法</v>
      </c>
      <c r="D101" s="737" t="str">
        <f>D4</f>
        <v>收益法（汇总）</v>
      </c>
      <c r="E101" s="3196" t="s">
        <v>2299</v>
      </c>
      <c r="F101" s="3150"/>
      <c r="G101" s="2525" t="s">
        <v>2300</v>
      </c>
      <c r="H101" s="1048">
        <f ca="1">H118</f>
        <v>67356</v>
      </c>
      <c r="I101" s="138"/>
    </row>
    <row r="102" spans="1:35" ht="18.75" customHeight="1">
      <c r="A102" s="3152" t="s">
        <v>2301</v>
      </c>
      <c r="B102" s="2525" t="s">
        <v>2300</v>
      </c>
      <c r="C102" s="736">
        <f ca="1">C19</f>
        <v>62277</v>
      </c>
      <c r="D102" s="737">
        <f ca="1">D19</f>
        <v>72435</v>
      </c>
      <c r="E102" s="3196"/>
      <c r="F102" s="3150"/>
      <c r="G102" s="2525" t="s">
        <v>2302</v>
      </c>
      <c r="H102" s="371">
        <f ca="1">I118</f>
        <v>25711</v>
      </c>
      <c r="I102" s="138"/>
    </row>
    <row r="103" spans="1:35" ht="42.75" customHeight="1">
      <c r="A103" s="3152"/>
      <c r="B103" s="2525" t="s">
        <v>2302</v>
      </c>
      <c r="C103" s="738">
        <f ca="1">C20</f>
        <v>23773</v>
      </c>
      <c r="D103" s="739">
        <f ca="1">D20</f>
        <v>27650</v>
      </c>
      <c r="E103" s="3191" t="s">
        <v>2303</v>
      </c>
      <c r="F103" s="3192"/>
      <c r="G103" s="2526" t="s">
        <v>2304</v>
      </c>
      <c r="H103" s="1048">
        <f>IF(D36="正常操作",H104+H105+H106,H105+H106)</f>
        <v>0</v>
      </c>
      <c r="I103" s="138"/>
    </row>
    <row r="104" spans="1:35" ht="18.75" customHeight="1">
      <c r="A104" s="3152" t="s">
        <v>2305</v>
      </c>
      <c r="B104" s="2527" t="s">
        <v>2300</v>
      </c>
      <c r="C104" s="740">
        <f ca="1">H118</f>
        <v>67356</v>
      </c>
      <c r="D104" s="741"/>
      <c r="E104" s="2271" t="s">
        <v>2306</v>
      </c>
      <c r="F104" s="2262"/>
      <c r="G104" s="2526" t="s">
        <v>2304</v>
      </c>
      <c r="H104" s="1049">
        <f>IF(D36="同一抵押权人同一抵押物续贷",C36&amp;"（未扣减，详见特别提示）",C36)</f>
        <v>0</v>
      </c>
      <c r="I104" s="138"/>
    </row>
    <row r="105" spans="1:35" ht="18.75" customHeight="1" thickBot="1">
      <c r="A105" s="3153"/>
      <c r="B105" s="2528" t="s">
        <v>2302</v>
      </c>
      <c r="C105" s="742">
        <f ca="1">I118</f>
        <v>25711</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149" t="str">
        <f>IF(项目基本情况!E8="已注销","——","3.房地产抵押价值")</f>
        <v>3.房地产抵押价值</v>
      </c>
      <c r="F107" s="3150"/>
      <c r="G107" s="2525" t="s">
        <v>2300</v>
      </c>
      <c r="H107" s="1048">
        <f ca="1">IF(E107="——","——",H101-H103)</f>
        <v>67356</v>
      </c>
      <c r="I107" s="138"/>
    </row>
    <row r="108" spans="1:35" ht="18.75" customHeight="1">
      <c r="A108" s="138"/>
      <c r="B108" s="138"/>
      <c r="C108" s="138"/>
      <c r="D108" s="138"/>
      <c r="E108" s="3149"/>
      <c r="F108" s="3150"/>
      <c r="G108" s="2525" t="s">
        <v>2302</v>
      </c>
      <c r="H108" s="371">
        <f ca="1">ROUND(H107*10000/'数据-汇总表'!E3,0)</f>
        <v>25711</v>
      </c>
      <c r="I108" s="138"/>
    </row>
    <row r="109" spans="1:35" ht="18.75" customHeight="1">
      <c r="A109" s="138"/>
      <c r="B109" s="138"/>
      <c r="C109" s="138"/>
      <c r="D109" s="138"/>
      <c r="E109" s="3149" t="str">
        <f>IF(项目基本情况!E8="已注销及未注销","4.抵押担保权已注销时的房地产抵押价值",IF(项目基本情况!E8="已注销","3.抵押担保权已注销时的房地产抵押价值","——"))</f>
        <v>4.抵押担保权已注销时的房地产抵押价值</v>
      </c>
      <c r="F109" s="3150"/>
      <c r="G109" s="2525" t="s">
        <v>2300</v>
      </c>
      <c r="H109" s="348">
        <f ca="1">IF(E109="——","——",H101-H105-H106)</f>
        <v>67356</v>
      </c>
      <c r="I109" s="138"/>
    </row>
    <row r="110" spans="1:35" ht="18.75" customHeight="1">
      <c r="A110" s="138"/>
      <c r="B110" s="138"/>
      <c r="C110" s="138"/>
      <c r="D110" s="138"/>
      <c r="E110" s="3149"/>
      <c r="F110" s="3150"/>
      <c r="G110" s="2525" t="s">
        <v>2302</v>
      </c>
      <c r="H110" s="371">
        <f ca="1">IF(H109="——","——",ROUND(H109*10000/'数据-汇总表'!E3,0))</f>
        <v>25711</v>
      </c>
      <c r="I110" s="138"/>
    </row>
    <row r="111" spans="1:35" ht="18.75" customHeight="1">
      <c r="A111" s="138"/>
      <c r="B111" s="138"/>
      <c r="C111" s="138"/>
      <c r="D111" s="138"/>
      <c r="E111" s="3184" t="str">
        <f>IF(项目基本情况!E9="抵押净值",IF(OR(项目基本情况!E8="已注销",项目基本情况!E8="房地产抵押价值"),"4.抵押净值","5.抵押净值"),"——")</f>
        <v>——</v>
      </c>
      <c r="F111" s="3185"/>
      <c r="G111" s="2525" t="s">
        <v>2300</v>
      </c>
      <c r="H111" s="1048" t="str">
        <f>IF(E111="——","——",N59)</f>
        <v>——</v>
      </c>
      <c r="I111" s="138"/>
    </row>
    <row r="112" spans="1:35" ht="18.75" customHeight="1" thickBot="1">
      <c r="A112" s="138"/>
      <c r="B112" s="138"/>
      <c r="C112" s="138"/>
      <c r="D112" s="138"/>
      <c r="E112" s="3186"/>
      <c r="F112" s="3187"/>
      <c r="G112" s="2530" t="s">
        <v>2302</v>
      </c>
      <c r="H112" s="790" t="str">
        <f>IF(E111="——","——",N61)</f>
        <v>——</v>
      </c>
      <c r="I112" s="138"/>
    </row>
    <row r="113" spans="1:11" ht="18.75" customHeight="1">
      <c r="A113" s="138"/>
      <c r="B113" s="138"/>
      <c r="C113" s="138"/>
      <c r="D113" s="138"/>
      <c r="E113" s="3154" t="s">
        <v>2308</v>
      </c>
      <c r="F113" s="3154"/>
      <c r="G113" s="3154"/>
      <c r="H113" s="3154"/>
      <c r="I113" s="138"/>
    </row>
    <row r="114" spans="1:11" ht="3.75" customHeight="1">
      <c r="A114" s="2423"/>
      <c r="B114" s="2423"/>
      <c r="C114" s="2423"/>
      <c r="D114" s="2423"/>
      <c r="E114" s="2501"/>
      <c r="F114" s="2501"/>
      <c r="G114" s="2501"/>
      <c r="H114" s="2501"/>
      <c r="I114" s="2423"/>
    </row>
    <row r="115" spans="1:11" ht="18.75" customHeight="1">
      <c r="A115" s="3167" t="s">
        <v>2310</v>
      </c>
      <c r="B115" s="3168"/>
      <c r="C115" s="3168"/>
      <c r="D115" s="3168"/>
      <c r="E115" s="3168"/>
      <c r="F115" s="3168"/>
      <c r="G115" s="3168"/>
      <c r="H115" s="3168"/>
      <c r="I115" s="3169"/>
    </row>
    <row r="116" spans="1:11" ht="27" customHeight="1">
      <c r="A116" s="3059" t="s">
        <v>2311</v>
      </c>
      <c r="B116" s="3155" t="s">
        <v>2312</v>
      </c>
      <c r="C116" s="3155" t="s">
        <v>2313</v>
      </c>
      <c r="D116" s="3171" t="s">
        <v>2314</v>
      </c>
      <c r="E116" s="3172"/>
      <c r="F116" s="3163" t="s">
        <v>2315</v>
      </c>
      <c r="G116" s="3163"/>
      <c r="H116" s="3059" t="s">
        <v>2316</v>
      </c>
      <c r="I116" s="3059"/>
    </row>
    <row r="117" spans="1:11" ht="18.75" customHeight="1">
      <c r="A117" s="3059"/>
      <c r="B117" s="3156"/>
      <c r="C117" s="3156"/>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26196.840000000004</v>
      </c>
      <c r="C118" s="1798">
        <f>M19</f>
        <v>8931.74</v>
      </c>
      <c r="D118" s="1798">
        <f ca="1">ROUND(IF(D32="总价",C34,E118*B118/10000),0)</f>
        <v>56108</v>
      </c>
      <c r="E118" s="1798">
        <f ca="1">ROUND(IF(C33="自定义",IF(D32="楼面单价",C34,D118*10000/B118),I118-G118),0)</f>
        <v>21417</v>
      </c>
      <c r="F118" s="1798">
        <f ca="1">ROUND(IF(D32="总价",C35,G118*B118/10000),0)</f>
        <v>11248</v>
      </c>
      <c r="G118" s="1798">
        <f ca="1">ROUND(IF(D32="楼面单价",C35,F118*10000/B118),0)</f>
        <v>4294</v>
      </c>
      <c r="H118" s="1798">
        <f ca="1">ROUND(IF(D32="总价",C32,I118*B118/10000),0)</f>
        <v>67356</v>
      </c>
      <c r="I118" s="1798">
        <f ca="1">ROUND(IF(D32="楼面单价",C32,H118*10000/B118),0)</f>
        <v>25711</v>
      </c>
    </row>
    <row r="119" spans="1:11" ht="18.75" customHeight="1">
      <c r="A119" s="3059" t="s">
        <v>2320</v>
      </c>
      <c r="B119" s="3059"/>
      <c r="C119" s="3059"/>
      <c r="D119" s="3160" t="str">
        <f ca="1">NUMBERSTRING(INT(D118*10000),2)&amp;"元整"</f>
        <v>伍亿陆仟壹佰零捌万元整</v>
      </c>
      <c r="E119" s="3162"/>
      <c r="F119" s="3160" t="str">
        <f ca="1">NUMBERSTRING(INT(F118*10000),2)&amp;"元整"</f>
        <v>壹亿壹仟贰佰肆拾捌万元整</v>
      </c>
      <c r="G119" s="3162"/>
      <c r="H119" s="3160" t="str">
        <f ca="1">NUMBERSTRING(INT(H118*10000),2)&amp;"元整"</f>
        <v>陆亿柒仟叁佰伍拾陆万元整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28" t="str">
        <f>IF(D120=0,"故，本次评估不存在"&amp;A120,"故，本次评估"&amp;A120&amp;"为人民币"&amp;D120&amp;"万元整。")</f>
        <v>故，本次评估不存在估价师知悉的法定优先受偿款</v>
      </c>
    </row>
    <row r="121" spans="1:11" ht="18.75" customHeight="1">
      <c r="A121" s="3164" t="s">
        <v>2320</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67356</v>
      </c>
      <c r="E122" s="3189"/>
      <c r="F122" s="3189"/>
      <c r="G122" s="3189"/>
      <c r="H122" s="3189"/>
      <c r="I122" s="3190"/>
    </row>
    <row r="123" spans="1:11" ht="18.75" customHeight="1">
      <c r="A123" s="3059" t="s">
        <v>2320</v>
      </c>
      <c r="B123" s="3059"/>
      <c r="C123" s="3059"/>
      <c r="D123" s="3160" t="str">
        <f ca="1">NUMBERSTRING(INT(D122*10000),2)&amp;"元整"</f>
        <v>陆亿柒仟叁佰伍拾陆万元整</v>
      </c>
      <c r="E123" s="3161"/>
      <c r="F123" s="3161"/>
      <c r="G123" s="3161"/>
      <c r="H123" s="3161"/>
      <c r="I123" s="3162"/>
    </row>
    <row r="124" spans="1:11" ht="18.75" customHeight="1">
      <c r="A124" s="3151" t="str">
        <f>IF(项目基本情况!B9="房地产市场价值","",MID(E109,3,LEN(E109)-2))</f>
        <v>抵押担保权已注销时的房地产抵押价值</v>
      </c>
      <c r="B124" s="3151"/>
      <c r="C124" s="3151"/>
      <c r="D124" s="3188">
        <f ca="1">H109</f>
        <v>67356</v>
      </c>
      <c r="E124" s="3189"/>
      <c r="F124" s="3189"/>
      <c r="G124" s="3189"/>
      <c r="H124" s="3189"/>
      <c r="I124" s="3190"/>
    </row>
    <row r="125" spans="1:11" ht="18.75" customHeight="1">
      <c r="A125" s="3059" t="s">
        <v>2320</v>
      </c>
      <c r="B125" s="3059"/>
      <c r="C125" s="3059"/>
      <c r="D125" s="3160" t="str">
        <f ca="1">NUMBERSTRING(INT(D124*10000),2)&amp;"元整"</f>
        <v>陆亿柒仟叁佰伍拾陆万元整</v>
      </c>
      <c r="E125" s="3161"/>
      <c r="F125" s="3161"/>
      <c r="G125" s="3161"/>
      <c r="H125" s="3161"/>
      <c r="I125" s="3162"/>
    </row>
    <row r="126" spans="1:11" ht="18.75" customHeight="1">
      <c r="A126" s="3151" t="str">
        <f>IF(项目基本情况!B9="房地产市场价值","",MID(E111,3,LEN(E111)-2))</f>
        <v/>
      </c>
      <c r="B126" s="3151"/>
      <c r="C126" s="3151"/>
      <c r="D126" s="3188" t="str">
        <f>H111</f>
        <v>——</v>
      </c>
      <c r="E126" s="3189"/>
      <c r="F126" s="3189"/>
      <c r="G126" s="3189"/>
      <c r="H126" s="3189"/>
      <c r="I126" s="3190"/>
    </row>
    <row r="127" spans="1:11" ht="18.75" customHeight="1">
      <c r="A127" s="3059" t="s">
        <v>2320</v>
      </c>
      <c r="B127" s="3059"/>
      <c r="C127" s="3059"/>
      <c r="D127" s="3160" t="e">
        <f>NUMBERSTRING(INT(D126*10000),2)&amp;"元整"</f>
        <v>#VALUE!</v>
      </c>
      <c r="E127" s="3161"/>
      <c r="F127" s="3161"/>
      <c r="G127" s="3161"/>
      <c r="H127" s="3161"/>
      <c r="I127" s="3162"/>
    </row>
    <row r="128" spans="1:11" ht="21.75" customHeight="1">
      <c r="A128" s="3170" t="s">
        <v>2321</v>
      </c>
      <c r="B128" s="3170"/>
      <c r="C128" s="3170"/>
      <c r="D128" s="3170"/>
      <c r="E128" s="3170"/>
      <c r="F128" s="3170"/>
      <c r="G128" s="3170"/>
      <c r="H128" s="3170"/>
      <c r="I128" s="3170"/>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5" t="str">
        <f>项目基本情况!B1</f>
        <v>北京市房地产抵押价值预评估</v>
      </c>
      <c r="C37" s="3015"/>
      <c r="D37" s="3015"/>
      <c r="E37" s="3015"/>
      <c r="F37" s="3015"/>
      <c r="G37" s="3015"/>
      <c r="H37" s="3015"/>
      <c r="I37" s="301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03" t="s">
        <v>3009</v>
      </c>
      <c r="D1" s="3204"/>
      <c r="E1" s="3204"/>
      <c r="F1" s="3204"/>
      <c r="G1" s="3204"/>
      <c r="H1" s="3204"/>
      <c r="I1" s="3204"/>
      <c r="J1" s="3204"/>
      <c r="K1" s="3204"/>
      <c r="L1" s="3204"/>
      <c r="M1" s="3204"/>
      <c r="N1" s="3204"/>
      <c r="O1" s="3204"/>
      <c r="P1" s="3204"/>
      <c r="Q1" s="3204"/>
      <c r="R1" s="3204"/>
      <c r="S1" s="3205"/>
      <c r="T1" s="1207" t="s">
        <v>3010</v>
      </c>
    </row>
    <row r="2" spans="1:45" s="707" customFormat="1" ht="38.25">
      <c r="A2" s="1208"/>
      <c r="B2" s="703" t="s">
        <v>3011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v>3000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f>C4-3</f>
        <v>97</v>
      </c>
      <c r="E4" s="1214">
        <f t="shared" ref="E4:I4" si="7">D4-3</f>
        <v>94</v>
      </c>
      <c r="F4" s="1214">
        <f t="shared" si="7"/>
        <v>91</v>
      </c>
      <c r="G4" s="1214">
        <f t="shared" si="7"/>
        <v>88</v>
      </c>
      <c r="H4" s="1214">
        <f t="shared" si="7"/>
        <v>85</v>
      </c>
      <c r="I4" s="1214">
        <f t="shared" si="7"/>
        <v>82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8">D6-$T5</f>
        <v>100</v>
      </c>
      <c r="F6" s="1718">
        <f t="shared" si="8"/>
        <v>100</v>
      </c>
      <c r="G6" s="1718">
        <f t="shared" si="8"/>
        <v>100</v>
      </c>
      <c r="H6" s="1718">
        <f t="shared" si="8"/>
        <v>100</v>
      </c>
      <c r="I6" s="1718">
        <f t="shared" si="8"/>
        <v>100</v>
      </c>
      <c r="J6" s="1718">
        <f t="shared" si="8"/>
        <v>100</v>
      </c>
      <c r="K6" s="1718">
        <f t="shared" si="8"/>
        <v>100</v>
      </c>
      <c r="L6" s="1718">
        <f t="shared" si="8"/>
        <v>100</v>
      </c>
      <c r="M6" s="1718">
        <f t="shared" si="8"/>
        <v>100</v>
      </c>
      <c r="N6" s="1718">
        <f t="shared" si="8"/>
        <v>100</v>
      </c>
      <c r="O6" s="1718">
        <f t="shared" si="8"/>
        <v>100</v>
      </c>
      <c r="P6" s="1718">
        <f t="shared" si="8"/>
        <v>100</v>
      </c>
      <c r="Q6" s="1718">
        <f t="shared" si="8"/>
        <v>100</v>
      </c>
      <c r="R6" s="1718">
        <f t="shared" si="8"/>
        <v>100</v>
      </c>
      <c r="S6" s="1718">
        <f t="shared" si="8"/>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9">D8-$T7</f>
        <v>100</v>
      </c>
      <c r="F8" s="1718">
        <f t="shared" si="9"/>
        <v>100</v>
      </c>
      <c r="G8" s="1718">
        <f t="shared" si="9"/>
        <v>100</v>
      </c>
      <c r="H8" s="1718">
        <f t="shared" si="9"/>
        <v>100</v>
      </c>
      <c r="I8" s="1718">
        <f t="shared" si="9"/>
        <v>100</v>
      </c>
      <c r="J8" s="1718">
        <f t="shared" si="9"/>
        <v>100</v>
      </c>
      <c r="K8" s="1718">
        <f t="shared" si="9"/>
        <v>100</v>
      </c>
      <c r="L8" s="1718">
        <f t="shared" si="9"/>
        <v>100</v>
      </c>
      <c r="M8" s="1718">
        <f t="shared" si="9"/>
        <v>100</v>
      </c>
      <c r="N8" s="1718">
        <f t="shared" si="9"/>
        <v>100</v>
      </c>
      <c r="O8" s="1718">
        <f t="shared" si="9"/>
        <v>100</v>
      </c>
      <c r="P8" s="1718">
        <f t="shared" si="9"/>
        <v>100</v>
      </c>
      <c r="Q8" s="1718">
        <f t="shared" si="9"/>
        <v>100</v>
      </c>
      <c r="R8" s="1718">
        <f t="shared" si="9"/>
        <v>100</v>
      </c>
      <c r="S8" s="1718">
        <f t="shared" si="9"/>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10">D10-$T9</f>
        <v>100</v>
      </c>
      <c r="F10" s="1728">
        <f t="shared" si="10"/>
        <v>100</v>
      </c>
      <c r="G10" s="1728">
        <f t="shared" si="10"/>
        <v>100</v>
      </c>
      <c r="H10" s="1728">
        <f t="shared" si="10"/>
        <v>100</v>
      </c>
      <c r="I10" s="1728">
        <f t="shared" si="10"/>
        <v>100</v>
      </c>
      <c r="J10" s="1728">
        <f t="shared" si="10"/>
        <v>100</v>
      </c>
      <c r="K10" s="1728">
        <f t="shared" si="10"/>
        <v>100</v>
      </c>
      <c r="L10" s="1728">
        <f t="shared" si="10"/>
        <v>100</v>
      </c>
      <c r="M10" s="1728">
        <f t="shared" si="10"/>
        <v>100</v>
      </c>
      <c r="N10" s="1728">
        <f t="shared" si="10"/>
        <v>100</v>
      </c>
      <c r="O10" s="1728">
        <f t="shared" si="10"/>
        <v>100</v>
      </c>
      <c r="P10" s="1728">
        <f t="shared" si="10"/>
        <v>100</v>
      </c>
      <c r="Q10" s="1728">
        <f t="shared" si="10"/>
        <v>100</v>
      </c>
      <c r="R10" s="1728">
        <f t="shared" si="10"/>
        <v>100</v>
      </c>
      <c r="S10" s="1728">
        <f t="shared" si="10"/>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1">D12-$T11</f>
        <v>100</v>
      </c>
      <c r="F12" s="1122">
        <f t="shared" si="11"/>
        <v>100</v>
      </c>
      <c r="G12" s="1122">
        <f t="shared" si="11"/>
        <v>100</v>
      </c>
      <c r="H12" s="1122">
        <f t="shared" si="11"/>
        <v>100</v>
      </c>
      <c r="I12" s="1122">
        <f t="shared" si="11"/>
        <v>100</v>
      </c>
      <c r="J12" s="1122">
        <f t="shared" si="11"/>
        <v>100</v>
      </c>
      <c r="K12" s="1122">
        <f t="shared" si="11"/>
        <v>100</v>
      </c>
      <c r="L12" s="1122">
        <f t="shared" si="11"/>
        <v>100</v>
      </c>
      <c r="M12" s="1122">
        <f t="shared" si="11"/>
        <v>100</v>
      </c>
      <c r="N12" s="1122">
        <f t="shared" si="11"/>
        <v>100</v>
      </c>
      <c r="O12" s="1122">
        <f t="shared" si="11"/>
        <v>100</v>
      </c>
      <c r="P12" s="1122">
        <f t="shared" si="11"/>
        <v>100</v>
      </c>
      <c r="Q12" s="1122">
        <f t="shared" si="11"/>
        <v>100</v>
      </c>
      <c r="R12" s="1122">
        <f>Q12-$T11</f>
        <v>100</v>
      </c>
      <c r="S12" s="1122">
        <f t="shared" si="11"/>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v>1</v>
      </c>
      <c r="D17" s="1235">
        <v>2</v>
      </c>
      <c r="E17" s="1235">
        <v>-1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0</v>
      </c>
      <c r="C20" s="168"/>
      <c r="D20" s="2926" t="s">
        <v>70</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4510.6799999999994</v>
      </c>
      <c r="C22" s="3197" t="s">
        <v>33</v>
      </c>
      <c r="D22" s="3198"/>
      <c r="E22" s="3198"/>
      <c r="F22" s="3198"/>
      <c r="G22" s="3198"/>
      <c r="H22" s="3198"/>
      <c r="I22" s="3198"/>
      <c r="J22" s="3198"/>
      <c r="K22" s="3198"/>
      <c r="L22" s="3198"/>
      <c r="M22" s="3198"/>
      <c r="N22" s="3198"/>
      <c r="O22" s="3198"/>
      <c r="P22" s="3198"/>
      <c r="Q22" s="3202"/>
      <c r="R22" s="716">
        <f>ROUND(S22*10000/B22,0)</f>
        <v>0</v>
      </c>
      <c r="S22" s="24">
        <f>SUM(S24:S10000)</f>
        <v>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面积清单!B1</f>
        <v>133</v>
      </c>
      <c r="B24" s="718">
        <f>面积清单!C1</f>
        <v>145.47999999999999</v>
      </c>
      <c r="C24" s="719">
        <v>1</v>
      </c>
      <c r="D24" s="720"/>
      <c r="E24" s="719">
        <v>1</v>
      </c>
      <c r="F24" s="720"/>
      <c r="G24" s="719">
        <v>1</v>
      </c>
      <c r="H24" s="720"/>
      <c r="I24" s="719">
        <v>1</v>
      </c>
      <c r="J24" s="720"/>
      <c r="K24" s="719">
        <v>1</v>
      </c>
      <c r="L24" s="720"/>
      <c r="M24" s="719">
        <v>1</v>
      </c>
      <c r="N24" s="720"/>
      <c r="O24" s="719">
        <v>1</v>
      </c>
      <c r="P24" s="720">
        <v>1</v>
      </c>
      <c r="Q24" s="719">
        <v>1</v>
      </c>
      <c r="R24" s="721">
        <f>'比较法-商业'!C49</f>
        <v>5.2</v>
      </c>
      <c r="S24" s="719">
        <f t="shared" ref="S24:S54" si="12">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面积清单!B18</f>
        <v>229</v>
      </c>
      <c r="B25" s="159">
        <f>面积清单!C18</f>
        <v>188.28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IF(B25="",0,ROUND($R$24*C25*E25*G25*I25*K25*M25*O25*Q25,0))</f>
        <v>3</v>
      </c>
      <c r="S25" s="361">
        <f t="shared" si="12"/>
        <v>0</v>
      </c>
    </row>
    <row r="26" spans="1:45">
      <c r="A26" s="159">
        <f>面积清单!B31</f>
        <v>242</v>
      </c>
      <c r="B26" s="159">
        <f>面积清单!C31</f>
        <v>164.79</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2</v>
      </c>
      <c r="Q26" s="24">
        <f t="shared" ref="Q26:Q89" si="20">(SUMIF($17:$17,P26,$18:$18)-SUMIF($17:$17,$P$24,$18:$18)+100)/100</f>
        <v>0.6</v>
      </c>
      <c r="R26" s="716">
        <f t="shared" ref="R26:R89" si="21">IF(B26="",0,ROUND($R$24*C26*E26*G26*I26*K26*M26*O26*Q26,0))</f>
        <v>3</v>
      </c>
      <c r="S26" s="361">
        <f t="shared" si="12"/>
        <v>0</v>
      </c>
    </row>
    <row r="27" spans="1:45">
      <c r="A27" s="159">
        <f>面积清单!B128</f>
        <v>-120</v>
      </c>
      <c r="B27" s="159">
        <f>面积清单!C128</f>
        <v>75.03</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v>-1</v>
      </c>
      <c r="Q27" s="24">
        <f t="shared" si="20"/>
        <v>0.5</v>
      </c>
      <c r="R27" s="716">
        <f t="shared" si="21"/>
        <v>3</v>
      </c>
      <c r="S27" s="361">
        <f t="shared" si="12"/>
        <v>0</v>
      </c>
    </row>
    <row r="28" spans="1:45">
      <c r="A28" s="159">
        <f>面积清单!B132</f>
        <v>-124</v>
      </c>
      <c r="B28" s="159">
        <f>面积清单!C132</f>
        <v>72.86</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v>-1</v>
      </c>
      <c r="Q28" s="24">
        <f t="shared" si="20"/>
        <v>0.5</v>
      </c>
      <c r="R28" s="716">
        <f t="shared" si="21"/>
        <v>3</v>
      </c>
      <c r="S28" s="361">
        <f t="shared" si="12"/>
        <v>0</v>
      </c>
    </row>
    <row r="29" spans="1:45">
      <c r="A29" s="159">
        <f>面积清单!B135</f>
        <v>-127</v>
      </c>
      <c r="B29" s="159">
        <f>面积清单!C135</f>
        <v>2243.56</v>
      </c>
      <c r="C29" s="24">
        <f t="shared" si="13"/>
        <v>0.88</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v>-1</v>
      </c>
      <c r="Q29" s="24">
        <f t="shared" si="20"/>
        <v>0.5</v>
      </c>
      <c r="R29" s="716">
        <f t="shared" si="21"/>
        <v>2</v>
      </c>
      <c r="S29" s="361">
        <f t="shared" si="12"/>
        <v>0</v>
      </c>
    </row>
    <row r="30" spans="1:45">
      <c r="A30" s="159">
        <f>面积清单!B136</f>
        <v>-128</v>
      </c>
      <c r="B30" s="159">
        <f>面积清单!C136</f>
        <v>1514.11</v>
      </c>
      <c r="C30" s="24">
        <f t="shared" si="13"/>
        <v>0.91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v>-1</v>
      </c>
      <c r="Q30" s="24">
        <f t="shared" si="20"/>
        <v>0.5</v>
      </c>
      <c r="R30" s="716">
        <f t="shared" si="21"/>
        <v>2</v>
      </c>
      <c r="S30" s="361">
        <f t="shared" si="12"/>
        <v>0</v>
      </c>
    </row>
    <row r="31" spans="1:45">
      <c r="A31" s="159">
        <f>面积清单!B174</f>
        <v>202</v>
      </c>
      <c r="B31" s="159">
        <f>面积清单!C174</f>
        <v>106.57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v>2</v>
      </c>
      <c r="Q31" s="24">
        <f t="shared" si="20"/>
        <v>0.6</v>
      </c>
      <c r="R31" s="716">
        <f t="shared" si="21"/>
        <v>3</v>
      </c>
      <c r="S31" s="361">
        <f t="shared" si="12"/>
        <v>0</v>
      </c>
    </row>
    <row r="32" spans="1:45">
      <c r="A32" s="159"/>
      <c r="B32" s="59"/>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0</v>
      </c>
      <c r="R32" s="716">
        <f t="shared" si="21"/>
        <v>0</v>
      </c>
      <c r="S32" s="361">
        <f t="shared" si="12"/>
        <v>0</v>
      </c>
    </row>
    <row r="33" spans="1:19">
      <c r="A33" s="159"/>
      <c r="B33" s="59"/>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0</v>
      </c>
      <c r="R33" s="716">
        <f t="shared" si="21"/>
        <v>0</v>
      </c>
      <c r="S33" s="361">
        <f t="shared" si="12"/>
        <v>0</v>
      </c>
    </row>
    <row r="34" spans="1:19">
      <c r="A34" s="159"/>
      <c r="B34" s="59"/>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0</v>
      </c>
      <c r="R34" s="716">
        <f t="shared" si="21"/>
        <v>0</v>
      </c>
      <c r="S34" s="361">
        <f t="shared" si="12"/>
        <v>0</v>
      </c>
    </row>
    <row r="35" spans="1:19">
      <c r="A35" s="159"/>
      <c r="B35" s="59"/>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0</v>
      </c>
      <c r="R35" s="716">
        <f t="shared" si="21"/>
        <v>0</v>
      </c>
      <c r="S35" s="361">
        <f t="shared" si="12"/>
        <v>0</v>
      </c>
    </row>
    <row r="36" spans="1:19">
      <c r="A36" s="159"/>
      <c r="B36" s="59"/>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0</v>
      </c>
      <c r="R36" s="716">
        <f t="shared" si="21"/>
        <v>0</v>
      </c>
      <c r="S36" s="361">
        <f t="shared" si="12"/>
        <v>0</v>
      </c>
    </row>
    <row r="37" spans="1:19">
      <c r="A37" s="159"/>
      <c r="B37" s="59"/>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0</v>
      </c>
      <c r="R37" s="716">
        <f t="shared" si="21"/>
        <v>0</v>
      </c>
      <c r="S37" s="361">
        <f t="shared" si="12"/>
        <v>0</v>
      </c>
    </row>
    <row r="38" spans="1:19">
      <c r="A38" s="159"/>
      <c r="B38" s="59"/>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0</v>
      </c>
      <c r="R38" s="716">
        <f t="shared" si="21"/>
        <v>0</v>
      </c>
      <c r="S38" s="361">
        <f t="shared" si="12"/>
        <v>0</v>
      </c>
    </row>
    <row r="39" spans="1:19">
      <c r="A39" s="159"/>
      <c r="B39" s="59"/>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0</v>
      </c>
      <c r="R39" s="716">
        <f t="shared" si="21"/>
        <v>0</v>
      </c>
      <c r="S39" s="361">
        <f t="shared" si="12"/>
        <v>0</v>
      </c>
    </row>
    <row r="40" spans="1:19">
      <c r="A40" s="159"/>
      <c r="B40" s="59"/>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0</v>
      </c>
      <c r="R40" s="716">
        <f t="shared" si="21"/>
        <v>0</v>
      </c>
      <c r="S40" s="361">
        <f t="shared" si="12"/>
        <v>0</v>
      </c>
    </row>
    <row r="41" spans="1:19">
      <c r="A41" s="159"/>
      <c r="B41" s="59"/>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0</v>
      </c>
      <c r="R41" s="716">
        <f t="shared" si="21"/>
        <v>0</v>
      </c>
      <c r="S41" s="361">
        <f t="shared" si="12"/>
        <v>0</v>
      </c>
    </row>
    <row r="42" spans="1:19">
      <c r="A42" s="159"/>
      <c r="B42" s="59"/>
      <c r="C42" s="24">
        <f t="shared" si="13"/>
        <v>1</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0</v>
      </c>
      <c r="R42" s="716">
        <f t="shared" si="21"/>
        <v>0</v>
      </c>
      <c r="S42" s="361">
        <f t="shared" si="12"/>
        <v>0</v>
      </c>
    </row>
    <row r="43" spans="1:19">
      <c r="A43" s="159"/>
      <c r="B43" s="59"/>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0</v>
      </c>
      <c r="R43" s="716">
        <f t="shared" si="21"/>
        <v>0</v>
      </c>
      <c r="S43" s="361">
        <f t="shared" si="12"/>
        <v>0</v>
      </c>
    </row>
    <row r="44" spans="1:19">
      <c r="A44" s="159"/>
      <c r="B44" s="59"/>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0</v>
      </c>
      <c r="R44" s="716">
        <f t="shared" si="21"/>
        <v>0</v>
      </c>
      <c r="S44" s="361">
        <f t="shared" si="12"/>
        <v>0</v>
      </c>
    </row>
    <row r="45" spans="1:19">
      <c r="A45" s="159"/>
      <c r="B45" s="59"/>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0</v>
      </c>
      <c r="R45" s="716">
        <f t="shared" si="21"/>
        <v>0</v>
      </c>
      <c r="S45" s="361">
        <f t="shared" si="12"/>
        <v>0</v>
      </c>
    </row>
    <row r="46" spans="1:19">
      <c r="A46" s="159"/>
      <c r="B46" s="59"/>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0</v>
      </c>
      <c r="R46" s="716">
        <f t="shared" si="21"/>
        <v>0</v>
      </c>
      <c r="S46" s="361">
        <f t="shared" si="12"/>
        <v>0</v>
      </c>
    </row>
    <row r="47" spans="1:19">
      <c r="A47" s="159"/>
      <c r="B47" s="59"/>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0</v>
      </c>
      <c r="R47" s="716">
        <f t="shared" si="21"/>
        <v>0</v>
      </c>
      <c r="S47" s="361">
        <f t="shared" si="12"/>
        <v>0</v>
      </c>
    </row>
    <row r="48" spans="1:19">
      <c r="A48" s="159"/>
      <c r="B48" s="59"/>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0</v>
      </c>
      <c r="R48" s="716">
        <f t="shared" si="21"/>
        <v>0</v>
      </c>
      <c r="S48" s="361">
        <f t="shared" si="12"/>
        <v>0</v>
      </c>
    </row>
    <row r="49" spans="1:19">
      <c r="A49" s="159"/>
      <c r="B49" s="59"/>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0</v>
      </c>
      <c r="R49" s="716">
        <f t="shared" si="21"/>
        <v>0</v>
      </c>
      <c r="S49" s="361">
        <f t="shared" si="12"/>
        <v>0</v>
      </c>
    </row>
    <row r="50" spans="1:19">
      <c r="A50" s="159"/>
      <c r="B50" s="59"/>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0</v>
      </c>
      <c r="R50" s="716">
        <f t="shared" si="21"/>
        <v>0</v>
      </c>
      <c r="S50" s="361">
        <f t="shared" si="12"/>
        <v>0</v>
      </c>
    </row>
    <row r="51" spans="1:19">
      <c r="A51" s="159"/>
      <c r="B51" s="59"/>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0</v>
      </c>
      <c r="R51" s="716">
        <f t="shared" si="21"/>
        <v>0</v>
      </c>
      <c r="S51" s="361">
        <f t="shared" si="12"/>
        <v>0</v>
      </c>
    </row>
    <row r="52" spans="1:19">
      <c r="A52" s="159"/>
      <c r="B52" s="59"/>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0</v>
      </c>
      <c r="R52" s="716">
        <f t="shared" si="21"/>
        <v>0</v>
      </c>
      <c r="S52" s="361">
        <f t="shared" si="12"/>
        <v>0</v>
      </c>
    </row>
    <row r="53" spans="1:19">
      <c r="A53" s="159"/>
      <c r="B53" s="59"/>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0</v>
      </c>
      <c r="R53" s="716">
        <f t="shared" si="21"/>
        <v>0</v>
      </c>
      <c r="S53" s="361">
        <f t="shared" si="12"/>
        <v>0</v>
      </c>
    </row>
    <row r="54" spans="1:19">
      <c r="A54" s="159"/>
      <c r="B54" s="59"/>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0</v>
      </c>
      <c r="R54" s="716">
        <f t="shared" si="21"/>
        <v>0</v>
      </c>
      <c r="S54" s="361">
        <f t="shared" si="12"/>
        <v>0</v>
      </c>
    </row>
    <row r="55" spans="1:19">
      <c r="A55" s="159"/>
      <c r="B55" s="59"/>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0</v>
      </c>
      <c r="R55" s="716">
        <f t="shared" si="21"/>
        <v>0</v>
      </c>
      <c r="S55" s="361">
        <f t="shared" ref="S55:S77" si="22">ROUND(R55*B55/10000,0)</f>
        <v>0</v>
      </c>
    </row>
    <row r="56" spans="1:19">
      <c r="A56" s="159"/>
      <c r="B56" s="59"/>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0</v>
      </c>
      <c r="R56" s="716">
        <f t="shared" si="21"/>
        <v>0</v>
      </c>
      <c r="S56" s="361">
        <f t="shared" si="22"/>
        <v>0</v>
      </c>
    </row>
    <row r="57" spans="1:19">
      <c r="A57" s="159"/>
      <c r="B57" s="59"/>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0</v>
      </c>
      <c r="R57" s="716">
        <f t="shared" si="21"/>
        <v>0</v>
      </c>
      <c r="S57" s="361">
        <f t="shared" si="22"/>
        <v>0</v>
      </c>
    </row>
    <row r="58" spans="1:19">
      <c r="A58" s="159"/>
      <c r="B58" s="59"/>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0</v>
      </c>
      <c r="R58" s="716">
        <f t="shared" si="21"/>
        <v>0</v>
      </c>
      <c r="S58" s="361">
        <f t="shared" si="22"/>
        <v>0</v>
      </c>
    </row>
    <row r="59" spans="1:19">
      <c r="A59" s="159"/>
      <c r="B59" s="59"/>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0</v>
      </c>
      <c r="R59" s="716">
        <f t="shared" si="21"/>
        <v>0</v>
      </c>
      <c r="S59" s="361">
        <f t="shared" si="22"/>
        <v>0</v>
      </c>
    </row>
    <row r="60" spans="1:19">
      <c r="A60" s="159"/>
      <c r="B60" s="59"/>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0</v>
      </c>
      <c r="R60" s="716">
        <f t="shared" si="21"/>
        <v>0</v>
      </c>
      <c r="S60" s="361">
        <f t="shared" si="22"/>
        <v>0</v>
      </c>
    </row>
    <row r="61" spans="1:19">
      <c r="A61" s="159"/>
      <c r="B61" s="59"/>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0</v>
      </c>
      <c r="R61" s="716">
        <f t="shared" si="21"/>
        <v>0</v>
      </c>
      <c r="S61" s="361">
        <f t="shared" si="22"/>
        <v>0</v>
      </c>
    </row>
    <row r="62" spans="1:19">
      <c r="A62" s="159"/>
      <c r="B62" s="59"/>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0</v>
      </c>
      <c r="R62" s="716">
        <f t="shared" si="21"/>
        <v>0</v>
      </c>
      <c r="S62" s="361">
        <f t="shared" si="22"/>
        <v>0</v>
      </c>
    </row>
    <row r="63" spans="1:19">
      <c r="A63" s="159"/>
      <c r="B63" s="59"/>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0</v>
      </c>
      <c r="R63" s="716">
        <f t="shared" si="21"/>
        <v>0</v>
      </c>
      <c r="S63" s="361">
        <f t="shared" si="22"/>
        <v>0</v>
      </c>
    </row>
    <row r="64" spans="1:19">
      <c r="A64" s="159"/>
      <c r="B64" s="59"/>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0</v>
      </c>
      <c r="R64" s="716">
        <f t="shared" si="21"/>
        <v>0</v>
      </c>
      <c r="S64" s="361">
        <f t="shared" si="22"/>
        <v>0</v>
      </c>
    </row>
    <row r="65" spans="1:19">
      <c r="A65" s="159"/>
      <c r="B65" s="59"/>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0</v>
      </c>
      <c r="R65" s="716">
        <f t="shared" si="21"/>
        <v>0</v>
      </c>
      <c r="S65" s="361">
        <f t="shared" si="22"/>
        <v>0</v>
      </c>
    </row>
    <row r="66" spans="1:19">
      <c r="A66" s="159"/>
      <c r="B66" s="59"/>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0</v>
      </c>
      <c r="R66" s="716">
        <f t="shared" si="21"/>
        <v>0</v>
      </c>
      <c r="S66" s="361">
        <f t="shared" si="22"/>
        <v>0</v>
      </c>
    </row>
    <row r="67" spans="1:19">
      <c r="A67" s="159"/>
      <c r="B67" s="59"/>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0</v>
      </c>
      <c r="R67" s="716">
        <f t="shared" si="21"/>
        <v>0</v>
      </c>
      <c r="S67" s="361">
        <f t="shared" si="22"/>
        <v>0</v>
      </c>
    </row>
    <row r="68" spans="1:19">
      <c r="A68" s="159"/>
      <c r="B68" s="59"/>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0</v>
      </c>
      <c r="R68" s="716">
        <f t="shared" si="21"/>
        <v>0</v>
      </c>
      <c r="S68" s="361">
        <f t="shared" si="22"/>
        <v>0</v>
      </c>
    </row>
    <row r="69" spans="1:19">
      <c r="A69" s="159"/>
      <c r="B69" s="59"/>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0</v>
      </c>
      <c r="R69" s="716">
        <f t="shared" si="21"/>
        <v>0</v>
      </c>
      <c r="S69" s="361">
        <f t="shared" si="22"/>
        <v>0</v>
      </c>
    </row>
    <row r="70" spans="1:19">
      <c r="A70" s="159"/>
      <c r="B70" s="59"/>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0</v>
      </c>
      <c r="R70" s="716">
        <f t="shared" si="21"/>
        <v>0</v>
      </c>
      <c r="S70" s="361">
        <f t="shared" si="22"/>
        <v>0</v>
      </c>
    </row>
    <row r="71" spans="1:19">
      <c r="A71" s="159"/>
      <c r="B71" s="59"/>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0</v>
      </c>
      <c r="R71" s="716">
        <f t="shared" si="21"/>
        <v>0</v>
      </c>
      <c r="S71" s="361">
        <f t="shared" si="22"/>
        <v>0</v>
      </c>
    </row>
    <row r="72" spans="1:19">
      <c r="A72" s="159"/>
      <c r="B72" s="59"/>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0</v>
      </c>
      <c r="R72" s="716">
        <f t="shared" si="21"/>
        <v>0</v>
      </c>
      <c r="S72" s="361">
        <f t="shared" si="22"/>
        <v>0</v>
      </c>
    </row>
    <row r="73" spans="1:19">
      <c r="A73" s="159"/>
      <c r="B73" s="59"/>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0</v>
      </c>
      <c r="R73" s="716">
        <f t="shared" si="21"/>
        <v>0</v>
      </c>
      <c r="S73" s="361">
        <f t="shared" si="22"/>
        <v>0</v>
      </c>
    </row>
    <row r="74" spans="1:19">
      <c r="A74" s="159"/>
      <c r="B74" s="59"/>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0</v>
      </c>
      <c r="R74" s="716">
        <f t="shared" si="21"/>
        <v>0</v>
      </c>
      <c r="S74" s="361">
        <f t="shared" si="22"/>
        <v>0</v>
      </c>
    </row>
    <row r="75" spans="1:19">
      <c r="A75" s="159"/>
      <c r="B75" s="59"/>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0</v>
      </c>
      <c r="R75" s="716">
        <f t="shared" si="21"/>
        <v>0</v>
      </c>
      <c r="S75" s="361">
        <f t="shared" si="22"/>
        <v>0</v>
      </c>
    </row>
    <row r="76" spans="1:19">
      <c r="A76" s="159"/>
      <c r="B76" s="59"/>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0</v>
      </c>
      <c r="R76" s="716">
        <f t="shared" si="21"/>
        <v>0</v>
      </c>
      <c r="S76" s="361">
        <f t="shared" si="22"/>
        <v>0</v>
      </c>
    </row>
    <row r="77" spans="1:19">
      <c r="A77" s="159"/>
      <c r="B77" s="59"/>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0</v>
      </c>
      <c r="R77" s="716">
        <f t="shared" si="21"/>
        <v>0</v>
      </c>
      <c r="S77" s="361">
        <f t="shared" si="22"/>
        <v>0</v>
      </c>
    </row>
    <row r="78" spans="1:19">
      <c r="A78" s="159"/>
      <c r="B78" s="59"/>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0</v>
      </c>
      <c r="R78" s="716">
        <f t="shared" si="21"/>
        <v>0</v>
      </c>
      <c r="S78" s="361">
        <f t="shared" ref="S78:S122" si="23">ROUND(R78*B78/10000,0)</f>
        <v>0</v>
      </c>
    </row>
    <row r="79" spans="1:19">
      <c r="A79" s="159"/>
      <c r="B79" s="59"/>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0</v>
      </c>
      <c r="R79" s="716">
        <f t="shared" si="21"/>
        <v>0</v>
      </c>
      <c r="S79" s="361">
        <f t="shared" si="23"/>
        <v>0</v>
      </c>
    </row>
    <row r="80" spans="1:19">
      <c r="A80" s="159"/>
      <c r="B80" s="59"/>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0</v>
      </c>
      <c r="R80" s="716">
        <f t="shared" si="21"/>
        <v>0</v>
      </c>
      <c r="S80" s="361">
        <f t="shared" si="23"/>
        <v>0</v>
      </c>
    </row>
    <row r="81" spans="1:19">
      <c r="A81" s="159"/>
      <c r="B81" s="59"/>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0</v>
      </c>
      <c r="R81" s="716">
        <f t="shared" si="21"/>
        <v>0</v>
      </c>
      <c r="S81" s="361">
        <f t="shared" si="23"/>
        <v>0</v>
      </c>
    </row>
    <row r="82" spans="1:19">
      <c r="A82" s="159"/>
      <c r="B82" s="59"/>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0</v>
      </c>
      <c r="R82" s="716">
        <f t="shared" si="21"/>
        <v>0</v>
      </c>
      <c r="S82" s="361">
        <f t="shared" si="23"/>
        <v>0</v>
      </c>
    </row>
    <row r="83" spans="1:19">
      <c r="A83" s="159"/>
      <c r="B83" s="59"/>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0</v>
      </c>
      <c r="R83" s="716">
        <f t="shared" si="21"/>
        <v>0</v>
      </c>
      <c r="S83" s="361">
        <f t="shared" si="23"/>
        <v>0</v>
      </c>
    </row>
    <row r="84" spans="1:19">
      <c r="A84" s="159"/>
      <c r="B84" s="59"/>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0</v>
      </c>
      <c r="R84" s="716">
        <f t="shared" si="21"/>
        <v>0</v>
      </c>
      <c r="S84" s="361">
        <f t="shared" si="23"/>
        <v>0</v>
      </c>
    </row>
    <row r="85" spans="1:19">
      <c r="A85" s="159"/>
      <c r="B85" s="59"/>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0</v>
      </c>
      <c r="R85" s="716">
        <f t="shared" si="21"/>
        <v>0</v>
      </c>
      <c r="S85" s="361">
        <f t="shared" si="23"/>
        <v>0</v>
      </c>
    </row>
    <row r="86" spans="1:19">
      <c r="A86" s="159"/>
      <c r="B86" s="59"/>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0</v>
      </c>
      <c r="R86" s="716">
        <f t="shared" si="21"/>
        <v>0</v>
      </c>
      <c r="S86" s="361">
        <f t="shared" si="23"/>
        <v>0</v>
      </c>
    </row>
    <row r="87" spans="1:19">
      <c r="A87" s="159"/>
      <c r="B87" s="59"/>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0</v>
      </c>
      <c r="R87" s="716">
        <f t="shared" si="21"/>
        <v>0</v>
      </c>
      <c r="S87" s="361">
        <f t="shared" si="23"/>
        <v>0</v>
      </c>
    </row>
    <row r="88" spans="1:19">
      <c r="A88" s="159"/>
      <c r="B88" s="59"/>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0</v>
      </c>
      <c r="R88" s="716">
        <f t="shared" si="21"/>
        <v>0</v>
      </c>
      <c r="S88" s="361">
        <f t="shared" si="23"/>
        <v>0</v>
      </c>
    </row>
    <row r="89" spans="1:19">
      <c r="A89" s="159"/>
      <c r="B89" s="59"/>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0</v>
      </c>
      <c r="R89" s="716">
        <f t="shared" si="21"/>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62277</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23773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36143</v>
      </c>
      <c r="D5" s="255" t="s">
        <v>2337</v>
      </c>
      <c r="E5" s="256" t="s">
        <v>2338</v>
      </c>
      <c r="F5" s="256" t="s">
        <v>2339</v>
      </c>
      <c r="G5" s="257"/>
    </row>
    <row r="6" spans="1:9" s="258" customFormat="1" ht="13.5" customHeight="1">
      <c r="A6" s="952" t="s">
        <v>2340</v>
      </c>
      <c r="B6" s="259" t="s">
        <v>2341</v>
      </c>
      <c r="C6" s="260">
        <f ca="1">基准地价修正!E33+SUM(基准地价修正!V3:V8)</f>
        <v>34565</v>
      </c>
      <c r="D6" s="261"/>
      <c r="E6" s="262"/>
      <c r="F6" s="262"/>
      <c r="G6" s="263"/>
    </row>
    <row r="7" spans="1:9" s="258" customFormat="1" ht="13.5" customHeight="1">
      <c r="A7" s="952" t="s">
        <v>2342</v>
      </c>
      <c r="B7" s="259" t="s">
        <v>2343</v>
      </c>
      <c r="C7" s="264">
        <f ca="1">ROUND(C6*F7,0)</f>
        <v>1054</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524</v>
      </c>
      <c r="D8" s="266"/>
      <c r="E8" s="264"/>
      <c r="F8" s="265"/>
      <c r="G8" s="2557" t="s">
        <v>3733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t="s">
        <v>3734</v>
      </c>
      <c r="H9" s="1393"/>
      <c r="I9" s="2559" t="s">
        <v>2347</v>
      </c>
    </row>
    <row r="10" spans="1:9" s="258" customFormat="1" ht="13.5" customHeight="1">
      <c r="A10" s="953" t="s">
        <v>801</v>
      </c>
      <c r="B10" s="268" t="s">
        <v>2348</v>
      </c>
      <c r="C10" s="269">
        <f ca="1">ROUND(D10*E10/10000,0)</f>
        <v>524</v>
      </c>
      <c r="D10" s="1035">
        <f ca="1">IF(B1="",'数据-汇总表'!E6,IF(INDIRECT("'数据-取费表'!c"&amp;$G$1)="住宅",INDIRECT("'数据-取费表'!s"&amp;$G$1),INDIRECT("'数据-取费表'!k"&amp;$G$1)+INDIRECT("'数据-取费表'!s"&amp;$G$1)))</f>
        <v>26196.840000000004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26196.840000000004</v>
      </c>
      <c r="E19" s="255">
        <f>'数据-取费表'!B31</f>
        <v>200</v>
      </c>
      <c r="F19" s="275"/>
      <c r="G19" s="2557" t="s">
        <v>3735</v>
      </c>
    </row>
    <row r="20" spans="1:7" s="258" customFormat="1" ht="13.5" customHeight="1">
      <c r="A20" s="299" t="s">
        <v>2361</v>
      </c>
      <c r="B20" s="254" t="s">
        <v>2362</v>
      </c>
      <c r="C20" s="276">
        <f ca="1">ROUND((C5+C19)*F20,0)</f>
        <v>723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3549</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3515</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34</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7373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7373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51848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7709</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6811</v>
      </c>
      <c r="D34" s="261"/>
      <c r="E34" s="264"/>
      <c r="F34" s="301">
        <f ca="1">IF('数据-取费表'!B24=0,1,IF(B1="",'数据-取费表'!N16,INDIRECT("'数据-取费表'!n"&amp;$G$1)))</f>
        <v>1</v>
      </c>
      <c r="G34" s="263" t="s">
        <v>2394</v>
      </c>
    </row>
    <row r="35" spans="1:7" ht="13.5" customHeight="1">
      <c r="A35" s="954" t="s">
        <v>796</v>
      </c>
      <c r="B35" s="259" t="s">
        <v>2395</v>
      </c>
      <c r="C35" s="264">
        <f ca="1">ROUND(C34*F35,0)</f>
        <v>272</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524</v>
      </c>
      <c r="D37" s="261">
        <f ca="1">D19</f>
        <v>26196.840000000004</v>
      </c>
      <c r="E37" s="293">
        <f>'数据-取费表'!B35</f>
        <v>200</v>
      </c>
      <c r="F37" s="303"/>
      <c r="G37" s="305" t="s">
        <v>2400</v>
      </c>
    </row>
    <row r="38" spans="1:7" ht="13.5" customHeight="1">
      <c r="A38" s="954" t="s">
        <v>799</v>
      </c>
      <c r="B38" s="259" t="s">
        <v>2401</v>
      </c>
      <c r="C38" s="264">
        <f ca="1">ROUND(C34*F38,0)</f>
        <v>102</v>
      </c>
      <c r="D38" s="264"/>
      <c r="E38" s="264"/>
      <c r="F38" s="303">
        <f>'数据-取费表'!B36</f>
        <v>1.4999999999999999E-2</v>
      </c>
      <c r="G38" s="263" t="s">
        <v>2396</v>
      </c>
    </row>
    <row r="39" spans="1:7" s="258" customFormat="1" ht="13.5" customHeight="1">
      <c r="A39" s="299" t="s">
        <v>2402</v>
      </c>
      <c r="B39" s="254" t="s">
        <v>2403</v>
      </c>
      <c r="C39" s="276">
        <f ca="1">ROUND(C33*F20,0)</f>
        <v>154</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366</v>
      </c>
      <c r="D42" s="282"/>
      <c r="E42" s="282"/>
      <c r="F42" s="283"/>
      <c r="G42" s="3206" t="s">
        <v>2412</v>
      </c>
    </row>
    <row r="43" spans="1:7" ht="13.5" customHeight="1">
      <c r="A43" s="954" t="s">
        <v>792</v>
      </c>
      <c r="B43" s="259" t="s">
        <v>2413</v>
      </c>
      <c r="C43" s="282">
        <f ca="1">ROUND(IF('数据-取费表'!B22&lt;=1,C39*F22*'数据-取费表'!B21/2,C39*(POWER((1+F22),'数据-取费表'!B21/2)-1)),0)</f>
        <v>7</v>
      </c>
      <c r="D43" s="282"/>
      <c r="E43" s="282"/>
      <c r="F43" s="283"/>
      <c r="G43" s="3207"/>
    </row>
    <row r="44" spans="1:7" ht="13.5" customHeight="1">
      <c r="A44" s="954" t="s">
        <v>793</v>
      </c>
      <c r="B44" s="259" t="s">
        <v>2414</v>
      </c>
      <c r="C44" s="282">
        <f ca="1">ROUND(IF('数据-取费表'!B22&lt;=1,C40*F22*'数据-取费表'!B21/2,C40*(POWER((1+F22),'数据-取费表'!B21/2)-1)),4)</f>
        <v>1E-3</v>
      </c>
      <c r="D44" s="282"/>
      <c r="E44" s="282"/>
      <c r="F44" s="283"/>
      <c r="G44" s="3208"/>
    </row>
    <row r="45" spans="1:7" s="258" customFormat="1" ht="13.5" customHeight="1">
      <c r="A45" s="299" t="s">
        <v>2415</v>
      </c>
      <c r="B45" s="288" t="s">
        <v>2381</v>
      </c>
      <c r="C45" s="289">
        <f ca="1">C46</f>
        <v>1573</v>
      </c>
      <c r="D45" s="279">
        <f ca="1">C47</f>
        <v>4.0000000000000001E-3</v>
      </c>
      <c r="E45" s="280" t="s">
        <v>2407</v>
      </c>
      <c r="F45" s="290"/>
      <c r="G45" s="291" t="s">
        <v>2416</v>
      </c>
    </row>
    <row r="46" spans="1:7" s="258" customFormat="1" ht="13.5" customHeight="1">
      <c r="A46" s="954" t="s">
        <v>791</v>
      </c>
      <c r="B46" s="292" t="s">
        <v>2417</v>
      </c>
      <c r="C46" s="293">
        <f ca="1">ROUND((C33+C39)*F27,0)</f>
        <v>1573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10642</v>
      </c>
      <c r="D49" s="276"/>
      <c r="E49" s="276"/>
      <c r="F49" s="308"/>
      <c r="G49" s="278" t="s">
        <v>2422</v>
      </c>
    </row>
    <row r="50" spans="1:7" s="302" customFormat="1" ht="24">
      <c r="A50" s="299" t="s">
        <v>2423</v>
      </c>
      <c r="B50" s="254" t="s">
        <v>2424</v>
      </c>
      <c r="C50" s="276"/>
      <c r="D50" s="276"/>
      <c r="E50" s="276"/>
      <c r="F50" s="308">
        <f>IF('数据-取费表'!B24=0,'数据-取费表'!N16,1)</f>
        <v>0.98</v>
      </c>
      <c r="G50" s="291" t="s">
        <v>2425</v>
      </c>
    </row>
    <row r="51" spans="1:7" ht="16.5" customHeight="1">
      <c r="A51" s="299" t="s">
        <v>2426</v>
      </c>
      <c r="B51" s="254" t="s">
        <v>2427</v>
      </c>
      <c r="C51" s="276">
        <f ca="1">ROUND(C49*F50,0)</f>
        <v>10429</v>
      </c>
      <c r="D51" s="276"/>
      <c r="E51" s="276"/>
      <c r="F51" s="308"/>
      <c r="G51" s="278" t="s">
        <v>2428</v>
      </c>
    </row>
    <row r="52" spans="1:7" s="252" customFormat="1" ht="16.5" thickBot="1">
      <c r="A52" s="309" t="s">
        <v>2429</v>
      </c>
      <c r="B52" s="310"/>
      <c r="C52" s="311">
        <f ca="1">C31+C51</f>
        <v>62277</v>
      </c>
      <c r="D52" s="310"/>
      <c r="E52" s="310"/>
      <c r="F52" s="310"/>
      <c r="G52" s="312"/>
    </row>
    <row r="55" spans="1:7" ht="15">
      <c r="B55" s="314" t="s">
        <v>2430</v>
      </c>
      <c r="C55" s="315"/>
    </row>
    <row r="56" spans="1:7">
      <c r="B56" s="317" t="s">
        <v>1513</v>
      </c>
      <c r="C56" s="319">
        <f ca="1">1-C57</f>
        <v>0.83299999999999996</v>
      </c>
    </row>
    <row r="57" spans="1:7">
      <c r="B57" s="317" t="s">
        <v>1514</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11934</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4556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5239368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5239368</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5239368</v>
      </c>
      <c r="D10" s="1035">
        <f ca="1">IF(B1="",'数据-汇总表'!E6,IF(INDIRECT("'数据-取费表'!c"&amp;$G$1)="住宅",INDIRECT("'数据-取费表'!s"&amp;$G$1),INDIRECT("'数据-取费表'!k"&amp;$G$1)+INDIRECT("'数据-取费表'!s"&amp;$G$1)))</f>
        <v>26196.840000000004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5239368</v>
      </c>
      <c r="D19" s="1039">
        <f ca="1">D9+D10</f>
        <v>26196.840000000004</v>
      </c>
      <c r="E19" s="255">
        <f>'数据-取费表'!B31</f>
        <v>200</v>
      </c>
      <c r="F19" s="275"/>
      <c r="G19" s="2557"/>
    </row>
    <row r="20" spans="1:7" s="258" customFormat="1" ht="13.5" customHeight="1">
      <c r="A20" s="299" t="s">
        <v>2442</v>
      </c>
      <c r="B20" s="254" t="s">
        <v>2443</v>
      </c>
      <c r="C20" s="276">
        <f ca="1">ROUND((C5+C19)*F20,0)</f>
        <v>209575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1029077</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509561</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509561</v>
      </c>
      <c r="D24" s="282"/>
      <c r="E24" s="282"/>
      <c r="F24" s="283"/>
      <c r="G24" s="284" t="s">
        <v>2454</v>
      </c>
    </row>
    <row r="25" spans="1:7" s="258" customFormat="1" ht="24">
      <c r="A25" s="954" t="s">
        <v>2344</v>
      </c>
      <c r="B25" s="259" t="s">
        <v>2455</v>
      </c>
      <c r="C25" s="1384">
        <f ca="1">ROUND(IF('数据-取费表'!B22&lt;=1,C20*F22*'数据-取费表'!B22/2,C20*(POWER((1+F22),'数据-取费表'!B22/2)-1)),0)</f>
        <v>9955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2137662</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2137662</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15032060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77097300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68111784</v>
      </c>
      <c r="D34" s="261"/>
      <c r="E34" s="264"/>
      <c r="F34" s="301"/>
      <c r="G34" s="263"/>
    </row>
    <row r="35" spans="1:7" ht="13.5" customHeight="1">
      <c r="A35" s="954" t="s">
        <v>796</v>
      </c>
      <c r="B35" s="259" t="s">
        <v>2395</v>
      </c>
      <c r="C35" s="264">
        <f ca="1">ROUND(C34*F35,0)</f>
        <v>2724471</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5239368</v>
      </c>
      <c r="D37" s="261">
        <f ca="1">D19</f>
        <v>26196.840000000004</v>
      </c>
      <c r="E37" s="293">
        <f>'数据-取费表'!B35</f>
        <v>200</v>
      </c>
      <c r="F37" s="303"/>
      <c r="G37" s="305"/>
    </row>
    <row r="38" spans="1:7" ht="13.5" customHeight="1">
      <c r="A38" s="954" t="s">
        <v>799</v>
      </c>
      <c r="B38" s="259" t="s">
        <v>2401</v>
      </c>
      <c r="C38" s="264">
        <f ca="1">ROUND(C34*F38,0)</f>
        <v>1021677</v>
      </c>
      <c r="D38" s="264"/>
      <c r="E38" s="264"/>
      <c r="F38" s="303">
        <f>'数据-取费表'!B36</f>
        <v>1.4999999999999999E-2</v>
      </c>
      <c r="G38" s="263" t="s">
        <v>2396</v>
      </c>
    </row>
    <row r="39" spans="1:7" s="258" customFormat="1" ht="13.5" customHeight="1">
      <c r="A39" s="299" t="s">
        <v>2402</v>
      </c>
      <c r="B39" s="254" t="s">
        <v>2403</v>
      </c>
      <c r="C39" s="276">
        <f ca="1">ROUND(C33*F20,0)</f>
        <v>1541946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3735364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3662122</v>
      </c>
      <c r="D42" s="282"/>
      <c r="E42" s="282"/>
      <c r="F42" s="283"/>
      <c r="G42" s="3206" t="s">
        <v>2459</v>
      </c>
    </row>
    <row r="43" spans="1:7" ht="13.5" customHeight="1">
      <c r="A43" s="954" t="s">
        <v>792</v>
      </c>
      <c r="B43" s="259" t="s">
        <v>2413</v>
      </c>
      <c r="C43" s="282">
        <f ca="1">ROUND(IF('数据-取费表'!B22&lt;=1,C39*F22*'数据-取费表'!B20/2,C39*(POWER((1+F22),'数据-取费表'!B20/2)-1)),0)</f>
        <v>73242</v>
      </c>
      <c r="D43" s="282"/>
      <c r="E43" s="282"/>
      <c r="F43" s="283"/>
      <c r="G43" s="3207"/>
    </row>
    <row r="44" spans="1:7" ht="13.5" customHeight="1">
      <c r="A44" s="954" t="s">
        <v>793</v>
      </c>
      <c r="B44" s="259" t="s">
        <v>2414</v>
      </c>
      <c r="C44" s="282">
        <f ca="1">ROUND(IF('数据-取费表'!B22&lt;=1,C40*F22*'数据-取费表'!B20/2,C40*(POWER((1+F22),'数据-取费表'!B20/2)-1)),4)</f>
        <v>1E-3</v>
      </c>
      <c r="D44" s="282"/>
      <c r="E44" s="282"/>
      <c r="F44" s="283"/>
      <c r="G44" s="3208"/>
    </row>
    <row r="45" spans="1:7" s="258" customFormat="1" ht="13.5" customHeight="1">
      <c r="A45" s="299" t="s">
        <v>2415</v>
      </c>
      <c r="B45" s="288" t="s">
        <v>2381</v>
      </c>
      <c r="C45" s="289">
        <f ca="1">C46</f>
        <v>15727849</v>
      </c>
      <c r="D45" s="279">
        <f ca="1">C47</f>
        <v>4.0000000000000001E-3</v>
      </c>
      <c r="E45" s="280" t="s">
        <v>2407</v>
      </c>
      <c r="F45" s="290"/>
      <c r="G45" s="291" t="s">
        <v>2416</v>
      </c>
    </row>
    <row r="46" spans="1:7" s="258" customFormat="1" ht="13.5" customHeight="1">
      <c r="A46" s="954" t="s">
        <v>791</v>
      </c>
      <c r="B46" s="292" t="s">
        <v>2417</v>
      </c>
      <c r="C46" s="293">
        <f ca="1">ROUND((C33+C39)*F27,0)</f>
        <v>15727849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106436432</v>
      </c>
      <c r="D49" s="276"/>
      <c r="E49" s="276"/>
      <c r="F49" s="308"/>
      <c r="G49" s="278" t="s">
        <v>2422</v>
      </c>
    </row>
    <row r="50" spans="1:7" s="302" customFormat="1">
      <c r="A50" s="299" t="s">
        <v>2423</v>
      </c>
      <c r="B50" s="254" t="s">
        <v>2424</v>
      </c>
      <c r="C50" s="276"/>
      <c r="D50" s="276"/>
      <c r="E50" s="276"/>
      <c r="F50" s="308">
        <f>IF('数据-取费表'!B24=0,'数据-取费表'!N16,1)</f>
        <v>0.98</v>
      </c>
      <c r="G50" s="291"/>
    </row>
    <row r="51" spans="1:7" ht="16.5" customHeight="1">
      <c r="A51" s="299" t="s">
        <v>2426</v>
      </c>
      <c r="B51" s="254" t="s">
        <v>2461</v>
      </c>
      <c r="C51" s="276">
        <f ca="1">ROUND(C49*F50,0)</f>
        <v>104307703</v>
      </c>
      <c r="D51" s="276"/>
      <c r="E51" s="276"/>
      <c r="F51" s="308"/>
      <c r="G51" s="278" t="s">
        <v>2428</v>
      </c>
    </row>
    <row r="52" spans="1:7" s="252" customFormat="1" ht="16.5" thickBot="1">
      <c r="A52" s="309" t="s">
        <v>2429</v>
      </c>
      <c r="B52" s="310"/>
      <c r="C52" s="311">
        <f ca="1">C31+C51</f>
        <v>119339763</v>
      </c>
      <c r="D52" s="310"/>
      <c r="E52" s="310"/>
      <c r="F52" s="310"/>
      <c r="G52" s="312"/>
    </row>
    <row r="55" spans="1:7" ht="15">
      <c r="B55" s="314" t="s">
        <v>2430</v>
      </c>
      <c r="C55" s="315"/>
    </row>
    <row r="56" spans="1:7">
      <c r="B56" s="317" t="s">
        <v>1513</v>
      </c>
      <c r="C56" s="319">
        <f ca="1">1-C57</f>
        <v>0.126</v>
      </c>
    </row>
    <row r="57" spans="1:7">
      <c r="B57" s="317" t="s">
        <v>1514</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0.04</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26196.840000000004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26196.840000000004</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524</v>
      </c>
      <c r="D20" s="1036">
        <f ca="1">IF(C1="",'数据-汇总表'!E6,IF(INDIRECT("'数据-取费表'!c"&amp;$K$1)="住宅",INDIRECT("'数据-取费表'!s"&amp;$K$1),INDIRECT("'数据-取费表'!k"&amp;$K$1)+INDIRECT("'数据-取费表'!s"&amp;$K$1)))</f>
        <v>26196.840000000004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9" t="s">
        <v>1403</v>
      </c>
      <c r="C6" s="1299">
        <f ca="1">ROUND(F6*F8*F7*(1-F9),0)</f>
        <v>0</v>
      </c>
      <c r="D6" s="164" t="s">
        <v>3032</v>
      </c>
      <c r="E6" s="347" t="s">
        <v>1405</v>
      </c>
      <c r="F6" s="348">
        <f ca="1">INDIRECT("'数据-取费表'!u"&amp;$G$1)</f>
        <v>0</v>
      </c>
      <c r="G6" s="1854"/>
      <c r="H6" s="1294" t="s">
        <v>1035</v>
      </c>
      <c r="I6" s="3209" t="s">
        <v>1403</v>
      </c>
      <c r="J6" s="346">
        <f ca="1">ROUND(M6*M8*M7*(1-M9),0)</f>
        <v>0</v>
      </c>
      <c r="K6" s="1837" t="s">
        <v>3033</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4"/>
      <c r="H7" s="349"/>
      <c r="I7" s="3210"/>
      <c r="J7" s="351"/>
      <c r="K7" s="352"/>
      <c r="L7" s="347" t="s">
        <v>1406</v>
      </c>
      <c r="M7" s="348">
        <f ca="1">F7</f>
        <v>0</v>
      </c>
    </row>
    <row r="8" spans="1:37" ht="18" customHeight="1">
      <c r="A8" s="349"/>
      <c r="B8" s="3210"/>
      <c r="C8" s="351"/>
      <c r="D8" s="352"/>
      <c r="E8" s="347" t="s">
        <v>1407</v>
      </c>
      <c r="F8" s="348">
        <f ca="1">INDIRECT("'数据-取费表'!ai"&amp;$G$1)</f>
        <v>0</v>
      </c>
      <c r="G8" s="1854"/>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212" t="s">
        <v>1548</v>
      </c>
      <c r="L53" s="321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0" t="s">
        <v>1076</v>
      </c>
      <c r="B1" s="3231"/>
      <c r="C1" s="3232"/>
      <c r="D1" s="3233">
        <f>SUM(I10,I15,I20,I21,I23)</f>
        <v>0</v>
      </c>
      <c r="E1" s="3233"/>
      <c r="F1" s="3233"/>
      <c r="G1" s="3233"/>
      <c r="H1" s="3233"/>
      <c r="I1" s="3234"/>
    </row>
    <row r="2" spans="1:9">
      <c r="A2" s="3220" t="s">
        <v>1077</v>
      </c>
      <c r="B2" s="3221" t="s">
        <v>1078</v>
      </c>
      <c r="C2" s="3221"/>
      <c r="D2" s="1304" t="s">
        <v>1079</v>
      </c>
      <c r="E2" s="1304" t="s">
        <v>1080</v>
      </c>
      <c r="F2" s="1304" t="s">
        <v>1081</v>
      </c>
      <c r="G2" s="1304" t="s">
        <v>1082</v>
      </c>
      <c r="H2" s="1304" t="s">
        <v>1083</v>
      </c>
      <c r="I2" s="1305" t="s">
        <v>1084</v>
      </c>
    </row>
    <row r="3" spans="1:9">
      <c r="A3" s="3220"/>
      <c r="B3" s="3221" t="s">
        <v>1085</v>
      </c>
      <c r="C3" s="3221"/>
      <c r="D3" s="1306"/>
      <c r="E3" s="1304"/>
      <c r="F3" s="1307"/>
      <c r="G3" s="1307"/>
      <c r="H3" s="1308"/>
      <c r="I3" s="1309">
        <f>ROUND(D3*E3*F3*G3*H3/10000,0)</f>
        <v>0</v>
      </c>
    </row>
    <row r="4" spans="1:9">
      <c r="A4" s="3220"/>
      <c r="B4" s="3221" t="s">
        <v>1086</v>
      </c>
      <c r="C4" s="3221"/>
      <c r="D4" s="1306"/>
      <c r="E4" s="1304"/>
      <c r="F4" s="1307"/>
      <c r="G4" s="1307"/>
      <c r="H4" s="1308"/>
      <c r="I4" s="1309">
        <f t="shared" ref="I4:I9" si="0">ROUND(D4*E4*F4*G4*H4/10000,0)</f>
        <v>0</v>
      </c>
    </row>
    <row r="5" spans="1:9">
      <c r="A5" s="3220"/>
      <c r="B5" s="3221" t="s">
        <v>1087</v>
      </c>
      <c r="C5" s="3221"/>
      <c r="D5" s="1306"/>
      <c r="E5" s="1304"/>
      <c r="F5" s="1307"/>
      <c r="G5" s="1307"/>
      <c r="H5" s="1308"/>
      <c r="I5" s="1309">
        <f t="shared" si="0"/>
        <v>0</v>
      </c>
    </row>
    <row r="6" spans="1:9">
      <c r="A6" s="3220"/>
      <c r="B6" s="3221" t="s">
        <v>1088</v>
      </c>
      <c r="C6" s="3221"/>
      <c r="D6" s="1306"/>
      <c r="E6" s="1304"/>
      <c r="F6" s="1307"/>
      <c r="G6" s="1307"/>
      <c r="H6" s="1308"/>
      <c r="I6" s="1309">
        <f t="shared" si="0"/>
        <v>0</v>
      </c>
    </row>
    <row r="7" spans="1:9">
      <c r="A7" s="3220"/>
      <c r="B7" s="3221" t="s">
        <v>1089</v>
      </c>
      <c r="C7" s="3221"/>
      <c r="D7" s="1306"/>
      <c r="E7" s="1304"/>
      <c r="F7" s="1307"/>
      <c r="G7" s="1307"/>
      <c r="H7" s="1308"/>
      <c r="I7" s="1309">
        <f t="shared" si="0"/>
        <v>0</v>
      </c>
    </row>
    <row r="8" spans="1:9">
      <c r="A8" s="3220"/>
      <c r="B8" s="3221" t="s">
        <v>1090</v>
      </c>
      <c r="C8" s="3221"/>
      <c r="D8" s="1306"/>
      <c r="E8" s="1304"/>
      <c r="F8" s="1307"/>
      <c r="G8" s="1307"/>
      <c r="H8" s="1308"/>
      <c r="I8" s="1309">
        <f t="shared" si="0"/>
        <v>0</v>
      </c>
    </row>
    <row r="9" spans="1:9">
      <c r="A9" s="3220"/>
      <c r="B9" s="3221" t="s">
        <v>1091</v>
      </c>
      <c r="C9" s="3221"/>
      <c r="D9" s="1306"/>
      <c r="E9" s="1304"/>
      <c r="F9" s="1307"/>
      <c r="G9" s="1307"/>
      <c r="H9" s="1308"/>
      <c r="I9" s="1309">
        <f t="shared" si="0"/>
        <v>0</v>
      </c>
    </row>
    <row r="10" spans="1:9">
      <c r="A10" s="3220"/>
      <c r="B10" s="3222" t="s">
        <v>1092</v>
      </c>
      <c r="C10" s="3222"/>
      <c r="D10" s="1310"/>
      <c r="E10" s="1310" t="e">
        <f>ROUND(D1*10000/D10/H9,0)</f>
        <v>#DIV/0!</v>
      </c>
      <c r="F10" s="1311"/>
      <c r="G10" s="1311"/>
      <c r="H10" s="1312"/>
      <c r="I10" s="1313">
        <f>SUM(I3:I9)</f>
        <v>0</v>
      </c>
    </row>
    <row r="11" spans="1:9" ht="14.25">
      <c r="A11" s="3220" t="s">
        <v>1093</v>
      </c>
      <c r="B11" s="3221" t="s">
        <v>1094</v>
      </c>
      <c r="C11" s="3221"/>
      <c r="D11" s="1306" t="s">
        <v>1095</v>
      </c>
      <c r="E11" s="1306" t="s">
        <v>1096</v>
      </c>
      <c r="F11" s="1307" t="s">
        <v>1097</v>
      </c>
      <c r="G11" s="1307" t="s">
        <v>1083</v>
      </c>
      <c r="H11" s="1314" t="s">
        <v>1098</v>
      </c>
      <c r="I11" s="1305" t="s">
        <v>1084</v>
      </c>
    </row>
    <row r="12" spans="1:9">
      <c r="A12" s="3220"/>
      <c r="B12" s="3221" t="s">
        <v>1099</v>
      </c>
      <c r="C12" s="3221"/>
      <c r="D12" s="1306"/>
      <c r="E12" s="1306"/>
      <c r="F12" s="1307"/>
      <c r="G12" s="1308"/>
      <c r="H12" s="1315"/>
      <c r="I12" s="1305">
        <f>ROUND(D12*E12*F12*G12/10000,0)</f>
        <v>0</v>
      </c>
    </row>
    <row r="13" spans="1:9">
      <c r="A13" s="3220"/>
      <c r="B13" s="3221" t="s">
        <v>1100</v>
      </c>
      <c r="C13" s="3221"/>
      <c r="D13" s="1306"/>
      <c r="E13" s="1306"/>
      <c r="F13" s="1307"/>
      <c r="G13" s="1308"/>
      <c r="H13" s="1315"/>
      <c r="I13" s="1305">
        <f>ROUND(D13*E13*F13*G13/10000,0)</f>
        <v>0</v>
      </c>
    </row>
    <row r="14" spans="1:9">
      <c r="A14" s="3220"/>
      <c r="B14" s="3221" t="s">
        <v>1101</v>
      </c>
      <c r="C14" s="3221"/>
      <c r="D14" s="1306"/>
      <c r="E14" s="1306"/>
      <c r="F14" s="1307"/>
      <c r="G14" s="1308"/>
      <c r="H14" s="1315"/>
      <c r="I14" s="1305">
        <f>ROUND(D14*E14*F14*G14/10000,0)</f>
        <v>0</v>
      </c>
    </row>
    <row r="15" spans="1:9">
      <c r="A15" s="3220"/>
      <c r="B15" s="3222" t="s">
        <v>1092</v>
      </c>
      <c r="C15" s="3222"/>
      <c r="D15" s="1310"/>
      <c r="E15" s="1310">
        <f>SUM(E12:E14)</f>
        <v>0</v>
      </c>
      <c r="F15" s="1311"/>
      <c r="G15" s="1308"/>
      <c r="H15" s="1315"/>
      <c r="I15" s="1316">
        <f>SUM(I12:I14)</f>
        <v>0</v>
      </c>
    </row>
    <row r="16" spans="1:9" ht="24">
      <c r="A16" s="3220" t="s">
        <v>1102</v>
      </c>
      <c r="B16" s="3221" t="s">
        <v>1103</v>
      </c>
      <c r="C16" s="3221"/>
      <c r="D16" s="1306" t="s">
        <v>1079</v>
      </c>
      <c r="E16" s="1317" t="s">
        <v>1104</v>
      </c>
      <c r="F16" s="1307" t="s">
        <v>1105</v>
      </c>
      <c r="G16" s="1308" t="s">
        <v>1083</v>
      </c>
      <c r="H16" s="1314" t="s">
        <v>1098</v>
      </c>
      <c r="I16" s="1305" t="s">
        <v>1084</v>
      </c>
    </row>
    <row r="17" spans="1:9" ht="14.25">
      <c r="A17" s="3220"/>
      <c r="B17" s="3221" t="s">
        <v>1106</v>
      </c>
      <c r="C17" s="3221"/>
      <c r="D17" s="1306"/>
      <c r="E17" s="1306"/>
      <c r="F17" s="1307"/>
      <c r="G17" s="1308"/>
      <c r="H17" s="1318"/>
      <c r="I17" s="1319">
        <f>ROUND(D17*E17*F17*G17/10000,0)</f>
        <v>0</v>
      </c>
    </row>
    <row r="18" spans="1:9" ht="14.25">
      <c r="A18" s="3220"/>
      <c r="B18" s="3221" t="s">
        <v>1107</v>
      </c>
      <c r="C18" s="3221"/>
      <c r="D18" s="1306"/>
      <c r="E18" s="1306"/>
      <c r="F18" s="1307"/>
      <c r="G18" s="1308"/>
      <c r="H18" s="1318"/>
      <c r="I18" s="1319">
        <f>ROUND(D18*E18*F18*G18/10000,0)</f>
        <v>0</v>
      </c>
    </row>
    <row r="19" spans="1:9" ht="14.25">
      <c r="A19" s="3220"/>
      <c r="B19" s="3221" t="s">
        <v>1108</v>
      </c>
      <c r="C19" s="3221"/>
      <c r="D19" s="1306"/>
      <c r="E19" s="1306"/>
      <c r="F19" s="1307"/>
      <c r="G19" s="1308"/>
      <c r="H19" s="1318"/>
      <c r="I19" s="1319">
        <f>ROUND(D19*E19*F19*G19/10000,0)</f>
        <v>0</v>
      </c>
    </row>
    <row r="20" spans="1:9">
      <c r="A20" s="3220"/>
      <c r="B20" s="3222" t="s">
        <v>1092</v>
      </c>
      <c r="C20" s="3222"/>
      <c r="D20" s="1310">
        <f>SUM(D17:D19)</f>
        <v>0</v>
      </c>
      <c r="E20" s="1310"/>
      <c r="F20" s="1311"/>
      <c r="G20" s="1308"/>
      <c r="H20" s="1315"/>
      <c r="I20" s="1316">
        <f>SUM(I17:I19)</f>
        <v>0</v>
      </c>
    </row>
    <row r="21" spans="1:9">
      <c r="A21" s="3220" t="s">
        <v>1109</v>
      </c>
      <c r="B21" s="3223"/>
      <c r="C21" s="3223"/>
      <c r="D21" s="3223"/>
      <c r="E21" s="3223"/>
      <c r="F21" s="3223"/>
      <c r="G21" s="3223"/>
      <c r="H21" s="1768">
        <v>0.1</v>
      </c>
      <c r="I21" s="1313">
        <f>ROUND(I10*H21,0)</f>
        <v>0</v>
      </c>
    </row>
    <row r="22" spans="1:9" ht="14.25">
      <c r="A22" s="3224" t="s">
        <v>1110</v>
      </c>
      <c r="B22" s="3225"/>
      <c r="C22" s="3226"/>
      <c r="D22" s="1320" t="s">
        <v>1111</v>
      </c>
      <c r="E22" s="1320" t="s">
        <v>1112</v>
      </c>
      <c r="F22" s="1321" t="s">
        <v>1113</v>
      </c>
      <c r="G22" s="1321" t="s">
        <v>1114</v>
      </c>
      <c r="H22" s="1314" t="s">
        <v>1115</v>
      </c>
      <c r="I22" s="1305" t="s">
        <v>1116</v>
      </c>
    </row>
    <row r="23" spans="1:9" ht="14.25" thickBot="1">
      <c r="A23" s="3227"/>
      <c r="B23" s="3228"/>
      <c r="C23" s="3229"/>
      <c r="D23" s="1322"/>
      <c r="E23" s="1322"/>
      <c r="F23" s="1322"/>
      <c r="G23" s="1323"/>
      <c r="H23" s="1324"/>
      <c r="I23" s="1325">
        <f>ROUND(E23*D23*F23*(1-G23)/10000,0)</f>
        <v>0</v>
      </c>
    </row>
    <row r="26" spans="1:9">
      <c r="A26" s="1326" t="s">
        <v>1117</v>
      </c>
      <c r="B26" s="1326"/>
      <c r="C26" s="1326"/>
      <c r="D26" s="1326"/>
      <c r="E26" s="3217">
        <f>C27-C30-C31-C32</f>
        <v>0</v>
      </c>
      <c r="F26" s="3217"/>
      <c r="G26" s="3217"/>
      <c r="H26" s="1740" t="s">
        <v>1340</v>
      </c>
    </row>
    <row r="27" spans="1:9">
      <c r="A27" s="1327">
        <v>1</v>
      </c>
      <c r="B27" s="1328" t="s">
        <v>1118</v>
      </c>
      <c r="C27" s="1328">
        <f>C28+C29</f>
        <v>0</v>
      </c>
      <c r="D27" s="1328"/>
      <c r="E27" s="3218"/>
      <c r="F27" s="3218"/>
      <c r="G27" s="3218"/>
    </row>
    <row r="28" spans="1:9">
      <c r="A28" s="1329" t="s">
        <v>1119</v>
      </c>
      <c r="B28" s="1328" t="s">
        <v>1120</v>
      </c>
      <c r="C28" s="1328"/>
      <c r="D28" s="1328"/>
      <c r="E28" s="3218"/>
      <c r="F28" s="3218"/>
      <c r="G28" s="321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9"/>
      <c r="F32" s="3219"/>
      <c r="G32" s="3219"/>
    </row>
    <row r="33" spans="1:7" hidden="1">
      <c r="A33" s="3214" t="s">
        <v>1129</v>
      </c>
      <c r="B33" s="3215"/>
      <c r="C33" s="3215"/>
      <c r="D33" s="3216"/>
      <c r="E33" s="3217"/>
      <c r="F33" s="3217"/>
      <c r="G33" s="3217"/>
    </row>
    <row r="34" spans="1:7" hidden="1">
      <c r="A34" s="1331">
        <v>1</v>
      </c>
      <c r="B34" s="1328" t="s">
        <v>1130</v>
      </c>
      <c r="C34" s="1328"/>
      <c r="D34" s="1328"/>
      <c r="E34" s="3218"/>
      <c r="F34" s="3218"/>
      <c r="G34" s="3218"/>
    </row>
    <row r="35" spans="1:7" hidden="1">
      <c r="A35" s="1331">
        <v>2</v>
      </c>
      <c r="B35" s="1328" t="s">
        <v>1131</v>
      </c>
      <c r="C35" s="1328"/>
      <c r="D35" s="1328"/>
      <c r="E35" s="3218"/>
      <c r="F35" s="3218"/>
      <c r="G35" s="3218"/>
    </row>
    <row r="36" spans="1:7" hidden="1">
      <c r="A36" s="1331">
        <v>3</v>
      </c>
      <c r="B36" s="1328" t="s">
        <v>1132</v>
      </c>
      <c r="C36" s="1328"/>
      <c r="D36" s="1328"/>
      <c r="E36" s="3218"/>
      <c r="F36" s="3218"/>
      <c r="G36" s="3218"/>
    </row>
    <row r="37" spans="1:7" hidden="1">
      <c r="A37" s="1331">
        <v>4</v>
      </c>
      <c r="B37" s="1328" t="s">
        <v>1133</v>
      </c>
      <c r="C37" s="1328"/>
      <c r="D37" s="1328"/>
      <c r="E37" s="3218"/>
      <c r="F37" s="3218"/>
      <c r="G37" s="3218"/>
    </row>
    <row r="38" spans="1:7" hidden="1">
      <c r="A38" s="3214" t="s">
        <v>1134</v>
      </c>
      <c r="B38" s="3215"/>
      <c r="C38" s="3215"/>
      <c r="D38" s="3216"/>
      <c r="E38" s="3217"/>
      <c r="F38" s="3217"/>
      <c r="G38" s="32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26196.840000000004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53" t="s">
        <v>2539</v>
      </c>
      <c r="D4" s="3254"/>
      <c r="E4" s="3255" t="s">
        <v>2540</v>
      </c>
      <c r="F4" s="3256"/>
      <c r="G4" s="3253" t="s">
        <v>2541</v>
      </c>
      <c r="H4" s="3254"/>
      <c r="I4" s="3253" t="s">
        <v>2542</v>
      </c>
      <c r="J4" s="3254"/>
      <c r="K4" s="2603" t="s">
        <v>2543</v>
      </c>
      <c r="L4" s="1133"/>
      <c r="M4" s="1134"/>
      <c r="N4" s="1134"/>
      <c r="O4" s="1134"/>
      <c r="P4" s="3257" t="s">
        <v>2544</v>
      </c>
      <c r="Q4" s="3258"/>
      <c r="R4" s="3263" t="s">
        <v>2540</v>
      </c>
      <c r="S4" s="3264"/>
      <c r="T4" s="3263" t="s">
        <v>2541</v>
      </c>
      <c r="U4" s="3264"/>
      <c r="V4" s="3269" t="s">
        <v>2542</v>
      </c>
      <c r="W4" s="3269"/>
      <c r="X4" s="1816"/>
      <c r="Y4" s="3263" t="s">
        <v>2544</v>
      </c>
      <c r="Z4" s="3264"/>
      <c r="AA4" s="3250" t="s">
        <v>2540</v>
      </c>
      <c r="AB4" s="3250" t="s">
        <v>2541</v>
      </c>
      <c r="AC4" s="3250" t="s">
        <v>2542</v>
      </c>
    </row>
    <row r="5" spans="1:29" ht="15">
      <c r="A5" s="404"/>
      <c r="B5" s="405"/>
      <c r="C5" s="3272" t="s">
        <v>2545</v>
      </c>
      <c r="D5" s="3273"/>
      <c r="E5" s="3279" t="s">
        <v>2546</v>
      </c>
      <c r="F5" s="3280"/>
      <c r="G5" s="3272" t="s">
        <v>2547</v>
      </c>
      <c r="H5" s="3273"/>
      <c r="I5" s="3272" t="s">
        <v>2548</v>
      </c>
      <c r="J5" s="3273"/>
      <c r="K5" s="2604"/>
      <c r="L5" s="1133"/>
      <c r="M5" s="1134"/>
      <c r="N5" s="1134"/>
      <c r="O5" s="1134"/>
      <c r="P5" s="3259"/>
      <c r="Q5" s="3260"/>
      <c r="R5" s="3265"/>
      <c r="S5" s="3266"/>
      <c r="T5" s="3265"/>
      <c r="U5" s="3266"/>
      <c r="V5" s="3269"/>
      <c r="W5" s="3269"/>
      <c r="X5" s="1816"/>
      <c r="Y5" s="3265"/>
      <c r="Z5" s="3266"/>
      <c r="AA5" s="3251"/>
      <c r="AB5" s="3251"/>
      <c r="AC5" s="3251"/>
    </row>
    <row r="6" spans="1:29" ht="15.75" thickBot="1">
      <c r="A6" s="406"/>
      <c r="B6" s="407"/>
      <c r="C6" s="3270" t="s">
        <v>2549</v>
      </c>
      <c r="D6" s="3271"/>
      <c r="E6" s="3277" t="s">
        <v>2549</v>
      </c>
      <c r="F6" s="3278"/>
      <c r="G6" s="3270" t="s">
        <v>2549</v>
      </c>
      <c r="H6" s="3271"/>
      <c r="I6" s="3270" t="s">
        <v>2549</v>
      </c>
      <c r="J6" s="3271"/>
      <c r="K6" s="2604" t="s">
        <v>2550</v>
      </c>
      <c r="L6" s="1133"/>
      <c r="M6" s="1134"/>
      <c r="N6" s="1134"/>
      <c r="O6" s="1134"/>
      <c r="P6" s="3261"/>
      <c r="Q6" s="3262"/>
      <c r="R6" s="3265"/>
      <c r="S6" s="3266"/>
      <c r="T6" s="3267"/>
      <c r="U6" s="3268"/>
      <c r="V6" s="3269"/>
      <c r="W6" s="3269"/>
      <c r="X6" s="1816"/>
      <c r="Y6" s="3267"/>
      <c r="Z6" s="3268"/>
      <c r="AA6" s="3252"/>
      <c r="AB6" s="3252"/>
      <c r="AC6" s="3252"/>
    </row>
    <row r="7" spans="1:29" s="117" customFormat="1" ht="15.75" thickBot="1">
      <c r="A7" s="408" t="s">
        <v>2551</v>
      </c>
      <c r="B7" s="409"/>
      <c r="C7" s="410">
        <f>'数据-取费表'!B2</f>
        <v>43243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74" t="s">
        <v>2552</v>
      </c>
      <c r="Q7" s="3276"/>
      <c r="R7" s="770" t="s">
        <v>23</v>
      </c>
      <c r="S7" s="771">
        <f t="shared" ref="S7:S15" si="0">F7</f>
        <v>0</v>
      </c>
      <c r="T7" s="770" t="s">
        <v>23</v>
      </c>
      <c r="U7" s="771">
        <f t="shared" ref="U7:U15" si="1">H7</f>
        <v>0</v>
      </c>
      <c r="V7" s="770" t="s">
        <v>23</v>
      </c>
      <c r="W7" s="771">
        <f t="shared" ref="W7:W15" si="2">J7</f>
        <v>0</v>
      </c>
      <c r="X7" s="772"/>
      <c r="Y7" s="3274" t="s">
        <v>2552</v>
      </c>
      <c r="Z7" s="3275"/>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74" t="s">
        <v>2555</v>
      </c>
      <c r="Q8" s="3275"/>
      <c r="R8" s="770" t="s">
        <v>23</v>
      </c>
      <c r="S8" s="771">
        <f t="shared" si="0"/>
        <v>0</v>
      </c>
      <c r="T8" s="770" t="s">
        <v>23</v>
      </c>
      <c r="U8" s="771">
        <f t="shared" si="1"/>
        <v>0</v>
      </c>
      <c r="V8" s="770" t="s">
        <v>23</v>
      </c>
      <c r="W8" s="771">
        <f t="shared" si="2"/>
        <v>0</v>
      </c>
      <c r="X8" s="772"/>
      <c r="Y8" s="3274" t="s">
        <v>2555</v>
      </c>
      <c r="Z8" s="327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49"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9"/>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9"/>
      <c r="Q11" s="1798"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49"/>
      <c r="Q12" s="1798">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49"/>
      <c r="Q13" s="1798">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49"/>
      <c r="Q14" s="1798">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7" t="s">
        <v>2563</v>
      </c>
      <c r="Q15" s="1813" t="str">
        <f t="shared" si="6"/>
        <v>居住社区成熟度</v>
      </c>
      <c r="R15" s="774" t="s">
        <v>21</v>
      </c>
      <c r="S15" s="775">
        <f t="shared" si="0"/>
        <v>100</v>
      </c>
      <c r="T15" s="774" t="s">
        <v>21</v>
      </c>
      <c r="U15" s="775">
        <f t="shared" si="1"/>
        <v>100</v>
      </c>
      <c r="V15" s="774" t="s">
        <v>21</v>
      </c>
      <c r="W15" s="775">
        <f t="shared" si="2"/>
        <v>100</v>
      </c>
      <c r="X15" s="1816"/>
      <c r="Y15" s="3240"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8"/>
      <c r="Q16" s="1813"/>
      <c r="R16" s="774"/>
      <c r="S16" s="775"/>
      <c r="T16" s="774"/>
      <c r="U16" s="775"/>
      <c r="V16" s="774"/>
      <c r="W16" s="775"/>
      <c r="X16" s="1816"/>
      <c r="Y16" s="3241"/>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8"/>
      <c r="Q17" s="1813" t="str">
        <f>B17</f>
        <v>交通便捷度</v>
      </c>
      <c r="R17" s="774" t="s">
        <v>21</v>
      </c>
      <c r="S17" s="775">
        <f>F17</f>
        <v>100</v>
      </c>
      <c r="T17" s="774" t="s">
        <v>21</v>
      </c>
      <c r="U17" s="775">
        <f>H17</f>
        <v>100</v>
      </c>
      <c r="V17" s="774" t="s">
        <v>21</v>
      </c>
      <c r="W17" s="775">
        <f>J17</f>
        <v>100</v>
      </c>
      <c r="X17" s="1816"/>
      <c r="Y17" s="3241"/>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8"/>
      <c r="Q18" s="1813"/>
      <c r="R18" s="774"/>
      <c r="S18" s="775"/>
      <c r="T18" s="774"/>
      <c r="U18" s="775"/>
      <c r="V18" s="774"/>
      <c r="W18" s="775"/>
      <c r="X18" s="1816"/>
      <c r="Y18" s="3241"/>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8"/>
      <c r="Q19" s="1813" t="str">
        <f>B19</f>
        <v>公共配套设施</v>
      </c>
      <c r="R19" s="774" t="s">
        <v>21</v>
      </c>
      <c r="S19" s="775">
        <f>F19</f>
        <v>100</v>
      </c>
      <c r="T19" s="774" t="s">
        <v>21</v>
      </c>
      <c r="U19" s="775">
        <f>H19</f>
        <v>100</v>
      </c>
      <c r="V19" s="774" t="s">
        <v>21</v>
      </c>
      <c r="W19" s="775">
        <f>J19</f>
        <v>100</v>
      </c>
      <c r="X19" s="1816"/>
      <c r="Y19" s="3241"/>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8"/>
      <c r="Q20" s="1813"/>
      <c r="R20" s="774"/>
      <c r="S20" s="775"/>
      <c r="T20" s="774"/>
      <c r="U20" s="775"/>
      <c r="V20" s="774"/>
      <c r="W20" s="775"/>
      <c r="X20" s="1816"/>
      <c r="Y20" s="3241"/>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8"/>
      <c r="Q22" s="1813"/>
      <c r="R22" s="774"/>
      <c r="S22" s="775"/>
      <c r="T22" s="774"/>
      <c r="U22" s="775"/>
      <c r="V22" s="774"/>
      <c r="W22" s="775"/>
      <c r="X22" s="1816"/>
      <c r="Y22" s="3241"/>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8"/>
      <c r="Q23" s="1813" t="str">
        <f>B23</f>
        <v>自然及人文环境</v>
      </c>
      <c r="R23" s="774" t="s">
        <v>21</v>
      </c>
      <c r="S23" s="775">
        <f>F23</f>
        <v>100</v>
      </c>
      <c r="T23" s="774" t="s">
        <v>21</v>
      </c>
      <c r="U23" s="775">
        <f>H23</f>
        <v>100</v>
      </c>
      <c r="V23" s="774" t="s">
        <v>21</v>
      </c>
      <c r="W23" s="775">
        <f>J23</f>
        <v>100</v>
      </c>
      <c r="X23" s="1816"/>
      <c r="Y23" s="3241"/>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8"/>
      <c r="Q24" s="1813"/>
      <c r="R24" s="774"/>
      <c r="S24" s="775"/>
      <c r="T24" s="774"/>
      <c r="U24" s="775"/>
      <c r="V24" s="774"/>
      <c r="W24" s="775"/>
      <c r="X24" s="1816"/>
      <c r="Y24" s="3241"/>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1"/>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8"/>
      <c r="Q26" s="1813" t="str">
        <f t="shared" si="11"/>
        <v>朝向</v>
      </c>
      <c r="R26" s="774" t="s">
        <v>21</v>
      </c>
      <c r="S26" s="775">
        <f t="shared" si="12"/>
        <v>100</v>
      </c>
      <c r="T26" s="774" t="s">
        <v>21</v>
      </c>
      <c r="U26" s="775">
        <f t="shared" si="13"/>
        <v>100</v>
      </c>
      <c r="V26" s="774" t="s">
        <v>21</v>
      </c>
      <c r="W26" s="775">
        <f t="shared" si="14"/>
        <v>100</v>
      </c>
      <c r="X26" s="1816"/>
      <c r="Y26" s="324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8"/>
      <c r="Q27" s="1798">
        <f t="shared" si="11"/>
        <v>111</v>
      </c>
      <c r="R27" s="770" t="s">
        <v>21</v>
      </c>
      <c r="S27" s="771">
        <f t="shared" si="12"/>
        <v>100</v>
      </c>
      <c r="T27" s="770" t="s">
        <v>21</v>
      </c>
      <c r="U27" s="771">
        <f t="shared" si="13"/>
        <v>100</v>
      </c>
      <c r="V27" s="770" t="s">
        <v>21</v>
      </c>
      <c r="W27" s="771">
        <f t="shared" si="14"/>
        <v>100</v>
      </c>
      <c r="X27" s="772"/>
      <c r="Y27" s="324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8"/>
      <c r="Q28" s="1813">
        <f t="shared" si="11"/>
        <v>111</v>
      </c>
      <c r="R28" s="774" t="s">
        <v>21</v>
      </c>
      <c r="S28" s="775">
        <f t="shared" si="12"/>
        <v>100</v>
      </c>
      <c r="T28" s="774" t="s">
        <v>21</v>
      </c>
      <c r="U28" s="775">
        <f t="shared" si="13"/>
        <v>100</v>
      </c>
      <c r="V28" s="774" t="s">
        <v>21</v>
      </c>
      <c r="W28" s="775">
        <f t="shared" si="14"/>
        <v>100</v>
      </c>
      <c r="X28" s="1816"/>
      <c r="Y28" s="324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8"/>
      <c r="Q29" s="1813">
        <f t="shared" si="11"/>
        <v>111</v>
      </c>
      <c r="R29" s="774" t="s">
        <v>21</v>
      </c>
      <c r="S29" s="775">
        <f t="shared" si="12"/>
        <v>100</v>
      </c>
      <c r="T29" s="774" t="s">
        <v>21</v>
      </c>
      <c r="U29" s="775">
        <f t="shared" si="13"/>
        <v>100</v>
      </c>
      <c r="V29" s="774" t="s">
        <v>21</v>
      </c>
      <c r="W29" s="775">
        <f t="shared" si="14"/>
        <v>100</v>
      </c>
      <c r="X29" s="1816"/>
      <c r="Y29" s="324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8"/>
      <c r="Q30" s="1813">
        <f t="shared" si="11"/>
        <v>111</v>
      </c>
      <c r="R30" s="774" t="s">
        <v>21</v>
      </c>
      <c r="S30" s="775">
        <f t="shared" si="12"/>
        <v>100</v>
      </c>
      <c r="T30" s="774" t="s">
        <v>21</v>
      </c>
      <c r="U30" s="775">
        <f t="shared" si="13"/>
        <v>100</v>
      </c>
      <c r="V30" s="774" t="s">
        <v>21</v>
      </c>
      <c r="W30" s="775">
        <f t="shared" si="14"/>
        <v>100</v>
      </c>
      <c r="X30" s="1816"/>
      <c r="Y30" s="324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8"/>
      <c r="Q31" s="1813">
        <f t="shared" si="11"/>
        <v>111</v>
      </c>
      <c r="R31" s="774" t="s">
        <v>21</v>
      </c>
      <c r="S31" s="775">
        <f t="shared" si="12"/>
        <v>100</v>
      </c>
      <c r="T31" s="774" t="s">
        <v>21</v>
      </c>
      <c r="U31" s="775">
        <f t="shared" si="13"/>
        <v>100</v>
      </c>
      <c r="V31" s="774" t="s">
        <v>21</v>
      </c>
      <c r="W31" s="775">
        <f t="shared" si="14"/>
        <v>100</v>
      </c>
      <c r="X31" s="1816"/>
      <c r="Y31" s="3241"/>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42" t="s">
        <v>2568</v>
      </c>
      <c r="Q32" s="1813" t="str">
        <f t="shared" si="11"/>
        <v>建筑类型</v>
      </c>
      <c r="R32" s="774" t="s">
        <v>21</v>
      </c>
      <c r="S32" s="775">
        <f t="shared" si="12"/>
        <v>100</v>
      </c>
      <c r="T32" s="774" t="s">
        <v>21</v>
      </c>
      <c r="U32" s="775">
        <f t="shared" si="13"/>
        <v>100</v>
      </c>
      <c r="V32" s="774" t="s">
        <v>21</v>
      </c>
      <c r="W32" s="775">
        <f t="shared" si="14"/>
        <v>100</v>
      </c>
      <c r="X32" s="1816"/>
      <c r="Y32" s="3245"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43"/>
      <c r="Q33" s="776" t="str">
        <f t="shared" si="11"/>
        <v>项目建筑规模</v>
      </c>
      <c r="R33" s="777" t="s">
        <v>21</v>
      </c>
      <c r="S33" s="778" t="e">
        <f t="shared" si="12"/>
        <v>#N/A</v>
      </c>
      <c r="T33" s="777" t="s">
        <v>21</v>
      </c>
      <c r="U33" s="778" t="e">
        <f t="shared" si="13"/>
        <v>#N/A</v>
      </c>
      <c r="V33" s="777" t="s">
        <v>21</v>
      </c>
      <c r="W33" s="778" t="e">
        <f t="shared" si="14"/>
        <v>#N/A</v>
      </c>
      <c r="X33" s="779"/>
      <c r="Y33" s="3245"/>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43"/>
      <c r="Q34" s="1813" t="str">
        <f t="shared" si="11"/>
        <v>建筑结构</v>
      </c>
      <c r="R34" s="774" t="s">
        <v>21</v>
      </c>
      <c r="S34" s="775">
        <f t="shared" si="12"/>
        <v>100</v>
      </c>
      <c r="T34" s="774" t="s">
        <v>21</v>
      </c>
      <c r="U34" s="775">
        <f t="shared" si="13"/>
        <v>100</v>
      </c>
      <c r="V34" s="774" t="s">
        <v>21</v>
      </c>
      <c r="W34" s="775">
        <f t="shared" si="14"/>
        <v>100</v>
      </c>
      <c r="X34" s="1816"/>
      <c r="Y34" s="3245"/>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43"/>
      <c r="Q35" s="1813" t="str">
        <f t="shared" si="11"/>
        <v>建筑品质</v>
      </c>
      <c r="R35" s="774" t="s">
        <v>21</v>
      </c>
      <c r="S35" s="775">
        <f t="shared" si="12"/>
        <v>100</v>
      </c>
      <c r="T35" s="774" t="s">
        <v>21</v>
      </c>
      <c r="U35" s="775">
        <f t="shared" si="13"/>
        <v>100</v>
      </c>
      <c r="V35" s="774" t="s">
        <v>21</v>
      </c>
      <c r="W35" s="775">
        <f t="shared" si="14"/>
        <v>100</v>
      </c>
      <c r="X35" s="1816"/>
      <c r="Y35" s="3245"/>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43"/>
      <c r="Q36" s="1813" t="str">
        <f t="shared" si="11"/>
        <v>公共部分装修</v>
      </c>
      <c r="R36" s="774" t="s">
        <v>21</v>
      </c>
      <c r="S36" s="775">
        <f t="shared" si="12"/>
        <v>100</v>
      </c>
      <c r="T36" s="774" t="s">
        <v>21</v>
      </c>
      <c r="U36" s="775">
        <f t="shared" si="13"/>
        <v>100</v>
      </c>
      <c r="V36" s="774" t="s">
        <v>21</v>
      </c>
      <c r="W36" s="775">
        <f t="shared" si="14"/>
        <v>100</v>
      </c>
      <c r="X36" s="1816"/>
      <c r="Y36" s="3245"/>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3"/>
      <c r="Q37" s="1798" t="str">
        <f t="shared" si="11"/>
        <v>成新度</v>
      </c>
      <c r="R37" s="770" t="s">
        <v>21</v>
      </c>
      <c r="S37" s="771" t="e">
        <f t="shared" si="12"/>
        <v>#N/A</v>
      </c>
      <c r="T37" s="770" t="s">
        <v>21</v>
      </c>
      <c r="U37" s="771" t="e">
        <f t="shared" si="13"/>
        <v>#N/A</v>
      </c>
      <c r="V37" s="770" t="s">
        <v>21</v>
      </c>
      <c r="W37" s="771" t="e">
        <f t="shared" si="14"/>
        <v>#N/A</v>
      </c>
      <c r="X37" s="772"/>
      <c r="Y37" s="3245"/>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43" t="s">
        <v>2568</v>
      </c>
      <c r="Q38" s="1813" t="str">
        <f t="shared" si="11"/>
        <v>物业管理</v>
      </c>
      <c r="R38" s="774" t="s">
        <v>21</v>
      </c>
      <c r="S38" s="775">
        <f t="shared" si="12"/>
        <v>100</v>
      </c>
      <c r="T38" s="774" t="s">
        <v>21</v>
      </c>
      <c r="U38" s="775">
        <f t="shared" si="13"/>
        <v>100</v>
      </c>
      <c r="V38" s="774" t="s">
        <v>21</v>
      </c>
      <c r="W38" s="775">
        <f t="shared" si="14"/>
        <v>100</v>
      </c>
      <c r="X38" s="1816"/>
      <c r="Y38" s="3245"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43"/>
      <c r="Q39" s="1813" t="str">
        <f t="shared" si="11"/>
        <v>市政基础设施</v>
      </c>
      <c r="R39" s="774" t="s">
        <v>21</v>
      </c>
      <c r="S39" s="775">
        <f t="shared" si="12"/>
        <v>100</v>
      </c>
      <c r="T39" s="774" t="s">
        <v>21</v>
      </c>
      <c r="U39" s="775">
        <f t="shared" si="13"/>
        <v>100</v>
      </c>
      <c r="V39" s="774" t="s">
        <v>21</v>
      </c>
      <c r="W39" s="775">
        <f t="shared" si="14"/>
        <v>100</v>
      </c>
      <c r="X39" s="1816"/>
      <c r="Y39" s="3245"/>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43"/>
      <c r="Q40" s="1813" t="str">
        <f t="shared" si="11"/>
        <v>房型</v>
      </c>
      <c r="R40" s="774" t="s">
        <v>21</v>
      </c>
      <c r="S40" s="775">
        <f t="shared" si="12"/>
        <v>100</v>
      </c>
      <c r="T40" s="774" t="s">
        <v>21</v>
      </c>
      <c r="U40" s="775">
        <f t="shared" si="13"/>
        <v>100</v>
      </c>
      <c r="V40" s="774" t="s">
        <v>21</v>
      </c>
      <c r="W40" s="775">
        <f t="shared" si="14"/>
        <v>100</v>
      </c>
      <c r="X40" s="1816"/>
      <c r="Y40" s="3245"/>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43"/>
      <c r="Q41" s="776" t="str">
        <f t="shared" si="11"/>
        <v>单套/主力户型建筑面积</v>
      </c>
      <c r="R41" s="777" t="s">
        <v>21</v>
      </c>
      <c r="S41" s="778">
        <f t="shared" si="12"/>
        <v>100</v>
      </c>
      <c r="T41" s="777" t="s">
        <v>21</v>
      </c>
      <c r="U41" s="778">
        <f t="shared" si="13"/>
        <v>100</v>
      </c>
      <c r="V41" s="777" t="s">
        <v>21</v>
      </c>
      <c r="W41" s="778">
        <f t="shared" si="14"/>
        <v>100</v>
      </c>
      <c r="X41" s="779"/>
      <c r="Y41" s="3245"/>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43"/>
      <c r="Q42" s="1813" t="str">
        <f t="shared" si="11"/>
        <v>内部装修</v>
      </c>
      <c r="R42" s="774" t="s">
        <v>21</v>
      </c>
      <c r="S42" s="775">
        <f t="shared" si="12"/>
        <v>100</v>
      </c>
      <c r="T42" s="774" t="s">
        <v>21</v>
      </c>
      <c r="U42" s="775">
        <f t="shared" si="13"/>
        <v>100</v>
      </c>
      <c r="V42" s="774" t="s">
        <v>21</v>
      </c>
      <c r="W42" s="775">
        <f t="shared" si="14"/>
        <v>100</v>
      </c>
      <c r="X42" s="1816"/>
      <c r="Y42" s="3245"/>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43"/>
      <c r="Q43" s="1813" t="str">
        <f t="shared" si="11"/>
        <v>内部装修维护情况</v>
      </c>
      <c r="R43" s="774" t="s">
        <v>21</v>
      </c>
      <c r="S43" s="775">
        <f t="shared" si="12"/>
        <v>100</v>
      </c>
      <c r="T43" s="774" t="s">
        <v>21</v>
      </c>
      <c r="U43" s="775">
        <f t="shared" si="13"/>
        <v>100</v>
      </c>
      <c r="V43" s="774" t="s">
        <v>21</v>
      </c>
      <c r="W43" s="775">
        <f t="shared" si="14"/>
        <v>100</v>
      </c>
      <c r="X43" s="1816"/>
      <c r="Y43" s="324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43"/>
      <c r="Q44" s="1798">
        <f t="shared" si="11"/>
        <v>111</v>
      </c>
      <c r="R44" s="770" t="s">
        <v>21</v>
      </c>
      <c r="S44" s="771">
        <f t="shared" si="12"/>
        <v>100</v>
      </c>
      <c r="T44" s="770" t="s">
        <v>21</v>
      </c>
      <c r="U44" s="771">
        <f t="shared" si="13"/>
        <v>100</v>
      </c>
      <c r="V44" s="770" t="s">
        <v>21</v>
      </c>
      <c r="W44" s="771">
        <f t="shared" si="14"/>
        <v>100</v>
      </c>
      <c r="X44" s="772"/>
      <c r="Y44" s="324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43"/>
      <c r="Q45" s="1813">
        <f t="shared" si="11"/>
        <v>111</v>
      </c>
      <c r="R45" s="774" t="s">
        <v>21</v>
      </c>
      <c r="S45" s="775">
        <f t="shared" si="12"/>
        <v>100</v>
      </c>
      <c r="T45" s="774" t="s">
        <v>21</v>
      </c>
      <c r="U45" s="775">
        <f t="shared" si="13"/>
        <v>100</v>
      </c>
      <c r="V45" s="774" t="s">
        <v>21</v>
      </c>
      <c r="W45" s="775">
        <f t="shared" si="14"/>
        <v>100</v>
      </c>
      <c r="X45" s="1816"/>
      <c r="Y45" s="3245"/>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44"/>
      <c r="Q46" s="1813">
        <f t="shared" si="11"/>
        <v>111</v>
      </c>
      <c r="R46" s="774" t="s">
        <v>20</v>
      </c>
      <c r="S46" s="775">
        <f t="shared" si="12"/>
        <v>100</v>
      </c>
      <c r="T46" s="774" t="s">
        <v>20</v>
      </c>
      <c r="U46" s="775">
        <f t="shared" si="13"/>
        <v>100</v>
      </c>
      <c r="V46" s="774" t="s">
        <v>20</v>
      </c>
      <c r="W46" s="775">
        <f t="shared" si="14"/>
        <v>100</v>
      </c>
      <c r="X46" s="1816"/>
      <c r="Y46" s="3246"/>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238" t="str">
        <f>A47</f>
        <v>成交单价（元/平方米）</v>
      </c>
      <c r="Q47" s="3238"/>
      <c r="R47" s="3239">
        <f>E47</f>
        <v>0</v>
      </c>
      <c r="S47" s="3239"/>
      <c r="T47" s="3239">
        <f>G47</f>
        <v>0</v>
      </c>
      <c r="U47" s="3239"/>
      <c r="V47" s="3239">
        <f>I47</f>
        <v>0</v>
      </c>
      <c r="W47" s="3239"/>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35" t="str">
        <f>A49</f>
        <v>估价对象XX用房的比较价值（楼面单价，元/平方米）</v>
      </c>
      <c r="Q49" s="3236"/>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zoomScaleSheetLayoutView="96" workbookViewId="0">
      <selection activeCell="U3" sqref="U3:U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26196.840000000004</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73619</v>
      </c>
      <c r="C2" s="2728" t="s">
        <v>2816</v>
      </c>
      <c r="D2" s="2729" t="s">
        <v>2817</v>
      </c>
      <c r="E2" s="2730" t="s">
        <v>1377</v>
      </c>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Ⅴ-15</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30986</v>
      </c>
      <c r="U2" s="1606">
        <f>面积清单!I8</f>
        <v>0</v>
      </c>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28102</v>
      </c>
      <c r="C3" s="2728" t="s">
        <v>2822</v>
      </c>
      <c r="D3" s="2729" t="s">
        <v>2823</v>
      </c>
      <c r="E3" s="2734" t="s">
        <v>3722</v>
      </c>
      <c r="F3" s="2735" t="s">
        <v>3723</v>
      </c>
      <c r="G3" s="916">
        <f>IF(F3="宗地容积率",'数据-汇总表'!I4,IF(F3="估价对象容积率",'数据-汇总表'!I6,'数据-汇总表'!I7))</f>
        <v>2.5</v>
      </c>
      <c r="H3" s="198" t="s">
        <v>2824</v>
      </c>
      <c r="I3" s="947">
        <v>1</v>
      </c>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22242</v>
      </c>
      <c r="U3" s="1606">
        <f>面积清单!I9</f>
        <v>459.64</v>
      </c>
      <c r="V3" s="1605">
        <f t="shared" ref="V3:V16" ca="1" si="1">ROUND(T3*U3/10000,0)</f>
        <v>1022</v>
      </c>
      <c r="W3" s="1609"/>
      <c r="X3" s="1609"/>
      <c r="Y3" s="1609"/>
      <c r="Z3" s="1609"/>
      <c r="AA3" s="1609"/>
      <c r="AB3" s="1609"/>
      <c r="AC3" s="1610"/>
      <c r="AD3" s="1611"/>
      <c r="AE3" s="1611"/>
      <c r="AF3" s="1611"/>
      <c r="AG3" s="1611"/>
      <c r="AH3" s="1611"/>
      <c r="AI3" s="1611"/>
      <c r="AJ3" s="1612"/>
    </row>
    <row r="4" spans="1:36" ht="15.75">
      <c r="A4" s="3284"/>
      <c r="B4" s="3285"/>
      <c r="C4" s="3285"/>
      <c r="D4" s="3286"/>
      <c r="E4" s="3286"/>
      <c r="F4" s="3286"/>
      <c r="G4" s="3286"/>
      <c r="H4" s="3286"/>
      <c r="I4" s="3286"/>
      <c r="J4" s="3287"/>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17944</v>
      </c>
      <c r="U4" s="1606">
        <f>面积清单!I10</f>
        <v>3811.4699999999993</v>
      </c>
      <c r="V4" s="1605">
        <f t="shared" ca="1" si="1"/>
        <v>6839</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12890</v>
      </c>
      <c r="D5" s="1790">
        <f>ROUND(IF(E2="商业",IF(F16="增加",C6+C16,C6-C16)),0)</f>
        <v>12890</v>
      </c>
      <c r="E5" s="2738"/>
      <c r="F5" s="2738"/>
      <c r="G5" s="2739"/>
      <c r="H5" s="2739"/>
      <c r="I5" s="2739"/>
      <c r="J5" s="2740"/>
      <c r="K5" s="2741"/>
      <c r="L5" s="2733" t="s">
        <v>2829</v>
      </c>
      <c r="M5" s="1084">
        <f>SUMPRODUCT((区片价!B76:B109=I2)*(区片价!C3:F3=E2)*(区片价!C76:F109))</f>
        <v>12890</v>
      </c>
      <c r="N5" s="1086">
        <f>SUMPRODUCT((因素修正幅度!B76:B109=I2)*(因素修正幅度!C3:F3=E2)*(因素修正幅度!C76:F109))</f>
        <v>9.8000000000000004E-2</v>
      </c>
      <c r="O5" s="1373"/>
      <c r="P5" s="1373"/>
      <c r="Q5" s="1373"/>
      <c r="R5" s="1605">
        <v>4</v>
      </c>
      <c r="S5" s="1605">
        <f>ROUND(IF(G3&gt;1,IF(R5&lt;7,SUMPRODUCT((B93:B98=R5)*(C92:N92=G2)*(C93:N98)),SUMIF(C92:N92,G2,C100:N100)),IF(R5&lt;7,SUMPRODUCT((B102:B107=R5)*(C92:N92=G2)*(C102:N107)),SUMIF(C92:N92,G2,C109:N109))),4)</f>
        <v>0.86560000000000004</v>
      </c>
      <c r="T5" s="1605">
        <f t="shared" ca="1" si="0"/>
        <v>14398</v>
      </c>
      <c r="U5" s="1606">
        <f>面积清单!I11</f>
        <v>5675.75</v>
      </c>
      <c r="V5" s="1605">
        <f t="shared" ca="1" si="1"/>
        <v>8172</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12890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12260</v>
      </c>
      <c r="U6" s="1606">
        <f>面积清单!I12</f>
        <v>4606.3200000000015</v>
      </c>
      <c r="V6" s="1605">
        <f t="shared" ca="1" si="1"/>
        <v>5647</v>
      </c>
      <c r="W6" s="1609"/>
      <c r="X6" s="1609"/>
      <c r="Y6" s="1609"/>
      <c r="Z6" s="1609"/>
      <c r="AA6" s="1609"/>
      <c r="AB6" s="1609"/>
      <c r="AC6" s="2742"/>
      <c r="AD6" s="2743"/>
      <c r="AE6" s="2743"/>
      <c r="AF6" s="2743"/>
      <c r="AG6" s="2743"/>
      <c r="AH6" s="2743"/>
      <c r="AI6" s="2743"/>
      <c r="AJ6" s="2744"/>
    </row>
    <row r="7" spans="1:36" ht="24">
      <c r="A7" s="3288"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10782</v>
      </c>
      <c r="U7" s="1606">
        <f>面积清单!I13</f>
        <v>4060.2000000000007</v>
      </c>
      <c r="V7" s="1605">
        <f t="shared" ca="1" si="1"/>
        <v>4378</v>
      </c>
      <c r="W7" s="1819" t="s">
        <v>2837</v>
      </c>
      <c r="X7" s="1607" t="str">
        <f>G2</f>
        <v>五级</v>
      </c>
      <c r="Y7" s="1607" t="s">
        <v>2838</v>
      </c>
      <c r="Z7" s="1608">
        <f>G3</f>
        <v>2.5</v>
      </c>
      <c r="AA7" s="1609"/>
      <c r="AB7" s="1609"/>
      <c r="AC7" s="1610"/>
      <c r="AD7" s="1611"/>
      <c r="AE7" s="1611"/>
      <c r="AF7" s="1611"/>
      <c r="AG7" s="1611"/>
      <c r="AH7" s="1611"/>
      <c r="AI7" s="1611"/>
      <c r="AJ7" s="1612"/>
    </row>
    <row r="8" spans="1:36" ht="25.5">
      <c r="A8" s="3289"/>
      <c r="B8" s="198" t="s">
        <v>2839</v>
      </c>
      <c r="C8" s="2757" t="s">
        <v>3724</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v>0.64729999999999999</v>
      </c>
      <c r="T8" s="1605">
        <f t="shared" ca="1" si="0"/>
        <v>10767</v>
      </c>
      <c r="U8" s="1606">
        <f>面积清单!I14</f>
        <v>3677.900000000001</v>
      </c>
      <c r="V8" s="1605">
        <f t="shared" ca="1" si="1"/>
        <v>3960</v>
      </c>
      <c r="W8" s="3281" t="s">
        <v>2842</v>
      </c>
      <c r="X8" s="3282"/>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89"/>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3" t="s">
        <v>2858</v>
      </c>
      <c r="X9" s="1614" t="s">
        <v>2859</v>
      </c>
      <c r="Y9" s="1775">
        <v>7</v>
      </c>
      <c r="Z9" s="1615">
        <f>$Y$9</f>
        <v>7</v>
      </c>
      <c r="AA9" s="1615">
        <f t="shared" ref="AA9:AJ9" si="2">$Y$9</f>
        <v>7</v>
      </c>
      <c r="AB9" s="1615">
        <f t="shared" si="2"/>
        <v>7</v>
      </c>
      <c r="AC9" s="1615">
        <f t="shared" si="2"/>
        <v>7</v>
      </c>
      <c r="AD9" s="1615">
        <f t="shared" si="2"/>
        <v>7</v>
      </c>
      <c r="AE9" s="1615">
        <f t="shared" si="2"/>
        <v>7</v>
      </c>
      <c r="AF9" s="1615">
        <f t="shared" si="2"/>
        <v>7</v>
      </c>
      <c r="AG9" s="1615">
        <f t="shared" si="2"/>
        <v>7</v>
      </c>
      <c r="AH9" s="1615">
        <f t="shared" si="2"/>
        <v>7</v>
      </c>
      <c r="AI9" s="1615">
        <f t="shared" si="2"/>
        <v>7</v>
      </c>
      <c r="AJ9" s="1615">
        <f t="shared" si="2"/>
        <v>7</v>
      </c>
    </row>
    <row r="10" spans="1:36" ht="15">
      <c r="A10" s="3289"/>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3"/>
      <c r="X10" s="1614">
        <v>7</v>
      </c>
      <c r="Y10" s="1616">
        <f>(-0.163*(Y9^2)-0.59*Y9+7617)*(10^(-4))</f>
        <v>0.76048830000000001</v>
      </c>
      <c r="Z10" s="1616">
        <f>(-0.163*(Z9^2)-0.59*Z9+7617)*(10^(-4))</f>
        <v>0.76048830000000001</v>
      </c>
      <c r="AA10" s="1616">
        <f>(-0.161*(AA9^2)-7.509*AA9+6533)*(10^(-4))</f>
        <v>0.64725480000000002</v>
      </c>
      <c r="AB10" s="1616">
        <f>(-0.161*(AB9^2)-7.509*AB9+6533)*(10^(-4))</f>
        <v>0.64725480000000002</v>
      </c>
      <c r="AC10" s="1616">
        <f>(-0.161*(AC9^2)-7.509*AC9+6533)*(10^(-4))</f>
        <v>0.64725480000000002</v>
      </c>
      <c r="AD10" s="1616">
        <f>(-0.161*(AD9^2)-7.509*AD9+6533)*(10^(-4))</f>
        <v>0.64725480000000002</v>
      </c>
      <c r="AE10" s="1616">
        <f>(-0.161*(AE9^2)-7.509*AE9+6533)*(10^(-4))</f>
        <v>0.64725480000000002</v>
      </c>
      <c r="AF10" s="1616">
        <f>(-0.214*(AF9^2)-21.991*AF9+4665)*(10^(-4))</f>
        <v>0.45005770000000006</v>
      </c>
      <c r="AG10" s="1616">
        <f>(-0.214*(AG9^2)-21.991*AG9+4665)*(10^(-4))</f>
        <v>0.45005770000000006</v>
      </c>
      <c r="AH10" s="1616">
        <f>(-0.214*(AH9^2)-21.991*AH9+4665)*(10^(-4))</f>
        <v>0.45005770000000006</v>
      </c>
      <c r="AI10" s="1616">
        <f>(-0.214*(AI9^2)-21.991*AI9+4665)*(10^(-4))</f>
        <v>0.45005770000000006</v>
      </c>
      <c r="AJ10" s="1616">
        <f>(-0.214*(AJ9^2)-21.991*AJ9+4665)*(10^(-4))</f>
        <v>0.45005770000000006</v>
      </c>
    </row>
    <row r="11" spans="1:36" ht="15.75" thickBot="1">
      <c r="A11" s="3289"/>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3" t="s">
        <v>2866</v>
      </c>
      <c r="X11" s="1617" t="s">
        <v>2867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88" t="s">
        <v>2868</v>
      </c>
      <c r="B12" s="2765" t="s">
        <v>2869</v>
      </c>
      <c r="C12" s="919">
        <f>ROUND(C15*D15*E15*F15*G15*H15*I15*J15,4)</f>
        <v>1.2</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3"/>
      <c r="X12" s="1619" t="s">
        <v>2872</v>
      </c>
      <c r="Y12" s="1615">
        <f t="shared" ref="Y12:AJ12" si="4">Y9</f>
        <v>7</v>
      </c>
      <c r="Z12" s="1615">
        <f t="shared" si="4"/>
        <v>7</v>
      </c>
      <c r="AA12" s="1615">
        <f t="shared" si="4"/>
        <v>7</v>
      </c>
      <c r="AB12" s="1615">
        <f t="shared" si="4"/>
        <v>7</v>
      </c>
      <c r="AC12" s="1615">
        <f t="shared" si="4"/>
        <v>7</v>
      </c>
      <c r="AD12" s="1615">
        <f t="shared" si="4"/>
        <v>7</v>
      </c>
      <c r="AE12" s="1615">
        <f t="shared" si="4"/>
        <v>7</v>
      </c>
      <c r="AF12" s="1615">
        <f t="shared" si="4"/>
        <v>7</v>
      </c>
      <c r="AG12" s="1615">
        <f t="shared" si="4"/>
        <v>7</v>
      </c>
      <c r="AH12" s="1615">
        <f t="shared" si="4"/>
        <v>7</v>
      </c>
      <c r="AI12" s="1615">
        <f t="shared" si="4"/>
        <v>7</v>
      </c>
      <c r="AJ12" s="1615">
        <f t="shared" si="4"/>
        <v>7</v>
      </c>
    </row>
    <row r="13" spans="1:36" ht="24">
      <c r="A13" s="3290"/>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83"/>
      <c r="X13" s="1619"/>
      <c r="Y13" s="1616">
        <f>(-0.163*(Y12^2)-0.59*Y12+7617)*(10^(-4))/Y11</f>
        <v>0.30419531999999999</v>
      </c>
      <c r="Z13" s="1616">
        <f t="shared" ref="Z13:AJ13" si="5">(-0.163*(Z12^2)-0.59*Z12+7617)*(10^(-4))/Z11</f>
        <v>0.30419531999999999</v>
      </c>
      <c r="AA13" s="1616">
        <f t="shared" si="5"/>
        <v>0.30419531999999999</v>
      </c>
      <c r="AB13" s="1616">
        <f t="shared" si="5"/>
        <v>0.30419531999999999</v>
      </c>
      <c r="AC13" s="1616">
        <f t="shared" si="5"/>
        <v>0.30419531999999999</v>
      </c>
      <c r="AD13" s="1616">
        <f t="shared" si="5"/>
        <v>0.30419531999999999</v>
      </c>
      <c r="AE13" s="1616">
        <f t="shared" si="5"/>
        <v>0.30419531999999999</v>
      </c>
      <c r="AF13" s="1616">
        <f t="shared" si="5"/>
        <v>0.30419531999999999</v>
      </c>
      <c r="AG13" s="1616">
        <f t="shared" si="5"/>
        <v>0.30419531999999999</v>
      </c>
      <c r="AH13" s="1616">
        <f t="shared" si="5"/>
        <v>0.30419531999999999</v>
      </c>
      <c r="AI13" s="1616">
        <f t="shared" si="5"/>
        <v>0.30419531999999999</v>
      </c>
      <c r="AJ13" s="1616">
        <f t="shared" si="5"/>
        <v>0.30419531999999999</v>
      </c>
    </row>
    <row r="14" spans="1:36" ht="15">
      <c r="A14" s="3290"/>
      <c r="B14" s="2775"/>
      <c r="C14" s="2776" t="s">
        <v>3725</v>
      </c>
      <c r="D14" s="2777" t="s">
        <v>3725</v>
      </c>
      <c r="E14" s="2777" t="s">
        <v>3725</v>
      </c>
      <c r="F14" s="2778" t="s">
        <v>3726</v>
      </c>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1"/>
      <c r="B15" s="2783" t="s">
        <v>2880</v>
      </c>
      <c r="C15" s="229">
        <f>IF(C14="有",1.1,1)</f>
        <v>1</v>
      </c>
      <c r="D15" s="229">
        <f>IF(D14="有",1.1,1)</f>
        <v>1</v>
      </c>
      <c r="E15" s="229">
        <f>IF(E14="有",1.1,1)</f>
        <v>1</v>
      </c>
      <c r="F15" s="229">
        <f>IF(F14="500米范围内",1.2,IF(F14="500-1000米",1.1,1))</f>
        <v>1.2</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8" t="s">
        <v>2885</v>
      </c>
      <c r="B16" s="2752" t="s">
        <v>2886</v>
      </c>
      <c r="C16" s="1804">
        <f>ROUND(SUM(G17:J17)/C17,0)</f>
        <v>0</v>
      </c>
      <c r="D16" s="2786" t="s">
        <v>2887</v>
      </c>
      <c r="E16" s="2787" t="s">
        <v>3727</v>
      </c>
      <c r="F16" s="2788" t="s">
        <v>3728</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9"/>
      <c r="B17" s="2792" t="s">
        <v>2889</v>
      </c>
      <c r="C17" s="924">
        <f>SUMPRODUCT((修正!A2:A5=E2)*(修正!B1:M1=G2)*(修正!B2:M5))</f>
        <v>2.5</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ROUND(IF(H19="按公示增长率计算",SUMPRODUCT((地价!A3:A22=YEAR(G19)&amp;"-"&amp;ROUNDUP(MONTH(G19)/3,0))*(地价!X2:AB2=E2)*(地价!X3:AB22)),IF(H19="地价指数",M20/M19,(1+I19)^O19)),4)</f>
        <v>1.2907</v>
      </c>
      <c r="D19" s="2804" t="s">
        <v>2895</v>
      </c>
      <c r="E19" s="928">
        <v>41640</v>
      </c>
      <c r="F19" s="2804" t="s">
        <v>2896</v>
      </c>
      <c r="G19" s="929">
        <f>'数据-取费表'!B2</f>
        <v>43243</v>
      </c>
      <c r="H19" s="2805" t="s">
        <v>2897</v>
      </c>
      <c r="I19" s="930" t="str">
        <f>IF(H19="季度增幅（自定义）",SUMIF(N21:N24,E2,O21:O24),"")</f>
        <v/>
      </c>
      <c r="J19" s="2802"/>
      <c r="K19" s="1380"/>
      <c r="L19" s="2806" t="s">
        <v>2898</v>
      </c>
      <c r="M19" s="1737">
        <f>ROUND(SUMIF(地价!B2:F2,E2,地价!B22:F22),0)</f>
        <v>258</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0.97330000000000005</v>
      </c>
      <c r="D20" s="2813" t="s">
        <v>2901</v>
      </c>
      <c r="E20" s="1771">
        <f ca="1">存贷款利率!D4/100</f>
        <v>4.3499999999999997E-2</v>
      </c>
      <c r="F20" s="2813" t="s">
        <v>2892</v>
      </c>
      <c r="G20" s="937">
        <f ca="1">SUMIF(M15:P15,E2,M17:P17)</f>
        <v>5.3999999999999999E-2</v>
      </c>
      <c r="H20" s="2813" t="s">
        <v>2902</v>
      </c>
      <c r="I20" s="938">
        <f>SUMIF('数据-取费表'!C6:C15,E2,'数据-取费表'!F6:F15)/COUNTIF('数据-取费表'!C6:C15,E2)</f>
        <v>36.659999999999997</v>
      </c>
      <c r="J20" s="939">
        <f>IF(E2="住宅",70,IF(E2="商业",40,50))</f>
        <v>40</v>
      </c>
      <c r="K20" s="1380"/>
      <c r="L20" s="2814" t="s">
        <v>2903</v>
      </c>
      <c r="M20" s="1738">
        <f>ROUND(SUMPRODUCT((地价!A4:A22=YEAR(G19)&amp;"-"&amp;ROUNDUP(MONTH(G19)/3,0))*(地价!B2:F2=E2)*(地价!B4:F22)),0)</f>
        <v>333</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1.8629</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1.0271999999999999</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f ca="1">E29+SUM(E33:E39)</f>
        <v>73619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f ca="1">ROUND(C5*C18*C19*C20*C21*C24,0)</f>
        <v>30986</v>
      </c>
      <c r="D29" s="3010">
        <f>'数据-汇总表'!F27</f>
        <v>22291.280000000002</v>
      </c>
      <c r="E29" s="945">
        <f ca="1">ROUND(C29*D29/10000,0)</f>
        <v>69072</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f ca="1">ROUND(IF(E2="工业",C29*M39,C29*M38),0)</f>
        <v>7747</v>
      </c>
      <c r="D30" s="2858"/>
      <c r="E30" s="945">
        <f ca="1">ROUND(C30*D30/10000,0)</f>
        <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98" t="s">
        <v>2934</v>
      </c>
      <c r="B33" s="2868" t="s">
        <v>2935</v>
      </c>
      <c r="C33" s="206">
        <f ca="1">ROUND(D5*C19*C20*C24*F33,0)</f>
        <v>11643</v>
      </c>
      <c r="D33" s="2852">
        <f>'数据-汇总表'!G27</f>
        <v>3905.5599999999995</v>
      </c>
      <c r="E33" s="200">
        <f ca="1">ROUND(C33*D33/10000,0)</f>
        <v>4547</v>
      </c>
      <c r="F33" s="200">
        <f>SUMIF(修正!A45:A56,G2,修正!B45:B56)</f>
        <v>0.7</v>
      </c>
      <c r="G33" s="200">
        <f t="shared" ref="G33:G39" ca="1" si="6">ROUND(IF(E2="工业",C33*$M$39,C33*$M$38),0)</f>
        <v>2911</v>
      </c>
      <c r="H33" s="200">
        <f>D33</f>
        <v>3905.5599999999995</v>
      </c>
      <c r="I33" s="200">
        <f ca="1">ROUND(G33*H33/10000,0)</f>
        <v>1137</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9"/>
      <c r="B34" s="2772" t="s">
        <v>2936</v>
      </c>
      <c r="C34" s="206">
        <f ca="1">ROUND(D5*C19*C20*C24*F34,0)</f>
        <v>6653</v>
      </c>
      <c r="D34" s="2852"/>
      <c r="E34" s="200">
        <f t="shared" ref="E34:E39" ca="1" si="7">ROUND(C34*D34/10000,0)</f>
        <v>0</v>
      </c>
      <c r="F34" s="200">
        <f>SUMIF(修正!A45:A56,G2,修正!C45:C56)</f>
        <v>0.4</v>
      </c>
      <c r="G34" s="200">
        <f t="shared" ca="1" si="6"/>
        <v>1663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9"/>
      <c r="B35" s="2772" t="s">
        <v>2937</v>
      </c>
      <c r="C35" s="206">
        <f ca="1">ROUND(D5*C19*C20*C24*F35,0)</f>
        <v>4657</v>
      </c>
      <c r="D35" s="2852"/>
      <c r="E35" s="200">
        <f t="shared" ca="1" si="7"/>
        <v>0</v>
      </c>
      <c r="F35" s="200">
        <f>SUMIF(修正!A45:A56,G2,修正!D45:D56)</f>
        <v>0.28000000000000003</v>
      </c>
      <c r="G35" s="200">
        <f t="shared" ca="1" si="6"/>
        <v>1164</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300"/>
      <c r="B36" s="2772" t="s">
        <v>2938</v>
      </c>
      <c r="C36" s="206">
        <f ca="1">ROUND(D5*C19*C20*C24*F36,0)</f>
        <v>4158</v>
      </c>
      <c r="D36" s="2852"/>
      <c r="E36" s="200">
        <f t="shared" ca="1" si="7"/>
        <v>0</v>
      </c>
      <c r="F36" s="200">
        <f>SUMIF(修正!A45:A56,G2,修正!E45:E56)</f>
        <v>0.25</v>
      </c>
      <c r="G36" s="200">
        <f t="shared" ca="1" si="6"/>
        <v>1040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f ca="1">ROUND(C5*C19*C20*C24*F37,0)</f>
        <v>4158</v>
      </c>
      <c r="D37" s="2852"/>
      <c r="E37" s="200">
        <f t="shared" ca="1" si="7"/>
        <v>0</v>
      </c>
      <c r="F37" s="206">
        <f>SUMIF(修正!A45:A56,G2,修正!F45:F56)</f>
        <v>0.25</v>
      </c>
      <c r="G37" s="200">
        <f t="shared" ca="1" si="6"/>
        <v>1040</v>
      </c>
      <c r="H37" s="200">
        <f t="shared" si="8"/>
        <v>0</v>
      </c>
      <c r="I37" s="200">
        <f t="shared" ca="1" si="9"/>
        <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f ca="1">ROUND(C5*C19*C20*C24*F38,0)</f>
        <v>4158</v>
      </c>
      <c r="D38" s="2852"/>
      <c r="E38" s="200">
        <f t="shared" ca="1" si="7"/>
        <v>0</v>
      </c>
      <c r="F38" s="206">
        <f>SUMIF(修正!A45:A56,G2,修正!G45:G56)</f>
        <v>0.25</v>
      </c>
      <c r="G38" s="200">
        <f t="shared" ca="1" si="6"/>
        <v>1040</v>
      </c>
      <c r="H38" s="200">
        <f t="shared" si="8"/>
        <v>0</v>
      </c>
      <c r="I38" s="200">
        <f t="shared" ca="1" si="9"/>
        <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f ca="1">ROUND(C5*C19*C20*C24*F39,0)</f>
        <v>3327</v>
      </c>
      <c r="D39" s="2858"/>
      <c r="E39" s="229">
        <f t="shared" ca="1" si="7"/>
        <v>0</v>
      </c>
      <c r="F39" s="935">
        <f>SUMIF(修正!A45:A56,G2,修正!H45:H56)</f>
        <v>0.2</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1.0271999999999999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t="s">
        <v>3729</v>
      </c>
      <c r="D48" s="1289">
        <f t="shared" ref="D48:D56" si="10">SUMIF($J$47:$N$47,C48,J48:N48)</f>
        <v>0</v>
      </c>
      <c r="E48" s="821">
        <f>ROUND(SUM(D48:D56),4)</f>
        <v>2.7199999999999998E-2</v>
      </c>
      <c r="F48" s="2508">
        <f>IF(E2="商业",SUMIF(L1:L12,G2,N1:N12),"——")</f>
        <v>9.8000000000000004E-2</v>
      </c>
      <c r="G48" s="1287">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t="s">
        <v>3730</v>
      </c>
      <c r="D49" s="1289">
        <f t="shared" si="10"/>
        <v>1.2200000000000001E-2</v>
      </c>
      <c r="E49" s="822"/>
      <c r="F49" s="2508"/>
      <c r="G49" s="1287">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t="s">
        <v>3729</v>
      </c>
      <c r="D50" s="1289">
        <f t="shared" si="10"/>
        <v>0</v>
      </c>
      <c r="E50" s="822"/>
      <c r="F50" s="2508"/>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2957</v>
      </c>
      <c r="B51" s="2890" t="s">
        <v>2958</v>
      </c>
      <c r="C51" s="2777" t="s">
        <v>3730</v>
      </c>
      <c r="D51" s="1289">
        <f t="shared" si="10"/>
        <v>2.3999999999999998E-3</v>
      </c>
      <c r="E51" s="822"/>
      <c r="F51" s="2508"/>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t="s">
        <v>3731</v>
      </c>
      <c r="D52" s="1289">
        <f t="shared" si="10"/>
        <v>-3.8999999999999998E-3</v>
      </c>
      <c r="E52" s="822"/>
      <c r="F52" s="2508"/>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2960</v>
      </c>
      <c r="B53" s="2891" t="s">
        <v>2961</v>
      </c>
      <c r="C53" s="2777" t="s">
        <v>3730</v>
      </c>
      <c r="D53" s="1289">
        <f t="shared" si="10"/>
        <v>1.4E-3</v>
      </c>
      <c r="E53" s="822"/>
      <c r="F53" s="2508"/>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t="s">
        <v>3730</v>
      </c>
      <c r="D54" s="1289">
        <f t="shared" si="10"/>
        <v>2.3999999999999998E-3</v>
      </c>
      <c r="E54" s="822"/>
      <c r="F54" s="2508"/>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t="s">
        <v>3732</v>
      </c>
      <c r="D55" s="1289">
        <f t="shared" si="10"/>
        <v>9.7999999999999997E-3</v>
      </c>
      <c r="E55" s="822"/>
      <c r="F55" s="2508"/>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t="s">
        <v>3730</v>
      </c>
      <c r="D56" s="1289">
        <f t="shared" si="10"/>
        <v>2.8999999999999998E-3</v>
      </c>
      <c r="E56" s="825"/>
      <c r="F56" s="2508"/>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2600</v>
      </c>
      <c r="K80" s="603" t="s">
        <v>2601</v>
      </c>
      <c r="L80" s="603" t="s">
        <v>2602</v>
      </c>
      <c r="M80" s="603" t="s">
        <v>2603</v>
      </c>
      <c r="N80" s="603" t="s">
        <v>2604</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92" t="s">
        <v>2976</v>
      </c>
      <c r="B90" s="3292"/>
      <c r="C90" s="3292"/>
      <c r="D90" s="3292"/>
      <c r="E90" s="3292"/>
      <c r="F90" s="3292"/>
      <c r="G90" s="3292"/>
      <c r="H90" s="3292"/>
      <c r="I90" s="3292"/>
      <c r="J90" s="3292"/>
      <c r="K90" s="2899"/>
      <c r="L90" s="2899"/>
      <c r="M90" s="2899"/>
      <c r="N90" s="2899"/>
    </row>
    <row r="91" spans="1:37">
      <c r="A91" s="3294" t="s">
        <v>2977</v>
      </c>
      <c r="B91" s="3294" t="s">
        <v>2978</v>
      </c>
      <c r="C91" s="2853" t="s">
        <v>2979</v>
      </c>
      <c r="D91" s="2854"/>
      <c r="E91" s="2854"/>
      <c r="F91" s="2854"/>
      <c r="G91" s="2854"/>
      <c r="H91" s="2854"/>
      <c r="I91" s="2854"/>
      <c r="J91" s="2900"/>
      <c r="K91" s="2901"/>
      <c r="L91" s="2901"/>
      <c r="M91" s="2901"/>
      <c r="N91" s="2901"/>
    </row>
    <row r="92" spans="1:37">
      <c r="A92" s="3294"/>
      <c r="B92" s="329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95"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96"/>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96"/>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96"/>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96"/>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96"/>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96"/>
      <c r="B99" s="2902" t="s">
        <v>2859</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97"/>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95" t="s">
        <v>2981</v>
      </c>
      <c r="B101" s="2906" t="s">
        <v>2982</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96"/>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96"/>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96"/>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96"/>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96"/>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96"/>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96"/>
      <c r="B108" s="3175"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97"/>
      <c r="B109" s="3176"/>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293" t="s">
        <v>2984</v>
      </c>
      <c r="B110" s="3293"/>
      <c r="C110" s="3293"/>
      <c r="D110" s="3293"/>
      <c r="E110" s="3293"/>
      <c r="F110" s="3293"/>
      <c r="G110" s="3293"/>
      <c r="H110" s="3293"/>
      <c r="I110" s="3293"/>
      <c r="J110" s="3293"/>
      <c r="K110" s="2908"/>
      <c r="L110" s="2908"/>
      <c r="M110" s="2908"/>
      <c r="N110" s="2908"/>
    </row>
    <row r="112" spans="1:14" ht="13.5" thickBot="1"/>
    <row r="113" spans="1:13" ht="25.5" thickBot="1">
      <c r="A113" s="903" t="s">
        <v>2985</v>
      </c>
      <c r="B113" s="1290">
        <f>G3</f>
        <v>2.5</v>
      </c>
      <c r="C113" s="904" t="s">
        <v>2986</v>
      </c>
      <c r="D113" s="905">
        <f>SUMPRODUCT((A115:A118=F113)*(B114:M114=H113)*B115:M118)</f>
        <v>0.80589999999999995</v>
      </c>
      <c r="E113" s="2731" t="s">
        <v>2817</v>
      </c>
      <c r="F113" s="2910" t="str">
        <f>E2</f>
        <v>商业</v>
      </c>
      <c r="G113" s="2731" t="s">
        <v>2818</v>
      </c>
      <c r="H113" s="2910" t="str">
        <f>G2</f>
        <v>五级</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2882</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2883</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7967</v>
      </c>
      <c r="C2" s="1848" t="s">
        <v>1516</v>
      </c>
      <c r="D2" s="1848"/>
      <c r="E2" s="1849"/>
      <c r="F2" s="1850"/>
      <c r="G2" s="1851"/>
      <c r="H2" s="1843"/>
      <c r="I2" s="1843"/>
      <c r="J2" s="1843"/>
      <c r="K2" s="1844"/>
      <c r="L2" s="1843"/>
      <c r="M2" s="1843"/>
    </row>
    <row r="3" spans="1:37" ht="18" customHeight="1" thickBot="1">
      <c r="A3" s="1852" t="s">
        <v>1517</v>
      </c>
      <c r="B3" s="1853">
        <f ca="1">IF(ISERROR(B2*10000/F43),0,ROUND(B2*10000/F43,0))</f>
        <v>18251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457</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456</v>
      </c>
      <c r="D6" s="164" t="s">
        <v>3035</v>
      </c>
      <c r="E6" s="347" t="s">
        <v>1405</v>
      </c>
      <c r="F6" s="348">
        <f ca="1">INDIRECT("'数据-取费表'!u"&amp;$G$1)</f>
        <v>3.18</v>
      </c>
      <c r="G6" s="1854"/>
      <c r="H6" s="1294" t="s">
        <v>1035</v>
      </c>
      <c r="I6" s="3209" t="s">
        <v>1403</v>
      </c>
      <c r="J6" s="346">
        <f ca="1">ROUND(M6*M8*M7*(1-M9)/10000,0)</f>
        <v>0</v>
      </c>
      <c r="K6" s="164" t="s">
        <v>3034</v>
      </c>
      <c r="L6" s="347" t="s">
        <v>1405</v>
      </c>
      <c r="M6" s="348">
        <f ca="1">INDIRECT("'数据-取费表'!z"&amp;$G$1)</f>
        <v>0</v>
      </c>
    </row>
    <row r="7" spans="1:37" ht="18" customHeight="1">
      <c r="A7" s="1298"/>
      <c r="B7" s="3210"/>
      <c r="C7" s="1300"/>
      <c r="D7" s="352"/>
      <c r="E7" s="2952" t="s">
        <v>1406</v>
      </c>
      <c r="F7" s="348">
        <f ca="1">IF(INDIRECT("'数据-取费表'!ah"&amp;$G$1)="",INDIRECT("'数据-取费表'!k"&amp;$G$1),INDIRECT("'数据-取费表'!ah"&amp;$G$1))</f>
        <v>4365.2</v>
      </c>
      <c r="G7" s="1854"/>
      <c r="H7" s="349"/>
      <c r="I7" s="3210"/>
      <c r="J7" s="351"/>
      <c r="K7" s="352"/>
      <c r="L7" s="347" t="s">
        <v>1406</v>
      </c>
      <c r="M7" s="348">
        <f ca="1">F7</f>
        <v>4365.2</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3043</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1738</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1135</v>
      </c>
      <c r="D14" s="2955" t="s">
        <v>1418</v>
      </c>
      <c r="E14" s="2954"/>
      <c r="F14" s="364"/>
      <c r="G14" s="1854"/>
      <c r="H14" s="1204" t="s">
        <v>1035</v>
      </c>
      <c r="I14" s="347" t="s">
        <v>1419</v>
      </c>
      <c r="J14" s="24">
        <f ca="1">C29</f>
        <v>1773</v>
      </c>
      <c r="K14" s="2951"/>
      <c r="L14" s="982"/>
      <c r="M14" s="983"/>
    </row>
    <row r="15" spans="1:37" s="1861" customFormat="1" ht="18" customHeight="1" thickBot="1">
      <c r="A15" s="1204" t="s">
        <v>1036</v>
      </c>
      <c r="B15" s="347" t="s">
        <v>1420</v>
      </c>
      <c r="C15" s="24">
        <f ca="1">ROUND(C14*F15,0)</f>
        <v>45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42</v>
      </c>
      <c r="K16" s="1340" t="s">
        <v>1425</v>
      </c>
      <c r="L16" s="2957"/>
      <c r="M16" s="1297"/>
    </row>
    <row r="17" spans="1:37" s="1861" customFormat="1" ht="18" customHeight="1">
      <c r="A17" s="1204" t="s">
        <v>1390</v>
      </c>
      <c r="B17" s="347" t="s">
        <v>1426</v>
      </c>
      <c r="C17" s="24">
        <f ca="1">ROUND(F17*(F43+INDIRECT("'数据-取费表'!S"&amp;$G$1))/10000,0)</f>
        <v>87</v>
      </c>
      <c r="D17" s="347" t="s">
        <v>1427</v>
      </c>
      <c r="E17" s="347" t="s">
        <v>1428</v>
      </c>
      <c r="F17" s="26">
        <f>'数据-取费表'!B35</f>
        <v>200</v>
      </c>
      <c r="G17" s="1857"/>
      <c r="H17" s="1204" t="s">
        <v>1035</v>
      </c>
      <c r="I17" s="347" t="s">
        <v>1429</v>
      </c>
      <c r="J17" s="24">
        <f ca="1">ROUND(IF(项目基本情况!B11="自然人",J5*M17,J18+J19+J20),1)</f>
        <v>15.3</v>
      </c>
      <c r="K17" s="2955" t="s">
        <v>1430</v>
      </c>
      <c r="L17" s="295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v>
      </c>
      <c r="D18" s="347" t="s">
        <v>1421</v>
      </c>
      <c r="E18" s="347" t="s">
        <v>1422</v>
      </c>
      <c r="F18" s="367">
        <f>'数据-取费表'!B36</f>
        <v>1.4999999999999999E-2</v>
      </c>
      <c r="G18" s="1857"/>
      <c r="H18" s="1204" t="s">
        <v>1034</v>
      </c>
      <c r="I18" s="347" t="s">
        <v>1433</v>
      </c>
      <c r="J18" s="24">
        <f ca="1">ROUND(J5*M18/(1+'数据-取费表'!C42),2)</f>
        <v>0</v>
      </c>
      <c r="K18" s="295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1284</v>
      </c>
      <c r="D19" s="140" t="s">
        <v>1436</v>
      </c>
      <c r="E19" s="2950"/>
      <c r="F19" s="26"/>
      <c r="G19" s="1854"/>
      <c r="H19" s="1204" t="s">
        <v>1036</v>
      </c>
      <c r="I19" s="347" t="s">
        <v>1437</v>
      </c>
      <c r="J19" s="24">
        <f ca="1">IF(K19="按租金收入计税",ROUND(J5*M19,2),ROUND(C29*M19*0.7,2))</f>
        <v>14.89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v>
      </c>
      <c r="D20" s="369" t="s">
        <v>1440</v>
      </c>
      <c r="E20" s="347" t="s">
        <v>1422</v>
      </c>
      <c r="F20" s="367">
        <f>'数据-取费表'!B37</f>
        <v>0.02</v>
      </c>
      <c r="G20" s="1857"/>
      <c r="H20" s="1204" t="s">
        <v>1389</v>
      </c>
      <c r="I20" s="164" t="s">
        <v>1441</v>
      </c>
      <c r="J20" s="25">
        <f ca="1">ROUND(M20*M21/10000,2)</f>
        <v>0.45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1488.3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26.6</v>
      </c>
      <c r="K22" s="295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6"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-42</v>
      </c>
      <c r="K25" s="1348" t="s">
        <v>1464</v>
      </c>
      <c r="L25" s="1349"/>
      <c r="M25" s="1350"/>
    </row>
    <row r="26" spans="1:37">
      <c r="A26" s="1204" t="s">
        <v>1034</v>
      </c>
      <c r="B26" s="347" t="s">
        <v>1465</v>
      </c>
      <c r="C26" s="24">
        <f ca="1">ROUND((C19+C20)*F26,0)</f>
        <v>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1773</v>
      </c>
      <c r="D29" s="1345"/>
      <c r="E29" s="1343"/>
      <c r="F29" s="1346"/>
      <c r="G29" s="1857"/>
      <c r="H29" s="380" t="s">
        <v>1033</v>
      </c>
      <c r="I29" s="381" t="s">
        <v>1479</v>
      </c>
      <c r="J29" s="382">
        <f ca="1">ROUND(J26/(1+F40)^F41,0)</f>
        <v>0</v>
      </c>
      <c r="K29" s="383" t="s">
        <v>1480</v>
      </c>
      <c r="L29" s="384"/>
      <c r="M29" s="385">
        <f ca="1">INDIRECT("'数据-取费表'!k"&amp;$G$1)</f>
        <v>4365.2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118</v>
      </c>
      <c r="D30" s="1340" t="s">
        <v>1425</v>
      </c>
      <c r="E30" s="2957"/>
      <c r="F30" s="1297"/>
      <c r="G30" s="1854"/>
      <c r="H30" s="745"/>
      <c r="I30" s="746"/>
      <c r="J30" s="747"/>
      <c r="K30" s="748"/>
      <c r="L30" s="749"/>
      <c r="M30" s="750"/>
    </row>
    <row r="31" spans="1:37" ht="18" customHeight="1">
      <c r="A31" s="1204" t="s">
        <v>1035</v>
      </c>
      <c r="B31" s="347" t="s">
        <v>1429</v>
      </c>
      <c r="C31" s="24">
        <f ca="1">ROUND(IF(项目基本情况!B11="自然人",C5*F31,C32+C33+C34),1)</f>
        <v>79.7</v>
      </c>
      <c r="D31" s="2955" t="s">
        <v>1430</v>
      </c>
      <c r="E31" s="295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24.37</v>
      </c>
      <c r="D32" s="295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54.84</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0.45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1488.3</v>
      </c>
      <c r="G35" s="1854"/>
      <c r="H35" s="745"/>
      <c r="I35" s="1863"/>
      <c r="J35" s="1864"/>
      <c r="K35" s="1865"/>
      <c r="L35" s="1862"/>
      <c r="M35" s="1862"/>
    </row>
    <row r="36" spans="1:18" ht="18" customHeight="1">
      <c r="A36" s="1355" t="s">
        <v>1039</v>
      </c>
      <c r="B36" s="347" t="s">
        <v>1449</v>
      </c>
      <c r="C36" s="24">
        <f ca="1">ROUND(C29*F36,1)</f>
        <v>26.6</v>
      </c>
      <c r="D36" s="295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2956"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9.1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7931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18169</v>
      </c>
      <c r="D43" s="383" t="s">
        <v>1488</v>
      </c>
      <c r="E43" s="384" t="s">
        <v>1489</v>
      </c>
      <c r="F43" s="385">
        <f ca="1">INDIRECT("'数据-取费表'!k"&amp;$G$1)</f>
        <v>4365.2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-10728</v>
      </c>
      <c r="D46" s="1875" t="str">
        <f>C2</f>
        <v>万元</v>
      </c>
      <c r="E46" s="1869"/>
      <c r="F46" s="1869"/>
      <c r="I46" s="1876" t="s">
        <v>1521</v>
      </c>
      <c r="J46" s="1877"/>
      <c r="K46" s="1878"/>
      <c r="L46" s="1879">
        <f ca="1">IF(M47="住宅",0,IF(L48&gt;J51,L60,J60))</f>
        <v>36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7931</v>
      </c>
      <c r="R47" s="1889" t="s">
        <v>1529</v>
      </c>
    </row>
    <row r="48" spans="1:18" s="1845" customFormat="1" ht="28.5" thickBot="1">
      <c r="A48" s="1363" t="s">
        <v>1135</v>
      </c>
      <c r="B48" s="345" t="s">
        <v>1401</v>
      </c>
      <c r="C48" s="2949">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36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2017</v>
      </c>
      <c r="K49" s="1892" t="s">
        <v>1535</v>
      </c>
      <c r="L49" s="1896"/>
      <c r="O49" s="1897" t="s">
        <v>1042</v>
      </c>
      <c r="P49" s="1888" t="s">
        <v>1536</v>
      </c>
      <c r="Q49" s="1889">
        <f ca="1">C29</f>
        <v>1773</v>
      </c>
      <c r="R49" s="1889" t="s">
        <v>1529</v>
      </c>
    </row>
    <row r="50" spans="1:18" s="1845" customFormat="1" ht="13.5" thickBot="1">
      <c r="A50" s="1198"/>
      <c r="B50" s="1201"/>
      <c r="C50" s="1371"/>
      <c r="D50" s="1175"/>
      <c r="E50" s="1280" t="s">
        <v>1406</v>
      </c>
      <c r="F50" s="1281">
        <f ca="1">F7</f>
        <v>4365.2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3331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12" t="s">
        <v>1548</v>
      </c>
      <c r="L53" s="3213"/>
      <c r="O53" s="1887" t="s">
        <v>1046</v>
      </c>
      <c r="P53" s="1888" t="s">
        <v>1549</v>
      </c>
      <c r="Q53" s="1889">
        <f ca="1">Q47+Q48</f>
        <v>7967</v>
      </c>
      <c r="R53" s="1889" t="s">
        <v>1047</v>
      </c>
    </row>
    <row r="54" spans="1:18" s="1845" customFormat="1" ht="13.5" thickBot="1">
      <c r="A54" s="1409"/>
      <c r="B54" s="1828" t="s">
        <v>1388</v>
      </c>
      <c r="C54" s="1181"/>
      <c r="D54" s="1827"/>
      <c r="E54" s="295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3"/>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1738</v>
      </c>
      <c r="D56" s="1917"/>
      <c r="E56" s="1918"/>
      <c r="F56" s="1910"/>
      <c r="I56" s="1919" t="s">
        <v>1554</v>
      </c>
      <c r="J56" s="1920" t="s">
        <v>3700</v>
      </c>
      <c r="K56" s="1890" t="s">
        <v>1555</v>
      </c>
      <c r="L56" s="1893" t="str">
        <f ca="1">IF(L48&lt;J51,"——",L48-J53)</f>
        <v>——</v>
      </c>
      <c r="O56" s="1887" t="s">
        <v>1040</v>
      </c>
      <c r="P56" s="1888" t="s">
        <v>1528</v>
      </c>
      <c r="Q56" s="1889">
        <f ca="1">C40+J29</f>
        <v>7931</v>
      </c>
      <c r="R56" s="1889" t="s">
        <v>1529</v>
      </c>
    </row>
    <row r="57" spans="1:18" s="1845" customFormat="1" ht="24.75" thickBot="1">
      <c r="A57" s="1921"/>
      <c r="B57" s="1172" t="s">
        <v>1478</v>
      </c>
      <c r="C57" s="282">
        <f ca="1">C29</f>
        <v>1773</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149.4</v>
      </c>
      <c r="D59" s="1185" t="s">
        <v>1430</v>
      </c>
      <c r="E59" s="1186" t="s">
        <v>1431</v>
      </c>
      <c r="F59" s="368" t="str">
        <f ca="1">IF(项目基本情况!B11="企业","",IF(INDIRECT("'数据-取费表'!c"&amp;$G$1)="住宅",5%,IF(F49*F50*F51/12/(1+'数据-取费表'!C42)&gt;20000,12%,7%)))</f>
        <v/>
      </c>
      <c r="I59" s="1925" t="s">
        <v>1563</v>
      </c>
      <c r="J59" s="1926">
        <f ca="1">IF(OR(M47="住宅",J51&lt;L48,J56="是"),"——",ROUND(C29*J58,0))</f>
        <v>709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148.93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0.45</v>
      </c>
      <c r="D62" s="1187" t="s">
        <v>1442</v>
      </c>
      <c r="E62" s="1172" t="s">
        <v>1443</v>
      </c>
      <c r="F62" s="371">
        <f t="shared" si="0"/>
        <v>3</v>
      </c>
      <c r="I62" s="1932" t="s">
        <v>1570</v>
      </c>
      <c r="J62" s="1933" t="s">
        <v>1571</v>
      </c>
      <c r="K62" s="1933" t="s">
        <v>1572</v>
      </c>
      <c r="L62" s="1933" t="s">
        <v>1573</v>
      </c>
      <c r="M62" s="1934" t="s">
        <v>1574</v>
      </c>
      <c r="O62" s="1887" t="s">
        <v>1046</v>
      </c>
      <c r="P62" s="1888" t="s">
        <v>1575</v>
      </c>
      <c r="Q62" s="1889">
        <f ca="1">Q56+Q57</f>
        <v>7931</v>
      </c>
      <c r="R62" s="1889" t="s">
        <v>1047</v>
      </c>
    </row>
    <row r="63" spans="1:18" s="1845" customFormat="1" ht="13.5" thickBot="1">
      <c r="A63" s="372"/>
      <c r="B63" s="1178"/>
      <c r="C63" s="29"/>
      <c r="D63" s="1188"/>
      <c r="E63" s="1172" t="s">
        <v>1447</v>
      </c>
      <c r="F63" s="348">
        <f t="shared" ca="1" si="0"/>
        <v>1488.3</v>
      </c>
      <c r="I63" s="1932" t="s">
        <v>1576</v>
      </c>
      <c r="J63" s="1933">
        <v>70</v>
      </c>
      <c r="K63" s="1933">
        <v>50</v>
      </c>
      <c r="L63" s="1933">
        <v>80</v>
      </c>
      <c r="M63" s="1935">
        <v>0.02</v>
      </c>
      <c r="O63" s="1872" t="s">
        <v>1577</v>
      </c>
      <c r="P63" s="1842"/>
      <c r="Q63" s="1842"/>
      <c r="R63" s="1842"/>
    </row>
    <row r="64" spans="1:18" s="1845" customFormat="1" ht="13.5" thickBot="1">
      <c r="A64" s="1204" t="s">
        <v>1039</v>
      </c>
      <c r="B64" s="1172" t="s">
        <v>1501</v>
      </c>
      <c r="C64" s="24">
        <f ca="1">ROUND(C57*F64,1)</f>
        <v>26.6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1528</v>
      </c>
      <c r="Q65" s="1889">
        <f ca="1">C40+J29</f>
        <v>7931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-179</v>
      </c>
      <c r="D67" s="1185" t="s">
        <v>1464</v>
      </c>
      <c r="E67" s="1190"/>
      <c r="F67" s="1191"/>
      <c r="O67" s="1897" t="s">
        <v>1042</v>
      </c>
      <c r="P67" s="1888" t="s">
        <v>1562</v>
      </c>
      <c r="Q67" s="1936">
        <f ca="1">L51</f>
        <v>3331</v>
      </c>
      <c r="R67" s="1889" t="s">
        <v>1582</v>
      </c>
    </row>
    <row r="68" spans="1:18" s="1845" customFormat="1" ht="16.5" thickBot="1">
      <c r="A68" s="1169" t="s">
        <v>1032</v>
      </c>
      <c r="B68" s="1170" t="s">
        <v>1485</v>
      </c>
      <c r="C68" s="346">
        <f ca="1">ROUND(C67*(1-((1+F70)/(1+F68))^F69)/(F68-F70),0)</f>
        <v>-2797</v>
      </c>
      <c r="D68" s="1187" t="s">
        <v>1469</v>
      </c>
      <c r="E68" s="1172" t="s">
        <v>1470</v>
      </c>
      <c r="F68" s="357">
        <f ca="1">F40</f>
        <v>5.5E-2</v>
      </c>
      <c r="O68" s="1897" t="s">
        <v>1043</v>
      </c>
      <c r="P68" s="1937" t="s">
        <v>1583</v>
      </c>
      <c r="Q68" s="1889">
        <f ca="1">ROUND(Q69-Q70*Q71,0)</f>
        <v>200</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339</v>
      </c>
      <c r="R69" s="1889" t="s">
        <v>1529</v>
      </c>
    </row>
    <row r="70" spans="1:18" s="1845" customFormat="1" ht="13.5" thickBot="1">
      <c r="A70" s="1176"/>
      <c r="B70" s="1177"/>
      <c r="C70" s="355"/>
      <c r="D70" s="1188"/>
      <c r="E70" s="1172" t="s">
        <v>1477</v>
      </c>
      <c r="F70" s="1278"/>
      <c r="O70" s="1897" t="s">
        <v>1049</v>
      </c>
      <c r="P70" s="1937" t="s">
        <v>1585</v>
      </c>
      <c r="Q70" s="1889">
        <f ca="1">C13</f>
        <v>1738</v>
      </c>
      <c r="R70" s="1889" t="s">
        <v>1529</v>
      </c>
    </row>
    <row r="71" spans="1:18" s="1845" customFormat="1" ht="13.5" thickBot="1">
      <c r="A71" s="1193" t="s">
        <v>1033</v>
      </c>
      <c r="B71" s="1194" t="s">
        <v>1487</v>
      </c>
      <c r="C71" s="382">
        <f ca="1">ROUND(C68*10000/F71,0)</f>
        <v>-6407</v>
      </c>
      <c r="D71" s="1195" t="s">
        <v>1488</v>
      </c>
      <c r="E71" s="1196" t="s">
        <v>1489</v>
      </c>
      <c r="F71" s="385">
        <f ca="1">F43</f>
        <v>4365.2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7931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0.59000000000000008</v>
      </c>
    </row>
    <row r="80" spans="1:18">
      <c r="B80" s="386" t="s">
        <v>1511</v>
      </c>
      <c r="C80" s="318">
        <f ca="1">ROUND(C75/C39,3)</f>
        <v>0.41</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5">
      <formula>$L$48&gt;$J$51</formula>
    </cfRule>
  </conditionalFormatting>
  <conditionalFormatting sqref="I55 I60">
    <cfRule type="expression" dxfId="114" priority="4">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G17" sqref="G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t="s">
        <v>1377</v>
      </c>
      <c r="E1" s="2664"/>
      <c r="F1" s="2591" t="s">
        <v>3743</v>
      </c>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f>IF(C2="——",ROUND(C49*D3/10000,0),ROUND(C49*D3/10000,0)-D2)</f>
        <v>2</v>
      </c>
      <c r="C2" s="2593" t="s">
        <v>70</v>
      </c>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f>IF(C2="——",C49,ROUND(B2*10000/D3,0))</f>
        <v>5.2</v>
      </c>
      <c r="C3" s="400" t="s">
        <v>2647</v>
      </c>
      <c r="D3" s="399">
        <f>IF(D1="",'数据-汇总表'!E3,SUMIF('数据-汇总表'!$C19:$C33,D1,'数据-汇总表'!$E19:$E33))</f>
        <v>4365.2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69" t="s">
        <v>2651</v>
      </c>
      <c r="AC4" s="3250" t="s">
        <v>2652</v>
      </c>
    </row>
    <row r="5" spans="1:29" ht="15">
      <c r="A5" s="404"/>
      <c r="B5" s="405"/>
      <c r="C5" s="3272" t="s">
        <v>2545</v>
      </c>
      <c r="D5" s="3273"/>
      <c r="E5" s="3279" t="str">
        <f>租金!A1</f>
        <v>花乡</v>
      </c>
      <c r="F5" s="3280"/>
      <c r="G5" s="3272" t="str">
        <f>租金!A2</f>
        <v>丰泽园</v>
      </c>
      <c r="H5" s="3273"/>
      <c r="I5" s="3272" t="str">
        <f>租金!A3</f>
        <v>育菲园东里</v>
      </c>
      <c r="J5" s="3273"/>
      <c r="K5" s="610"/>
      <c r="L5" s="1133"/>
      <c r="M5" s="1134"/>
      <c r="N5" s="1134"/>
      <c r="O5" s="1134"/>
      <c r="P5" s="3259"/>
      <c r="Q5" s="3260"/>
      <c r="R5" s="3265"/>
      <c r="S5" s="3266"/>
      <c r="T5" s="3265"/>
      <c r="U5" s="3266"/>
      <c r="V5" s="3269"/>
      <c r="W5" s="3269"/>
      <c r="X5" s="1816"/>
      <c r="Y5" s="3265"/>
      <c r="Z5" s="3266"/>
      <c r="AA5" s="3251"/>
      <c r="AB5" s="3269"/>
      <c r="AC5" s="3251"/>
    </row>
    <row r="6" spans="1:29" ht="15.75" thickBot="1">
      <c r="A6" s="406"/>
      <c r="B6" s="407"/>
      <c r="C6" s="3270" t="s">
        <v>2549</v>
      </c>
      <c r="D6" s="3271"/>
      <c r="E6" s="3277" t="s">
        <v>2549</v>
      </c>
      <c r="F6" s="3278"/>
      <c r="G6" s="3270" t="s">
        <v>2549</v>
      </c>
      <c r="H6" s="3271"/>
      <c r="I6" s="3270" t="s">
        <v>2549</v>
      </c>
      <c r="J6" s="3271"/>
      <c r="K6" s="610" t="s">
        <v>2550</v>
      </c>
      <c r="L6" s="1133"/>
      <c r="M6" s="1134"/>
      <c r="N6" s="1134"/>
      <c r="O6" s="1134"/>
      <c r="P6" s="3261"/>
      <c r="Q6" s="3262"/>
      <c r="R6" s="3265"/>
      <c r="S6" s="3266"/>
      <c r="T6" s="3267"/>
      <c r="U6" s="3268"/>
      <c r="V6" s="3269"/>
      <c r="W6" s="3269"/>
      <c r="X6" s="1816"/>
      <c r="Y6" s="3267"/>
      <c r="Z6" s="3268"/>
      <c r="AA6" s="3252"/>
      <c r="AB6" s="3269"/>
      <c r="AC6" s="3252"/>
    </row>
    <row r="7" spans="1:29" s="117" customFormat="1" ht="15.75" thickBot="1">
      <c r="A7" s="408" t="s">
        <v>2551</v>
      </c>
      <c r="B7" s="409"/>
      <c r="C7" s="410">
        <f>'数据-取费表'!B2</f>
        <v>43243</v>
      </c>
      <c r="D7" s="411">
        <v>100</v>
      </c>
      <c r="E7" s="412">
        <v>43221</v>
      </c>
      <c r="F7" s="413">
        <f>SUMIF(58:58,YEAR(E7)&amp;"-"&amp;MONTH(E7),59:59)</f>
        <v>100</v>
      </c>
      <c r="G7" s="412">
        <v>43221</v>
      </c>
      <c r="H7" s="411">
        <f>SUMIF(58:58,YEAR(G7)&amp;"-"&amp;MONTH(G7),59:59)</f>
        <v>100</v>
      </c>
      <c r="I7" s="412">
        <v>43221</v>
      </c>
      <c r="J7" s="411">
        <f>SUMIF(58:58,YEAR(I7)&amp;"-"&amp;MONTH(I7),59:59)</f>
        <v>100</v>
      </c>
      <c r="K7" s="611"/>
      <c r="L7" s="1135"/>
      <c r="M7" s="1136"/>
      <c r="N7" s="1136"/>
      <c r="O7" s="1136"/>
      <c r="P7" s="3274" t="s">
        <v>2552</v>
      </c>
      <c r="Q7" s="3276"/>
      <c r="R7" s="770" t="s">
        <v>17</v>
      </c>
      <c r="S7" s="771">
        <f t="shared" ref="S7:S15" si="0">F7</f>
        <v>100</v>
      </c>
      <c r="T7" s="770" t="s">
        <v>17</v>
      </c>
      <c r="U7" s="771">
        <f t="shared" ref="U7:U15" si="1">H7</f>
        <v>100</v>
      </c>
      <c r="V7" s="770" t="s">
        <v>17</v>
      </c>
      <c r="W7" s="771">
        <f t="shared" ref="W7:W15" si="2">J7</f>
        <v>100</v>
      </c>
      <c r="X7" s="772"/>
      <c r="Y7" s="3274" t="s">
        <v>2552</v>
      </c>
      <c r="Z7" s="3275"/>
      <c r="AA7" s="773">
        <f>D7/F7</f>
        <v>1</v>
      </c>
      <c r="AB7" s="773">
        <f>D7/H7</f>
        <v>1</v>
      </c>
      <c r="AC7" s="773">
        <f>D7/J7</f>
        <v>1</v>
      </c>
    </row>
    <row r="8" spans="1:29" s="117" customFormat="1" ht="15.75" thickBot="1">
      <c r="A8" s="408" t="s">
        <v>2553</v>
      </c>
      <c r="B8" s="409"/>
      <c r="C8" s="414" t="s">
        <v>2655</v>
      </c>
      <c r="D8" s="411">
        <v>100</v>
      </c>
      <c r="E8" s="2983" t="s">
        <v>3744</v>
      </c>
      <c r="F8" s="413">
        <f>SUMIF(61:61,E8,62:62)-SUMIF(61:61,C8,62:62)+100</f>
        <v>100</v>
      </c>
      <c r="G8" s="2983" t="s">
        <v>3744</v>
      </c>
      <c r="H8" s="411">
        <f>SUMIF(61:61,G8,62:62)-SUMIF(61:61,C8,62:62)+100</f>
        <v>100</v>
      </c>
      <c r="I8" s="2983" t="s">
        <v>3744</v>
      </c>
      <c r="J8" s="411">
        <f>SUMIF(61:61,I8,62:62)-SUMIF(61:61,C8,62:62)+100</f>
        <v>100</v>
      </c>
      <c r="K8" s="611"/>
      <c r="L8" s="1135"/>
      <c r="M8" s="1136"/>
      <c r="N8" s="1136"/>
      <c r="O8" s="1136"/>
      <c r="P8" s="3274" t="s">
        <v>2555</v>
      </c>
      <c r="Q8" s="3275"/>
      <c r="R8" s="770" t="s">
        <v>17</v>
      </c>
      <c r="S8" s="771">
        <f t="shared" si="0"/>
        <v>100</v>
      </c>
      <c r="T8" s="770" t="s">
        <v>17</v>
      </c>
      <c r="U8" s="771">
        <f t="shared" si="1"/>
        <v>100</v>
      </c>
      <c r="V8" s="770" t="s">
        <v>17</v>
      </c>
      <c r="W8" s="771">
        <f t="shared" si="2"/>
        <v>100</v>
      </c>
      <c r="X8" s="772"/>
      <c r="Y8" s="3274" t="s">
        <v>2555</v>
      </c>
      <c r="Z8" s="3275"/>
      <c r="AA8" s="773">
        <f t="shared" ref="AA8:AA46" si="3">D8/F8</f>
        <v>1</v>
      </c>
      <c r="AB8" s="773">
        <f t="shared" ref="AB8:AB46" si="4">D8/H8</f>
        <v>1</v>
      </c>
      <c r="AC8" s="773">
        <f t="shared" ref="AC8:AC46" si="5">D8/J8</f>
        <v>1</v>
      </c>
    </row>
    <row r="9" spans="1:29" s="117" customFormat="1">
      <c r="A9" s="415" t="s">
        <v>2556</v>
      </c>
      <c r="B9" s="71" t="s">
        <v>2557</v>
      </c>
      <c r="C9" s="2984" t="s">
        <v>3745</v>
      </c>
      <c r="D9" s="135">
        <v>100</v>
      </c>
      <c r="E9" s="2985" t="s">
        <v>3745</v>
      </c>
      <c r="F9" s="418">
        <f>SUMIF(63:63,E9,64:64)-SUMIF(63:63,C9,64:64)+100</f>
        <v>100</v>
      </c>
      <c r="G9" s="2985" t="s">
        <v>3745</v>
      </c>
      <c r="H9" s="135">
        <f>SUMIF(63:63,G9,64:64)-SUMIF(63:63,C9,64:64)+100</f>
        <v>100</v>
      </c>
      <c r="I9" s="2985" t="s">
        <v>3745</v>
      </c>
      <c r="J9" s="135">
        <f>SUMIF(63:63,I9,64:64)-SUMIF(63:63,C9,64:64)+100</f>
        <v>100</v>
      </c>
      <c r="K9" s="611"/>
      <c r="L9" s="1135"/>
      <c r="M9" s="1136"/>
      <c r="N9" s="1136"/>
      <c r="O9" s="1136"/>
      <c r="P9" s="3249"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773">
        <f t="shared" si="5"/>
        <v>1</v>
      </c>
    </row>
    <row r="10" spans="1:29" s="427" customFormat="1" ht="27">
      <c r="A10" s="421"/>
      <c r="B10" s="422" t="s">
        <v>2560</v>
      </c>
      <c r="C10" s="423" t="s">
        <v>3746</v>
      </c>
      <c r="D10" s="136">
        <v>100</v>
      </c>
      <c r="E10" s="424" t="s">
        <v>3746</v>
      </c>
      <c r="F10" s="425">
        <f>SUMIF(65:65,E10,66:66)-SUMIF(65:65,C10,66:66)+100</f>
        <v>100</v>
      </c>
      <c r="G10" s="423" t="s">
        <v>3746</v>
      </c>
      <c r="H10" s="136">
        <f>SUMIF(65:65,G10,66:66)-SUMIF(65:65,C10,66:66)+100</f>
        <v>100</v>
      </c>
      <c r="I10" s="423" t="s">
        <v>3746</v>
      </c>
      <c r="J10" s="136">
        <f>SUMIF(65:65,I10,66:66)-SUMIF(65:65,C10,66:66)+100</f>
        <v>100</v>
      </c>
      <c r="K10" s="612"/>
      <c r="L10" s="1138"/>
      <c r="M10" s="1139"/>
      <c r="N10" s="1139"/>
      <c r="O10" s="1139"/>
      <c r="P10" s="3249"/>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1"/>
      <c r="M11" s="1134"/>
      <c r="N11" s="1134"/>
      <c r="O11" s="1134"/>
      <c r="P11" s="3249"/>
      <c r="Q11" s="1798"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9"/>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9"/>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9"/>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7" t="s">
        <v>2563</v>
      </c>
      <c r="Q15" s="1813" t="str">
        <f t="shared" si="6"/>
        <v>商业繁华度</v>
      </c>
      <c r="R15" s="774" t="s">
        <v>17</v>
      </c>
      <c r="S15" s="775">
        <f t="shared" si="0"/>
        <v>100</v>
      </c>
      <c r="T15" s="774" t="s">
        <v>17</v>
      </c>
      <c r="U15" s="775">
        <f t="shared" si="1"/>
        <v>100</v>
      </c>
      <c r="V15" s="774" t="s">
        <v>17</v>
      </c>
      <c r="W15" s="775">
        <f t="shared" si="2"/>
        <v>100</v>
      </c>
      <c r="X15" s="1816"/>
      <c r="Y15" s="3240" t="s">
        <v>2563</v>
      </c>
      <c r="Z15" s="1817" t="str">
        <f t="shared" si="7"/>
        <v>商业繁华度</v>
      </c>
      <c r="AA15" s="1814">
        <f t="shared" si="3"/>
        <v>1</v>
      </c>
      <c r="AB15" s="1814">
        <f t="shared" si="4"/>
        <v>1</v>
      </c>
      <c r="AC15" s="1814">
        <f t="shared" si="5"/>
        <v>1</v>
      </c>
    </row>
    <row r="16" spans="1:29" ht="15">
      <c r="A16" s="428"/>
      <c r="B16" s="446"/>
      <c r="C16" s="447" t="s">
        <v>3729</v>
      </c>
      <c r="D16" s="448"/>
      <c r="E16" s="447" t="s">
        <v>3729</v>
      </c>
      <c r="F16" s="449"/>
      <c r="G16" s="447" t="s">
        <v>3729</v>
      </c>
      <c r="H16" s="450"/>
      <c r="I16" s="447" t="s">
        <v>3729</v>
      </c>
      <c r="J16" s="448"/>
      <c r="K16" s="615"/>
      <c r="L16" s="1143"/>
      <c r="M16" s="1134"/>
      <c r="N16" s="1134"/>
      <c r="O16" s="1134"/>
      <c r="P16" s="3248"/>
      <c r="Q16" s="1813"/>
      <c r="R16" s="774"/>
      <c r="S16" s="775"/>
      <c r="T16" s="774"/>
      <c r="U16" s="775"/>
      <c r="V16" s="774"/>
      <c r="W16" s="775"/>
      <c r="X16" s="1816"/>
      <c r="Y16" s="3241"/>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8"/>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456"/>
      <c r="C18" s="2615" t="s">
        <v>3730</v>
      </c>
      <c r="D18" s="450"/>
      <c r="E18" s="2617" t="s">
        <v>3730</v>
      </c>
      <c r="F18" s="453"/>
      <c r="G18" s="2616" t="s">
        <v>3730</v>
      </c>
      <c r="H18" s="448"/>
      <c r="I18" s="2617" t="s">
        <v>3730</v>
      </c>
      <c r="J18" s="448"/>
      <c r="K18" s="615"/>
      <c r="L18" s="1143"/>
      <c r="M18" s="1134"/>
      <c r="N18" s="1134"/>
      <c r="O18" s="1134"/>
      <c r="P18" s="3248"/>
      <c r="Q18" s="1813"/>
      <c r="R18" s="774"/>
      <c r="S18" s="775"/>
      <c r="T18" s="774"/>
      <c r="U18" s="775"/>
      <c r="V18" s="774"/>
      <c r="W18" s="775"/>
      <c r="X18" s="1816"/>
      <c r="Y18" s="3241"/>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8"/>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1814">
        <f t="shared" si="5"/>
        <v>1</v>
      </c>
    </row>
    <row r="20" spans="1:29" ht="15">
      <c r="A20" s="428"/>
      <c r="B20" s="456"/>
      <c r="C20" s="447" t="s">
        <v>3730</v>
      </c>
      <c r="D20" s="448"/>
      <c r="E20" s="2612" t="s">
        <v>3730</v>
      </c>
      <c r="F20" s="449"/>
      <c r="G20" s="2611" t="s">
        <v>3730</v>
      </c>
      <c r="H20" s="448"/>
      <c r="I20" s="2612" t="s">
        <v>3730</v>
      </c>
      <c r="J20" s="448"/>
      <c r="K20" s="615"/>
      <c r="L20" s="1143"/>
      <c r="M20" s="1134"/>
      <c r="N20" s="1134"/>
      <c r="O20" s="1134"/>
      <c r="P20" s="3248"/>
      <c r="Q20" s="1813"/>
      <c r="R20" s="774"/>
      <c r="S20" s="775"/>
      <c r="T20" s="774"/>
      <c r="U20" s="775"/>
      <c r="V20" s="774"/>
      <c r="W20" s="775"/>
      <c r="X20" s="1816"/>
      <c r="Y20" s="3241"/>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15" t="s">
        <v>3747</v>
      </c>
      <c r="D22" s="448"/>
      <c r="E22" s="2986" t="s">
        <v>3748</v>
      </c>
      <c r="F22" s="449"/>
      <c r="G22" s="2986" t="s">
        <v>3748</v>
      </c>
      <c r="H22" s="448"/>
      <c r="I22" s="2986" t="s">
        <v>3748</v>
      </c>
      <c r="J22" s="448"/>
      <c r="K22" s="1386"/>
      <c r="L22" s="1143"/>
      <c r="M22" s="1134"/>
      <c r="N22" s="1134"/>
      <c r="O22" s="1134"/>
      <c r="P22" s="3248"/>
      <c r="Q22" s="1813"/>
      <c r="R22" s="774"/>
      <c r="S22" s="775"/>
      <c r="T22" s="774"/>
      <c r="U22" s="775"/>
      <c r="V22" s="774"/>
      <c r="W22" s="775"/>
      <c r="X22" s="1816"/>
      <c r="Y22" s="3241"/>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8"/>
      <c r="Q23" s="1813" t="str">
        <f>B23</f>
        <v>自然及人文环境</v>
      </c>
      <c r="R23" s="774" t="s">
        <v>17</v>
      </c>
      <c r="S23" s="775">
        <f>F23</f>
        <v>100</v>
      </c>
      <c r="T23" s="774" t="s">
        <v>17</v>
      </c>
      <c r="U23" s="775">
        <f>H23</f>
        <v>100</v>
      </c>
      <c r="V23" s="774" t="s">
        <v>17</v>
      </c>
      <c r="W23" s="775">
        <f>J23</f>
        <v>100</v>
      </c>
      <c r="X23" s="1816"/>
      <c r="Y23" s="3241"/>
      <c r="Z23" s="1817" t="str">
        <f>Q23</f>
        <v>自然及人文环境</v>
      </c>
      <c r="AA23" s="1814">
        <f t="shared" si="3"/>
        <v>1</v>
      </c>
      <c r="AB23" s="1814">
        <f t="shared" si="4"/>
        <v>1</v>
      </c>
      <c r="AC23" s="1814">
        <f t="shared" si="5"/>
        <v>1</v>
      </c>
    </row>
    <row r="24" spans="1:29" ht="15">
      <c r="A24" s="428"/>
      <c r="B24" s="456"/>
      <c r="C24" s="447" t="s">
        <v>3730</v>
      </c>
      <c r="D24" s="448"/>
      <c r="E24" s="2987" t="s">
        <v>3749</v>
      </c>
      <c r="F24" s="449"/>
      <c r="G24" s="2988" t="s">
        <v>3749</v>
      </c>
      <c r="H24" s="448"/>
      <c r="I24" s="2987" t="s">
        <v>3750</v>
      </c>
      <c r="J24" s="448"/>
      <c r="K24" s="615"/>
      <c r="L24" s="1143"/>
      <c r="M24" s="1134"/>
      <c r="N24" s="1134"/>
      <c r="O24" s="1134"/>
      <c r="P24" s="3248"/>
      <c r="Q24" s="1813"/>
      <c r="R24" s="774"/>
      <c r="S24" s="775"/>
      <c r="T24" s="774"/>
      <c r="U24" s="775"/>
      <c r="V24" s="774"/>
      <c r="W24" s="775"/>
      <c r="X24" s="1816"/>
      <c r="Y24" s="3241"/>
      <c r="Z24" s="1817"/>
      <c r="AA24" s="1814">
        <v>1</v>
      </c>
      <c r="AB24" s="1814">
        <v>1</v>
      </c>
      <c r="AC24" s="1814">
        <v>1</v>
      </c>
    </row>
    <row r="25" spans="1:29" ht="15">
      <c r="A25" s="428"/>
      <c r="B25" s="422" t="s">
        <v>2659</v>
      </c>
      <c r="C25" s="2989" t="s">
        <v>3751</v>
      </c>
      <c r="D25" s="435">
        <v>100</v>
      </c>
      <c r="E25" s="2989" t="s">
        <v>3752</v>
      </c>
      <c r="F25" s="461">
        <f>SUMIF(86:86,E25,87:87)-SUMIF(86:86,C25,87:87)+100</f>
        <v>100</v>
      </c>
      <c r="G25" s="2989" t="s">
        <v>3753</v>
      </c>
      <c r="H25" s="435">
        <f>SUMIF(86:86,G25,87:87)-SUMIF(86:86,C25,87:87)+100</f>
        <v>100</v>
      </c>
      <c r="I25" s="2989" t="s">
        <v>3754</v>
      </c>
      <c r="J25" s="435">
        <f>SUMIF(86:86,I25,87:87)-SUMIF(86:86,C25,87:87)+100</f>
        <v>100</v>
      </c>
      <c r="K25" s="612"/>
      <c r="L25" s="1143"/>
      <c r="M25" s="1134"/>
      <c r="N25" s="1134"/>
      <c r="O25" s="1134"/>
      <c r="P25" s="3248"/>
      <c r="Q25" s="1813" t="str">
        <f t="shared" ref="Q25:Q46" si="11">B25</f>
        <v>临街状况</v>
      </c>
      <c r="R25" s="774" t="s">
        <v>17</v>
      </c>
      <c r="S25" s="775">
        <f>F25</f>
        <v>100</v>
      </c>
      <c r="T25" s="774" t="s">
        <v>17</v>
      </c>
      <c r="U25" s="775">
        <f>H25</f>
        <v>100</v>
      </c>
      <c r="V25" s="774" t="s">
        <v>17</v>
      </c>
      <c r="W25" s="775">
        <f>J25</f>
        <v>100</v>
      </c>
      <c r="X25" s="1816"/>
      <c r="Y25" s="3241"/>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8"/>
      <c r="Q26" s="1813" t="str">
        <f t="shared" si="11"/>
        <v>平面位置/可视性</v>
      </c>
      <c r="R26" s="774" t="s">
        <v>17</v>
      </c>
      <c r="S26" s="775">
        <f>F26</f>
        <v>100</v>
      </c>
      <c r="T26" s="774" t="s">
        <v>17</v>
      </c>
      <c r="U26" s="775">
        <f>H26</f>
        <v>100</v>
      </c>
      <c r="V26" s="774" t="s">
        <v>17</v>
      </c>
      <c r="W26" s="775">
        <f>J26</f>
        <v>100</v>
      </c>
      <c r="X26" s="1816"/>
      <c r="Y26" s="3241"/>
      <c r="Z26" s="1817" t="str">
        <f>Q26</f>
        <v>平面位置/可视性</v>
      </c>
      <c r="AA26" s="1814">
        <f t="shared" si="3"/>
        <v>1</v>
      </c>
      <c r="AB26" s="1814">
        <f t="shared" si="4"/>
        <v>1</v>
      </c>
      <c r="AC26" s="1814">
        <f t="shared" si="5"/>
        <v>1</v>
      </c>
    </row>
    <row r="27" spans="1:29" s="117" customFormat="1" ht="15">
      <c r="A27" s="431"/>
      <c r="B27" s="451" t="s">
        <v>2661</v>
      </c>
      <c r="C27" s="2990" t="s">
        <v>3755</v>
      </c>
      <c r="D27" s="462">
        <v>100</v>
      </c>
      <c r="E27" s="2990" t="s">
        <v>3755</v>
      </c>
      <c r="F27" s="464">
        <f>SUMIF(90:90,E27,91:91)-SUMIF(90:90,C27,91:91)+100</f>
        <v>100</v>
      </c>
      <c r="G27" s="2990" t="s">
        <v>3755</v>
      </c>
      <c r="H27" s="462">
        <f>SUMIF(90:90,G27,91:91)-SUMIF(90:90,C27,91:91)+100</f>
        <v>100</v>
      </c>
      <c r="I27" s="2990" t="s">
        <v>3755</v>
      </c>
      <c r="J27" s="462">
        <f>SUMIF(90:90,I27,91:91)-SUMIF(90:90,C27,91:91)+100</f>
        <v>100</v>
      </c>
      <c r="K27" s="612"/>
      <c r="L27" s="1135"/>
      <c r="M27" s="1136"/>
      <c r="N27" s="1136"/>
      <c r="O27" s="1136"/>
      <c r="P27" s="3248"/>
      <c r="Q27" s="1798" t="str">
        <f t="shared" si="11"/>
        <v>人流量</v>
      </c>
      <c r="R27" s="770" t="s">
        <v>17</v>
      </c>
      <c r="S27" s="771">
        <f>F27</f>
        <v>100</v>
      </c>
      <c r="T27" s="770" t="s">
        <v>17</v>
      </c>
      <c r="U27" s="771">
        <f>H27</f>
        <v>100</v>
      </c>
      <c r="V27" s="770" t="s">
        <v>17</v>
      </c>
      <c r="W27" s="771">
        <f>J27</f>
        <v>100</v>
      </c>
      <c r="X27" s="772"/>
      <c r="Y27" s="3241"/>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8"/>
      <c r="Q29" s="1813">
        <f t="shared" si="11"/>
        <v>111</v>
      </c>
      <c r="R29" s="774" t="s">
        <v>17</v>
      </c>
      <c r="S29" s="775">
        <f t="shared" si="12"/>
        <v>100</v>
      </c>
      <c r="T29" s="774" t="s">
        <v>17</v>
      </c>
      <c r="U29" s="775">
        <f t="shared" si="13"/>
        <v>100</v>
      </c>
      <c r="V29" s="774" t="s">
        <v>17</v>
      </c>
      <c r="W29" s="775">
        <f t="shared" si="14"/>
        <v>100</v>
      </c>
      <c r="X29" s="1816"/>
      <c r="Y29" s="324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8"/>
      <c r="Q30" s="1813">
        <f t="shared" si="11"/>
        <v>111</v>
      </c>
      <c r="R30" s="774" t="s">
        <v>17</v>
      </c>
      <c r="S30" s="775">
        <f t="shared" si="12"/>
        <v>100</v>
      </c>
      <c r="T30" s="774" t="s">
        <v>17</v>
      </c>
      <c r="U30" s="775">
        <f t="shared" si="13"/>
        <v>100</v>
      </c>
      <c r="V30" s="774" t="s">
        <v>17</v>
      </c>
      <c r="W30" s="775">
        <f t="shared" si="14"/>
        <v>100</v>
      </c>
      <c r="X30" s="1816"/>
      <c r="Y30" s="324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8"/>
      <c r="Q31" s="1813">
        <f t="shared" si="11"/>
        <v>111</v>
      </c>
      <c r="R31" s="774" t="s">
        <v>17</v>
      </c>
      <c r="S31" s="775">
        <f t="shared" si="12"/>
        <v>100</v>
      </c>
      <c r="T31" s="774" t="s">
        <v>17</v>
      </c>
      <c r="U31" s="775">
        <f t="shared" si="13"/>
        <v>100</v>
      </c>
      <c r="V31" s="774" t="s">
        <v>17</v>
      </c>
      <c r="W31" s="775">
        <f t="shared" si="14"/>
        <v>100</v>
      </c>
      <c r="X31" s="1816"/>
      <c r="Y31" s="3241"/>
      <c r="Z31" s="1817">
        <f t="shared" si="15"/>
        <v>111</v>
      </c>
      <c r="AA31" s="1814">
        <f t="shared" si="3"/>
        <v>1</v>
      </c>
      <c r="AB31" s="1814">
        <f t="shared" si="4"/>
        <v>1</v>
      </c>
      <c r="AC31" s="1814">
        <f t="shared" si="5"/>
        <v>1</v>
      </c>
    </row>
    <row r="32" spans="1:29" ht="15">
      <c r="A32" s="440" t="s">
        <v>2566</v>
      </c>
      <c r="B32" s="71" t="s">
        <v>2663</v>
      </c>
      <c r="C32" s="2991" t="s">
        <v>3756</v>
      </c>
      <c r="D32" s="467">
        <v>100</v>
      </c>
      <c r="E32" s="2991" t="s">
        <v>3759</v>
      </c>
      <c r="F32" s="461">
        <f>SUMIF(100:100,E32,101:101)-SUMIF(100:100,C32,101:101)+100</f>
        <v>98</v>
      </c>
      <c r="G32" s="2991" t="s">
        <v>3760</v>
      </c>
      <c r="H32" s="435">
        <f>SUMIF(100:100,G32,101:101)-SUMIF(100:100,C32,101:101)+100</f>
        <v>98</v>
      </c>
      <c r="I32" s="2991" t="s">
        <v>3761</v>
      </c>
      <c r="J32" s="467">
        <f>SUMIF(100:100,I32,101:101)-SUMIF(100:100,C32,101:101)+100</f>
        <v>98</v>
      </c>
      <c r="K32" s="612">
        <v>2</v>
      </c>
      <c r="L32" s="1143"/>
      <c r="M32" s="1134"/>
      <c r="N32" s="1134"/>
      <c r="O32" s="1134"/>
      <c r="P32" s="3242" t="s">
        <v>2568</v>
      </c>
      <c r="Q32" s="1813" t="str">
        <f t="shared" si="11"/>
        <v>商业类型</v>
      </c>
      <c r="R32" s="774" t="s">
        <v>17</v>
      </c>
      <c r="S32" s="775">
        <f t="shared" si="12"/>
        <v>98</v>
      </c>
      <c r="T32" s="774" t="s">
        <v>17</v>
      </c>
      <c r="U32" s="775">
        <f t="shared" si="13"/>
        <v>98</v>
      </c>
      <c r="V32" s="774" t="s">
        <v>17</v>
      </c>
      <c r="W32" s="775">
        <f t="shared" si="14"/>
        <v>98</v>
      </c>
      <c r="X32" s="1816"/>
      <c r="Y32" s="3245" t="s">
        <v>2568</v>
      </c>
      <c r="Z32" s="1817" t="str">
        <f t="shared" si="15"/>
        <v>商业类型</v>
      </c>
      <c r="AA32" s="1814">
        <f t="shared" si="3"/>
        <v>1.0204081632653061</v>
      </c>
      <c r="AB32" s="1814">
        <f t="shared" si="4"/>
        <v>1.0204081632653061</v>
      </c>
      <c r="AC32" s="1814">
        <f t="shared" si="5"/>
        <v>1.0204081632653061</v>
      </c>
    </row>
    <row r="33" spans="1:29" s="471" customFormat="1" ht="15">
      <c r="A33" s="468"/>
      <c r="B33" s="422" t="s">
        <v>2569</v>
      </c>
      <c r="C33" s="469">
        <f>面积清单!C1</f>
        <v>145.47999999999999</v>
      </c>
      <c r="D33" s="136">
        <v>100</v>
      </c>
      <c r="E33" s="430">
        <f>租金!B1</f>
        <v>100</v>
      </c>
      <c r="F33" s="425">
        <f>LOOKUP(E33,103:103,104:104)-LOOKUP(C33,103:103,104:104)+100</f>
        <v>100</v>
      </c>
      <c r="G33" s="429">
        <f>租金!B2</f>
        <v>80</v>
      </c>
      <c r="H33" s="136">
        <f>LOOKUP(G33,103:103,104:104)-LOOKUP(C33,103:103,104:104)+100</f>
        <v>100</v>
      </c>
      <c r="I33" s="429">
        <f>租金!B3</f>
        <v>260</v>
      </c>
      <c r="J33" s="136">
        <f>LOOKUP(I33,103:103,104:104)-LOOKUP(C33,103:103,104:104)+100</f>
        <v>100</v>
      </c>
      <c r="K33" s="613"/>
      <c r="L33" s="1141"/>
      <c r="M33" s="1144"/>
      <c r="N33" s="1144"/>
      <c r="O33" s="1144"/>
      <c r="P33" s="3243"/>
      <c r="Q33" s="776" t="str">
        <f t="shared" si="11"/>
        <v>项目建筑规模</v>
      </c>
      <c r="R33" s="777" t="s">
        <v>17</v>
      </c>
      <c r="S33" s="778">
        <f t="shared" si="12"/>
        <v>100</v>
      </c>
      <c r="T33" s="777" t="s">
        <v>17</v>
      </c>
      <c r="U33" s="778">
        <f t="shared" si="13"/>
        <v>100</v>
      </c>
      <c r="V33" s="777" t="s">
        <v>17</v>
      </c>
      <c r="W33" s="778">
        <f t="shared" si="14"/>
        <v>100</v>
      </c>
      <c r="X33" s="779"/>
      <c r="Y33" s="3245"/>
      <c r="Z33" s="780" t="str">
        <f t="shared" si="15"/>
        <v>项目建筑规模</v>
      </c>
      <c r="AA33" s="1814">
        <f t="shared" si="3"/>
        <v>1</v>
      </c>
      <c r="AB33" s="1814">
        <f t="shared" si="4"/>
        <v>1</v>
      </c>
      <c r="AC33" s="1814">
        <f t="shared" si="5"/>
        <v>1</v>
      </c>
    </row>
    <row r="34" spans="1:29" ht="15">
      <c r="A34" s="472"/>
      <c r="B34" s="422" t="s">
        <v>2570</v>
      </c>
      <c r="C34" s="2994" t="s">
        <v>3764</v>
      </c>
      <c r="D34" s="435">
        <v>100</v>
      </c>
      <c r="E34" s="2994" t="s">
        <v>3765</v>
      </c>
      <c r="F34" s="461">
        <f>SUMIF(105:105,E34,106:106)-SUMIF(105:105,C34,106:106)+100</f>
        <v>100</v>
      </c>
      <c r="G34" s="2994" t="s">
        <v>3765</v>
      </c>
      <c r="H34" s="435">
        <f>SUMIF(105:105,G34,106:106)-SUMIF(105:105,C34,106:106)+100</f>
        <v>100</v>
      </c>
      <c r="I34" s="2994" t="s">
        <v>3765</v>
      </c>
      <c r="J34" s="435">
        <f>SUMIF(105:105,I34,106:106)-SUMIF(105:105,C34,106:106)+100</f>
        <v>100</v>
      </c>
      <c r="K34" s="612"/>
      <c r="L34" s="1143"/>
      <c r="M34" s="1134"/>
      <c r="N34" s="1134"/>
      <c r="O34" s="1134"/>
      <c r="P34" s="3243"/>
      <c r="Q34" s="1813" t="str">
        <f t="shared" si="11"/>
        <v>建筑结构</v>
      </c>
      <c r="R34" s="774" t="s">
        <v>17</v>
      </c>
      <c r="S34" s="775">
        <f t="shared" si="12"/>
        <v>100</v>
      </c>
      <c r="T34" s="774" t="s">
        <v>17</v>
      </c>
      <c r="U34" s="775">
        <f t="shared" si="13"/>
        <v>100</v>
      </c>
      <c r="V34" s="774" t="s">
        <v>17</v>
      </c>
      <c r="W34" s="775">
        <f t="shared" si="14"/>
        <v>100</v>
      </c>
      <c r="X34" s="1816"/>
      <c r="Y34" s="3245"/>
      <c r="Z34" s="1817" t="str">
        <f t="shared" si="15"/>
        <v>建筑结构</v>
      </c>
      <c r="AA34" s="1814">
        <f t="shared" si="3"/>
        <v>1</v>
      </c>
      <c r="AB34" s="1814">
        <f t="shared" si="4"/>
        <v>1</v>
      </c>
      <c r="AC34" s="1814">
        <f t="shared" si="5"/>
        <v>1</v>
      </c>
    </row>
    <row r="35" spans="1:29" ht="15">
      <c r="A35" s="472"/>
      <c r="B35" s="422" t="s">
        <v>2664</v>
      </c>
      <c r="C35" s="2995" t="s">
        <v>3766</v>
      </c>
      <c r="D35" s="435">
        <v>100</v>
      </c>
      <c r="E35" s="2995" t="s">
        <v>3766</v>
      </c>
      <c r="F35" s="461">
        <f>SUMIF(107:107,E35,108:108)-SUMIF(107:107,C35,108:108)+100</f>
        <v>100</v>
      </c>
      <c r="G35" s="2995" t="s">
        <v>3766</v>
      </c>
      <c r="H35" s="435">
        <f>SUMIF(107:107,G35,108:108)-SUMIF(107:107,C35,108:108)+100</f>
        <v>100</v>
      </c>
      <c r="I35" s="2995" t="s">
        <v>3766</v>
      </c>
      <c r="J35" s="435">
        <f>SUMIF(107:107,I35,108:108)-SUMIF(107:107,C35,108:108)+100</f>
        <v>100</v>
      </c>
      <c r="K35" s="612"/>
      <c r="L35" s="1143"/>
      <c r="M35" s="1134"/>
      <c r="N35" s="1134"/>
      <c r="O35" s="1134"/>
      <c r="P35" s="3243"/>
      <c r="Q35" s="1813" t="str">
        <f t="shared" si="11"/>
        <v>公共部分装修</v>
      </c>
      <c r="R35" s="774" t="s">
        <v>17</v>
      </c>
      <c r="S35" s="775">
        <f t="shared" si="12"/>
        <v>100</v>
      </c>
      <c r="T35" s="774" t="s">
        <v>17</v>
      </c>
      <c r="U35" s="775">
        <f t="shared" si="13"/>
        <v>100</v>
      </c>
      <c r="V35" s="774" t="s">
        <v>17</v>
      </c>
      <c r="W35" s="775">
        <f t="shared" si="14"/>
        <v>100</v>
      </c>
      <c r="X35" s="1816"/>
      <c r="Y35" s="3245"/>
      <c r="Z35" s="1817" t="str">
        <f t="shared" si="15"/>
        <v>公共部分装修</v>
      </c>
      <c r="AA35" s="1814">
        <f t="shared" si="3"/>
        <v>1</v>
      </c>
      <c r="AB35" s="1814">
        <f t="shared" si="4"/>
        <v>1</v>
      </c>
      <c r="AC35" s="1814">
        <f t="shared" si="5"/>
        <v>1</v>
      </c>
    </row>
    <row r="36" spans="1:29" ht="15">
      <c r="A36" s="472"/>
      <c r="B36" s="422" t="s">
        <v>2665</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3"/>
      <c r="M36" s="1134"/>
      <c r="N36" s="1134"/>
      <c r="O36" s="1134"/>
      <c r="P36" s="3243"/>
      <c r="Q36" s="1813" t="str">
        <f t="shared" si="11"/>
        <v>成新度</v>
      </c>
      <c r="R36" s="774" t="s">
        <v>17</v>
      </c>
      <c r="S36" s="775">
        <f t="shared" si="12"/>
        <v>100</v>
      </c>
      <c r="T36" s="774" t="s">
        <v>17</v>
      </c>
      <c r="U36" s="775">
        <f t="shared" si="13"/>
        <v>100</v>
      </c>
      <c r="V36" s="774" t="s">
        <v>17</v>
      </c>
      <c r="W36" s="775">
        <f t="shared" si="14"/>
        <v>100</v>
      </c>
      <c r="X36" s="1816"/>
      <c r="Y36" s="3245"/>
      <c r="Z36" s="1817" t="str">
        <f t="shared" si="15"/>
        <v>成新度</v>
      </c>
      <c r="AA36" s="1814">
        <f t="shared" si="3"/>
        <v>1</v>
      </c>
      <c r="AB36" s="1814">
        <f t="shared" si="4"/>
        <v>1</v>
      </c>
      <c r="AC36" s="1814">
        <f t="shared" si="5"/>
        <v>1</v>
      </c>
    </row>
    <row r="37" spans="1:29" s="117" customFormat="1" ht="15">
      <c r="A37" s="473"/>
      <c r="B37" s="422" t="s">
        <v>2666</v>
      </c>
      <c r="C37" s="2995" t="s">
        <v>3748</v>
      </c>
      <c r="D37" s="136">
        <v>100</v>
      </c>
      <c r="E37" s="2995" t="s">
        <v>3748</v>
      </c>
      <c r="F37" s="461">
        <f>SUMIF(112:112,E37,113:113)-SUMIF(112:112,C37,113:113)+100</f>
        <v>100</v>
      </c>
      <c r="G37" s="2995" t="s">
        <v>3748</v>
      </c>
      <c r="H37" s="435">
        <f>SUMIF(112:112,G37,113:113)-SUMIF(112:112,C37,113:113)+100</f>
        <v>100</v>
      </c>
      <c r="I37" s="2995" t="s">
        <v>3748</v>
      </c>
      <c r="J37" s="435">
        <f>SUMIF(112:112,I37,113:113)-SUMIF(112:112,C37,113:113)+100</f>
        <v>100</v>
      </c>
      <c r="K37" s="612"/>
      <c r="L37" s="1135"/>
      <c r="M37" s="1136"/>
      <c r="N37" s="1136"/>
      <c r="O37" s="1136"/>
      <c r="P37" s="3243"/>
      <c r="Q37" s="1798" t="str">
        <f t="shared" si="11"/>
        <v>市政基础设施</v>
      </c>
      <c r="R37" s="770" t="s">
        <v>17</v>
      </c>
      <c r="S37" s="771">
        <f t="shared" si="12"/>
        <v>100</v>
      </c>
      <c r="T37" s="770" t="s">
        <v>17</v>
      </c>
      <c r="U37" s="771">
        <f t="shared" si="13"/>
        <v>100</v>
      </c>
      <c r="V37" s="770" t="s">
        <v>17</v>
      </c>
      <c r="W37" s="771">
        <f t="shared" si="14"/>
        <v>100</v>
      </c>
      <c r="X37" s="772"/>
      <c r="Y37" s="3245"/>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43" t="s">
        <v>2568</v>
      </c>
      <c r="Q38" s="1813" t="str">
        <f t="shared" si="11"/>
        <v>业态</v>
      </c>
      <c r="R38" s="774" t="s">
        <v>17</v>
      </c>
      <c r="S38" s="775">
        <f t="shared" si="12"/>
        <v>100</v>
      </c>
      <c r="T38" s="774" t="s">
        <v>17</v>
      </c>
      <c r="U38" s="775">
        <f t="shared" si="13"/>
        <v>100</v>
      </c>
      <c r="V38" s="774" t="s">
        <v>17</v>
      </c>
      <c r="W38" s="775">
        <f t="shared" si="14"/>
        <v>100</v>
      </c>
      <c r="X38" s="1816"/>
      <c r="Y38" s="3245" t="s">
        <v>2568</v>
      </c>
      <c r="Z38" s="1817" t="str">
        <f t="shared" si="15"/>
        <v>业态</v>
      </c>
      <c r="AA38" s="1814">
        <f t="shared" si="3"/>
        <v>1</v>
      </c>
      <c r="AB38" s="1814">
        <f t="shared" si="4"/>
        <v>1</v>
      </c>
      <c r="AC38" s="1814">
        <f t="shared" si="5"/>
        <v>1</v>
      </c>
    </row>
    <row r="39" spans="1:29" ht="15">
      <c r="A39" s="472"/>
      <c r="B39" s="422" t="s">
        <v>2668</v>
      </c>
      <c r="C39" s="2995" t="s">
        <v>3767</v>
      </c>
      <c r="D39" s="435">
        <v>100</v>
      </c>
      <c r="E39" s="2995" t="s">
        <v>3768</v>
      </c>
      <c r="F39" s="461">
        <f>SUMIF(116:116,E39,117:117)-SUMIF(116:116,C39,117:117)+100</f>
        <v>100</v>
      </c>
      <c r="G39" s="2995" t="s">
        <v>3768</v>
      </c>
      <c r="H39" s="435">
        <f>SUMIF(116:116,G39,117:117)-SUMIF(116:116,C39,117:117)+100</f>
        <v>100</v>
      </c>
      <c r="I39" s="2995" t="s">
        <v>3767</v>
      </c>
      <c r="J39" s="435">
        <f>SUMIF(116:116,I39,117:117)-SUMIF(116:116,C39,117:117)+100</f>
        <v>100</v>
      </c>
      <c r="K39" s="612"/>
      <c r="L39" s="1143"/>
      <c r="M39" s="1134"/>
      <c r="N39" s="1134"/>
      <c r="O39" s="1134"/>
      <c r="P39" s="3243"/>
      <c r="Q39" s="1813" t="str">
        <f t="shared" si="11"/>
        <v>层高</v>
      </c>
      <c r="R39" s="774" t="s">
        <v>17</v>
      </c>
      <c r="S39" s="775">
        <f t="shared" si="12"/>
        <v>100</v>
      </c>
      <c r="T39" s="774" t="s">
        <v>17</v>
      </c>
      <c r="U39" s="775">
        <f t="shared" si="13"/>
        <v>100</v>
      </c>
      <c r="V39" s="774" t="s">
        <v>17</v>
      </c>
      <c r="W39" s="775">
        <f t="shared" si="14"/>
        <v>100</v>
      </c>
      <c r="X39" s="1816"/>
      <c r="Y39" s="3245"/>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3"/>
      <c r="Q40" s="1813" t="str">
        <f t="shared" si="11"/>
        <v>单套建筑面积</v>
      </c>
      <c r="R40" s="774" t="s">
        <v>17</v>
      </c>
      <c r="S40" s="775">
        <f t="shared" si="12"/>
        <v>100</v>
      </c>
      <c r="T40" s="774" t="s">
        <v>17</v>
      </c>
      <c r="U40" s="775">
        <f t="shared" si="13"/>
        <v>100</v>
      </c>
      <c r="V40" s="774" t="s">
        <v>17</v>
      </c>
      <c r="W40" s="775">
        <f t="shared" si="14"/>
        <v>100</v>
      </c>
      <c r="X40" s="1816"/>
      <c r="Y40" s="3245"/>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3"/>
      <c r="Q41" s="776" t="str">
        <f t="shared" si="11"/>
        <v>进深比</v>
      </c>
      <c r="R41" s="777" t="s">
        <v>17</v>
      </c>
      <c r="S41" s="778">
        <f t="shared" si="12"/>
        <v>100</v>
      </c>
      <c r="T41" s="777" t="s">
        <v>17</v>
      </c>
      <c r="U41" s="778">
        <f t="shared" si="13"/>
        <v>100</v>
      </c>
      <c r="V41" s="777" t="s">
        <v>17</v>
      </c>
      <c r="W41" s="778">
        <f t="shared" si="14"/>
        <v>100</v>
      </c>
      <c r="X41" s="779"/>
      <c r="Y41" s="3245"/>
      <c r="Z41" s="780" t="str">
        <f t="shared" si="15"/>
        <v>进深比</v>
      </c>
      <c r="AA41" s="1814">
        <f t="shared" si="3"/>
        <v>1</v>
      </c>
      <c r="AB41" s="1814">
        <f t="shared" si="4"/>
        <v>1</v>
      </c>
      <c r="AC41" s="1814">
        <f t="shared" si="5"/>
        <v>1</v>
      </c>
    </row>
    <row r="42" spans="1:29" ht="15">
      <c r="A42" s="472"/>
      <c r="B42" s="422" t="s">
        <v>2671</v>
      </c>
      <c r="C42" s="2995" t="s">
        <v>3769</v>
      </c>
      <c r="D42" s="435">
        <v>100</v>
      </c>
      <c r="E42" s="2995" t="s">
        <v>3770</v>
      </c>
      <c r="F42" s="461">
        <f>SUMIF(122:122,E42,123:123)-SUMIF(122:122,C42,123:123)+100</f>
        <v>104</v>
      </c>
      <c r="G42" s="2995" t="s">
        <v>3770</v>
      </c>
      <c r="H42" s="435">
        <f>SUMIF(122:122,G42,123:123)-SUMIF(122:122,C42,123:123)+100</f>
        <v>104</v>
      </c>
      <c r="I42" s="2995" t="s">
        <v>3770</v>
      </c>
      <c r="J42" s="435">
        <f>SUMIF(122:122,I42,123:123)-SUMIF(122:122,C42,123:123)+100</f>
        <v>104</v>
      </c>
      <c r="K42" s="612">
        <v>2</v>
      </c>
      <c r="L42" s="1143"/>
      <c r="M42" s="1134"/>
      <c r="N42" s="1134"/>
      <c r="O42" s="1134"/>
      <c r="P42" s="3243"/>
      <c r="Q42" s="1813" t="str">
        <f t="shared" si="11"/>
        <v>内部装修</v>
      </c>
      <c r="R42" s="774" t="s">
        <v>17</v>
      </c>
      <c r="S42" s="775">
        <f t="shared" si="12"/>
        <v>104</v>
      </c>
      <c r="T42" s="774" t="s">
        <v>17</v>
      </c>
      <c r="U42" s="775">
        <f t="shared" si="13"/>
        <v>104</v>
      </c>
      <c r="V42" s="774" t="s">
        <v>17</v>
      </c>
      <c r="W42" s="775">
        <f t="shared" si="14"/>
        <v>104</v>
      </c>
      <c r="X42" s="1816"/>
      <c r="Y42" s="3245"/>
      <c r="Z42" s="1817" t="str">
        <f t="shared" si="15"/>
        <v>内部装修</v>
      </c>
      <c r="AA42" s="1814">
        <f t="shared" si="3"/>
        <v>0.96153846153846156</v>
      </c>
      <c r="AB42" s="1814">
        <f t="shared" si="4"/>
        <v>0.96153846153846156</v>
      </c>
      <c r="AC42" s="1814">
        <f t="shared" si="5"/>
        <v>0.96153846153846156</v>
      </c>
    </row>
    <row r="43" spans="1:29" ht="15">
      <c r="A43" s="472"/>
      <c r="B43" s="422" t="s">
        <v>2579</v>
      </c>
      <c r="C43" s="2995" t="s">
        <v>3749</v>
      </c>
      <c r="D43" s="435">
        <v>100</v>
      </c>
      <c r="E43" s="2995" t="s">
        <v>3749</v>
      </c>
      <c r="F43" s="461">
        <f>SUMIF(124:124,E43,125:125)-SUMIF(124:124,C43,125:125)+100</f>
        <v>100</v>
      </c>
      <c r="G43" s="2995" t="s">
        <v>3749</v>
      </c>
      <c r="H43" s="435">
        <f>SUMIF(124:124,G43,125:125)-SUMIF(124:124,C43,125:125)+100</f>
        <v>100</v>
      </c>
      <c r="I43" s="2995" t="s">
        <v>3749</v>
      </c>
      <c r="J43" s="435">
        <f>SUMIF(124:124,I43,125:125)-SUMIF(124:124,C43,125:125)+100</f>
        <v>100</v>
      </c>
      <c r="K43" s="612"/>
      <c r="L43" s="1143"/>
      <c r="M43" s="1134"/>
      <c r="N43" s="1134"/>
      <c r="O43" s="1134"/>
      <c r="P43" s="3243"/>
      <c r="Q43" s="1813" t="str">
        <f t="shared" si="11"/>
        <v>内部装修维护情况</v>
      </c>
      <c r="R43" s="774" t="s">
        <v>17</v>
      </c>
      <c r="S43" s="775">
        <f t="shared" si="12"/>
        <v>100</v>
      </c>
      <c r="T43" s="774" t="s">
        <v>17</v>
      </c>
      <c r="U43" s="775">
        <f t="shared" si="13"/>
        <v>100</v>
      </c>
      <c r="V43" s="774" t="s">
        <v>17</v>
      </c>
      <c r="W43" s="775">
        <f t="shared" si="14"/>
        <v>100</v>
      </c>
      <c r="X43" s="1816"/>
      <c r="Y43" s="324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3"/>
      <c r="Q44" s="1798">
        <f t="shared" si="11"/>
        <v>111</v>
      </c>
      <c r="R44" s="770" t="s">
        <v>17</v>
      </c>
      <c r="S44" s="771">
        <f t="shared" si="12"/>
        <v>100</v>
      </c>
      <c r="T44" s="770" t="s">
        <v>17</v>
      </c>
      <c r="U44" s="771">
        <f t="shared" si="13"/>
        <v>100</v>
      </c>
      <c r="V44" s="770" t="s">
        <v>17</v>
      </c>
      <c r="W44" s="771">
        <f t="shared" si="14"/>
        <v>100</v>
      </c>
      <c r="X44" s="772"/>
      <c r="Y44" s="324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3"/>
      <c r="Q45" s="1813">
        <f t="shared" si="11"/>
        <v>111</v>
      </c>
      <c r="R45" s="774" t="s">
        <v>17</v>
      </c>
      <c r="S45" s="775">
        <f t="shared" si="12"/>
        <v>100</v>
      </c>
      <c r="T45" s="774" t="s">
        <v>17</v>
      </c>
      <c r="U45" s="775">
        <f t="shared" si="13"/>
        <v>100</v>
      </c>
      <c r="V45" s="774" t="s">
        <v>17</v>
      </c>
      <c r="W45" s="775">
        <f t="shared" si="14"/>
        <v>100</v>
      </c>
      <c r="X45" s="1816"/>
      <c r="Y45" s="3245"/>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4"/>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1814">
        <f t="shared" si="5"/>
        <v>1</v>
      </c>
    </row>
    <row r="47" spans="1:29" ht="15">
      <c r="A47" s="479" t="s">
        <v>2580</v>
      </c>
      <c r="B47" s="480"/>
      <c r="C47" s="1410" t="s">
        <v>1</v>
      </c>
      <c r="D47" s="1411"/>
      <c r="E47" s="1412">
        <f>租金!C1</f>
        <v>5</v>
      </c>
      <c r="F47" s="1413"/>
      <c r="G47" s="1414">
        <f>租金!C2</f>
        <v>5.21</v>
      </c>
      <c r="H47" s="1415"/>
      <c r="I47" s="1412">
        <f>租金!C3</f>
        <v>5.56</v>
      </c>
      <c r="J47" s="1415"/>
      <c r="K47" s="783"/>
      <c r="L47" s="1146"/>
      <c r="M47" s="1147"/>
      <c r="N47" s="1134"/>
      <c r="O47" s="1147"/>
      <c r="P47" s="3238" t="str">
        <f>A47</f>
        <v>成交单价（元/平方米）</v>
      </c>
      <c r="Q47" s="3238"/>
      <c r="R47" s="3269">
        <f>E47</f>
        <v>5</v>
      </c>
      <c r="S47" s="3269"/>
      <c r="T47" s="3269">
        <f>G47</f>
        <v>5.21</v>
      </c>
      <c r="U47" s="3269"/>
      <c r="V47" s="3269">
        <f>I47</f>
        <v>5.56</v>
      </c>
      <c r="W47" s="3269"/>
      <c r="X47" s="759"/>
      <c r="Y47" s="781"/>
      <c r="Z47" s="759"/>
      <c r="AA47" s="759"/>
      <c r="AB47" s="759"/>
      <c r="AC47" s="759"/>
    </row>
    <row r="48" spans="1:29" ht="15.75" thickBot="1">
      <c r="A48" s="486" t="s">
        <v>2672</v>
      </c>
      <c r="B48" s="487"/>
      <c r="C48" s="1416">
        <f>R49</f>
        <v>5.2</v>
      </c>
      <c r="D48" s="1417"/>
      <c r="E48" s="1418">
        <f>R48</f>
        <v>4.9000000000000004</v>
      </c>
      <c r="F48" s="1418"/>
      <c r="G48" s="1416">
        <f>T48</f>
        <v>5.0999999999999996</v>
      </c>
      <c r="H48" s="1417"/>
      <c r="I48" s="1418">
        <f>V48</f>
        <v>5.5</v>
      </c>
      <c r="J48" s="1417"/>
      <c r="K48" s="784"/>
      <c r="L48" s="1146"/>
      <c r="M48" s="1147"/>
      <c r="N48" s="1134"/>
      <c r="O48" s="1147"/>
      <c r="P48" s="3238" t="str">
        <f>A48</f>
        <v>比较价值（元/平方米）</v>
      </c>
      <c r="Q48" s="3238"/>
      <c r="R48" s="3239">
        <f>IF(F1="售价",ROUND(PRODUCT(R47,AA7:AA46),0),ROUND(PRODUCT(R47,AA7:AA46),1))</f>
        <v>4.9000000000000004</v>
      </c>
      <c r="S48" s="3239"/>
      <c r="T48" s="3239">
        <f>IF(F1="售价",ROUND(PRODUCT(T47,AB7:AB46),0),ROUND(PRODUCT(T47,AB7:AB46),1))</f>
        <v>5.0999999999999996</v>
      </c>
      <c r="U48" s="3239"/>
      <c r="V48" s="3239">
        <f>IF(F1="售价",ROUND(PRODUCT(V47,AC7:AC46),0),ROUND(PRODUCT(V47,AC7:AC46),1))</f>
        <v>5.5</v>
      </c>
      <c r="W48" s="3239"/>
      <c r="X48" s="759"/>
      <c r="Y48" s="759"/>
      <c r="Z48" s="759"/>
      <c r="AA48" s="759"/>
      <c r="AB48" s="759"/>
      <c r="AC48" s="759"/>
    </row>
    <row r="49" spans="1:29" ht="15.75" thickBot="1">
      <c r="A49" s="492" t="s">
        <v>2673</v>
      </c>
      <c r="B49" s="493"/>
      <c r="C49" s="1420">
        <f>R49</f>
        <v>5.2</v>
      </c>
      <c r="D49" s="1420"/>
      <c r="E49" s="1420"/>
      <c r="F49" s="1420"/>
      <c r="G49" s="1420"/>
      <c r="H49" s="1420"/>
      <c r="I49" s="1420"/>
      <c r="J49" s="1420"/>
      <c r="K49" s="785"/>
      <c r="L49" s="1146"/>
      <c r="M49" s="1147"/>
      <c r="N49" s="1134"/>
      <c r="O49" s="1147"/>
      <c r="P49" s="3235" t="str">
        <f>A49</f>
        <v>估价对象XX用房的比较价值（楼面单价，元/平方米）</v>
      </c>
      <c r="Q49" s="3236"/>
      <c r="R49" s="3237">
        <f>IF(F1="售价",ROUND(AVERAGE(R48:V48),0),ROUND(AVERAGE(R48:V48),1))</f>
        <v>5.2</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2.0408163265306145E-2</v>
      </c>
      <c r="F52" s="500" t="str">
        <f>IF(OR(E52&gt;=0.3,E52&lt;=-0.3),"超过30%","")</f>
        <v/>
      </c>
      <c r="G52" s="499">
        <f>IF(G47&lt;G48,G48/G47-1,G47/G48-1)</f>
        <v>2.1568627450980538E-2</v>
      </c>
      <c r="H52" s="500" t="str">
        <f>IF(OR(G52&gt;=0.3,G52&lt;=-0.3),"超过30%","")</f>
        <v/>
      </c>
      <c r="I52" s="499">
        <f>IF(I47&lt;I48,I48/I47-1,I47/I48-1)</f>
        <v>1.0909090909090757E-2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4.0816326530612068E-2</v>
      </c>
      <c r="F53" s="500" t="str">
        <f>IF(OR(E53&gt;=0.2,E53&lt;=-0.2),"超过20%","")</f>
        <v/>
      </c>
      <c r="G53" s="499">
        <f>IF(G48&lt;I48,I48/G48-1,G48/I48-1)</f>
        <v>7.8431372549019773E-2</v>
      </c>
      <c r="H53" s="500" t="str">
        <f>IF(OR(G53&gt;=0.2,G53&lt;=-0.2),"超过20%","")</f>
        <v/>
      </c>
      <c r="I53" s="499">
        <f>IF(I48&lt;E48,E48/I48-1,I48/E48-1)</f>
        <v>0.12244897959183665</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4.2000000000000037E-2</v>
      </c>
      <c r="F54" s="500" t="str">
        <f>IF(OR(E54&gt;=0.3,E54&lt;=-0.3),"超过30%","")</f>
        <v/>
      </c>
      <c r="G54" s="499">
        <f>IF(G47&lt;I47,I47/G47-1,G47/I47-1)</f>
        <v>6.7178502879078561E-2</v>
      </c>
      <c r="H54" s="500" t="str">
        <f>IF(OR(G54&gt;=0.3,G54&lt;=-0.3),"超过30%","")</f>
        <v/>
      </c>
      <c r="I54" s="499">
        <f>IF(I47&lt;E47,E47/I47-1,I47/E47-1)</f>
        <v>0.11199999999999988</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t="str">
        <f>C9</f>
        <v>商业</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2993" t="s">
        <v>3762</v>
      </c>
      <c r="D100" s="2993" t="s">
        <v>3763</v>
      </c>
      <c r="E100" s="2993" t="s">
        <v>3760</v>
      </c>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7"/>
      <c r="Q101" s="504"/>
    </row>
    <row r="102" spans="1:17" ht="29.25" thickTop="1">
      <c r="A102" s="534"/>
      <c r="B102" s="538" t="s">
        <v>2616</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3011">
        <v>0</v>
      </c>
      <c r="D103" s="3011">
        <v>500</v>
      </c>
      <c r="E103" s="3011">
        <v>1000</v>
      </c>
      <c r="F103" s="3011">
        <v>1500</v>
      </c>
      <c r="G103" s="3011">
        <v>2000</v>
      </c>
      <c r="H103" s="3011">
        <v>2500</v>
      </c>
      <c r="I103" s="3011">
        <v>3000</v>
      </c>
      <c r="J103" s="596"/>
      <c r="K103" s="596"/>
      <c r="L103" s="597"/>
      <c r="M103" s="598"/>
      <c r="N103" s="1157"/>
      <c r="O103" s="1157"/>
      <c r="P103" s="2638"/>
      <c r="Q103" s="559"/>
    </row>
    <row r="104" spans="1:17" s="471" customFormat="1" ht="15.75" thickBot="1">
      <c r="A104" s="553"/>
      <c r="B104" s="543"/>
      <c r="C104" s="3013">
        <v>100</v>
      </c>
      <c r="D104" s="3014">
        <f>C104-3</f>
        <v>97</v>
      </c>
      <c r="E104" s="3014">
        <f t="shared" ref="E104:I104" si="24">D104-3</f>
        <v>94</v>
      </c>
      <c r="F104" s="3014">
        <f t="shared" si="24"/>
        <v>91</v>
      </c>
      <c r="G104" s="3014">
        <f t="shared" si="24"/>
        <v>88</v>
      </c>
      <c r="H104" s="3014">
        <f t="shared" si="24"/>
        <v>85</v>
      </c>
      <c r="I104" s="3014">
        <f t="shared" si="24"/>
        <v>82</v>
      </c>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7"/>
      <c r="O121" s="1157"/>
      <c r="P121" s="2638"/>
      <c r="Q121" s="559"/>
    </row>
    <row r="122" spans="1:17" ht="15" thickTop="1">
      <c r="A122" s="599"/>
      <c r="B122" s="538" t="s">
        <v>2623</v>
      </c>
      <c r="C122" s="2996" t="s">
        <v>3766</v>
      </c>
      <c r="D122" s="2996" t="s">
        <v>3770</v>
      </c>
      <c r="E122" s="2996" t="s">
        <v>3771</v>
      </c>
      <c r="F122" s="2997" t="s">
        <v>3769</v>
      </c>
      <c r="G122" s="583"/>
      <c r="H122" s="583"/>
      <c r="I122" s="583"/>
      <c r="J122" s="583"/>
      <c r="K122" s="584"/>
      <c r="L122" s="585"/>
      <c r="M122" s="586"/>
      <c r="N122" s="1155"/>
      <c r="O122" s="1155"/>
      <c r="P122" s="263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估价对象为北京市房地产，为所有。根据《国有土地使用证》[]，估价对象（分摊）出让国有建设用地使用权面积为8931.74平方米，建筑面积为26196.84平方米。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估价对象为北京市房地产,属开发建设的，该项目尚在开发建设中。根据《国有土地使用证》[]，估价对象（分摊）出让国有建设用地使用权面积为8931.74平方米，规划建筑面积为26196.84平方米。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87" zoomScale="90" zoomScaleNormal="90" workbookViewId="0">
      <selection activeCell="C105" sqref="C10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t="s">
        <v>27</v>
      </c>
      <c r="E1" s="1633"/>
      <c r="F1" s="2591" t="s">
        <v>3743</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IF(C2="——",ROUND(C50*D3/10000,0),ROUND(C50*D3/10000,0)-D2)</f>
        <v>11</v>
      </c>
      <c r="C2" s="2593" t="s">
        <v>70</v>
      </c>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f>IF(C2="——",C50,ROUND(B2*10000/D3,0))</f>
        <v>5</v>
      </c>
      <c r="C3" s="400" t="s">
        <v>2647</v>
      </c>
      <c r="D3" s="399">
        <f>IF(D1="",'数据-汇总表'!E3,SUMIF('数据-汇总表'!$C19:$C33,D1,'数据-汇总表'!$E19:$E33))</f>
        <v>21831.640000000003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307" t="s">
        <v>2654</v>
      </c>
      <c r="Q4" s="3308"/>
      <c r="R4" s="3311" t="s">
        <v>2650</v>
      </c>
      <c r="S4" s="3312"/>
      <c r="T4" s="3311" t="s">
        <v>2651</v>
      </c>
      <c r="U4" s="3312"/>
      <c r="V4" s="3313" t="s">
        <v>2652</v>
      </c>
      <c r="W4" s="3313"/>
      <c r="X4" s="2677"/>
      <c r="Y4" s="3311" t="s">
        <v>2654</v>
      </c>
      <c r="Z4" s="3312"/>
      <c r="AA4" s="3317" t="s">
        <v>2650</v>
      </c>
      <c r="AB4" s="3317" t="s">
        <v>2651</v>
      </c>
      <c r="AC4" s="3304" t="s">
        <v>2652</v>
      </c>
    </row>
    <row r="5" spans="1:29" ht="15">
      <c r="A5" s="404"/>
      <c r="B5" s="405"/>
      <c r="C5" s="3272" t="s">
        <v>2545</v>
      </c>
      <c r="D5" s="3273"/>
      <c r="E5" s="3318" t="str">
        <f>租金!A1</f>
        <v>花乡</v>
      </c>
      <c r="F5" s="3319"/>
      <c r="G5" s="3314" t="str">
        <f>租金!A2</f>
        <v>丰泽园</v>
      </c>
      <c r="H5" s="3315"/>
      <c r="I5" s="3314" t="str">
        <f>租金!A3</f>
        <v>育菲园东里</v>
      </c>
      <c r="J5" s="3315"/>
      <c r="K5" s="610"/>
      <c r="L5" s="1133"/>
      <c r="M5" s="1134"/>
      <c r="N5" s="1134"/>
      <c r="O5" s="1134"/>
      <c r="P5" s="3309"/>
      <c r="Q5" s="3260"/>
      <c r="R5" s="3265"/>
      <c r="S5" s="3266"/>
      <c r="T5" s="3265"/>
      <c r="U5" s="3266"/>
      <c r="V5" s="3269"/>
      <c r="W5" s="3269"/>
      <c r="X5" s="1816"/>
      <c r="Y5" s="3265"/>
      <c r="Z5" s="3266"/>
      <c r="AA5" s="3251"/>
      <c r="AB5" s="3251"/>
      <c r="AC5" s="3305"/>
    </row>
    <row r="6" spans="1:29" ht="15.75" thickBot="1">
      <c r="A6" s="406"/>
      <c r="B6" s="407"/>
      <c r="C6" s="3270" t="s">
        <v>2549</v>
      </c>
      <c r="D6" s="3271"/>
      <c r="E6" s="3277" t="s">
        <v>2549</v>
      </c>
      <c r="F6" s="3278"/>
      <c r="G6" s="3270" t="s">
        <v>2549</v>
      </c>
      <c r="H6" s="3271"/>
      <c r="I6" s="3270" t="s">
        <v>2549</v>
      </c>
      <c r="J6" s="3271"/>
      <c r="K6" s="610" t="s">
        <v>2550</v>
      </c>
      <c r="L6" s="1133"/>
      <c r="M6" s="1134"/>
      <c r="N6" s="1134"/>
      <c r="O6" s="1134"/>
      <c r="P6" s="3310"/>
      <c r="Q6" s="3262"/>
      <c r="R6" s="3265"/>
      <c r="S6" s="3266"/>
      <c r="T6" s="3267"/>
      <c r="U6" s="3268"/>
      <c r="V6" s="3269"/>
      <c r="W6" s="3269"/>
      <c r="X6" s="1816"/>
      <c r="Y6" s="3267"/>
      <c r="Z6" s="3268"/>
      <c r="AA6" s="3252"/>
      <c r="AB6" s="3252"/>
      <c r="AC6" s="3306"/>
    </row>
    <row r="7" spans="1:29" s="117" customFormat="1" ht="15.75" thickBot="1">
      <c r="A7" s="408" t="s">
        <v>2551</v>
      </c>
      <c r="B7" s="409"/>
      <c r="C7" s="410">
        <f>'数据-取费表'!B2</f>
        <v>43243</v>
      </c>
      <c r="D7" s="411">
        <v>100</v>
      </c>
      <c r="E7" s="412">
        <v>43221</v>
      </c>
      <c r="F7" s="413">
        <f>SUMIF(59:59,YEAR(E7)&amp;"-"&amp;MONTH(E7),60:60)</f>
        <v>100</v>
      </c>
      <c r="G7" s="412">
        <v>43221</v>
      </c>
      <c r="H7" s="411">
        <f>SUMIF(59:59,YEAR(G7)&amp;"-"&amp;MONTH(G7),60:60)</f>
        <v>100</v>
      </c>
      <c r="I7" s="412">
        <v>43221</v>
      </c>
      <c r="J7" s="411">
        <f>SUMIF(59:59,YEAR(I7)&amp;"-"&amp;MONTH(I7),60:60)</f>
        <v>100</v>
      </c>
      <c r="K7" s="611"/>
      <c r="L7" s="1135"/>
      <c r="M7" s="1136"/>
      <c r="N7" s="1136"/>
      <c r="O7" s="1136"/>
      <c r="P7" s="3316" t="s">
        <v>2552</v>
      </c>
      <c r="Q7" s="3276"/>
      <c r="R7" s="770" t="s">
        <v>17</v>
      </c>
      <c r="S7" s="771">
        <f t="shared" ref="S7:S15" si="0">F7</f>
        <v>100</v>
      </c>
      <c r="T7" s="770" t="s">
        <v>17</v>
      </c>
      <c r="U7" s="771">
        <f t="shared" ref="U7:U15" si="1">H7</f>
        <v>100</v>
      </c>
      <c r="V7" s="770" t="s">
        <v>17</v>
      </c>
      <c r="W7" s="771">
        <f t="shared" ref="W7:W15" si="2">J7</f>
        <v>100</v>
      </c>
      <c r="X7" s="772"/>
      <c r="Y7" s="3274" t="s">
        <v>2552</v>
      </c>
      <c r="Z7" s="3275"/>
      <c r="AA7" s="773">
        <f>D7/F7</f>
        <v>1</v>
      </c>
      <c r="AB7" s="773">
        <f>D7/H7</f>
        <v>1</v>
      </c>
      <c r="AC7" s="2678">
        <f>D7/J7</f>
        <v>1</v>
      </c>
    </row>
    <row r="8" spans="1:29" s="117" customFormat="1" ht="15.75" thickBot="1">
      <c r="A8" s="408" t="s">
        <v>2553</v>
      </c>
      <c r="B8" s="409"/>
      <c r="C8" s="414" t="s">
        <v>2655</v>
      </c>
      <c r="D8" s="411">
        <v>100</v>
      </c>
      <c r="E8" s="2983" t="s">
        <v>3779</v>
      </c>
      <c r="F8" s="413">
        <f>SUMIF(62:62,E8,63:63)-SUMIF(62:62,C8,63:63)+100</f>
        <v>100</v>
      </c>
      <c r="G8" s="2983" t="s">
        <v>3779</v>
      </c>
      <c r="H8" s="411">
        <f>SUMIF(62:62,G8,63:63)-SUMIF(62:62,C8,63:63)+100</f>
        <v>100</v>
      </c>
      <c r="I8" s="2983" t="s">
        <v>3779</v>
      </c>
      <c r="J8" s="411">
        <f>SUMIF(62:62,I8,63:63)-SUMIF(62:62,C8,63:63)+100</f>
        <v>100</v>
      </c>
      <c r="K8" s="611"/>
      <c r="L8" s="1135"/>
      <c r="M8" s="1136"/>
      <c r="N8" s="1136"/>
      <c r="O8" s="1136"/>
      <c r="P8" s="3316" t="s">
        <v>2555</v>
      </c>
      <c r="Q8" s="3275"/>
      <c r="R8" s="770" t="s">
        <v>17</v>
      </c>
      <c r="S8" s="771">
        <f t="shared" si="0"/>
        <v>100</v>
      </c>
      <c r="T8" s="770" t="s">
        <v>17</v>
      </c>
      <c r="U8" s="771">
        <f t="shared" si="1"/>
        <v>100</v>
      </c>
      <c r="V8" s="770" t="s">
        <v>17</v>
      </c>
      <c r="W8" s="771">
        <f t="shared" si="2"/>
        <v>100</v>
      </c>
      <c r="X8" s="772"/>
      <c r="Y8" s="3274" t="s">
        <v>2555</v>
      </c>
      <c r="Z8" s="3275"/>
      <c r="AA8" s="773">
        <f t="shared" ref="AA8:AA47" si="3">D8/F8</f>
        <v>1</v>
      </c>
      <c r="AB8" s="773">
        <f t="shared" ref="AB8:AB47" si="4">D8/H8</f>
        <v>1</v>
      </c>
      <c r="AC8" s="2678">
        <f t="shared" ref="AC8:AC47" si="5">D8/J8</f>
        <v>1</v>
      </c>
    </row>
    <row r="9" spans="1:29" s="117" customFormat="1">
      <c r="A9" s="415" t="s">
        <v>2556</v>
      </c>
      <c r="B9" s="71" t="s">
        <v>2557</v>
      </c>
      <c r="C9" s="2984" t="s">
        <v>3780</v>
      </c>
      <c r="D9" s="135">
        <v>100</v>
      </c>
      <c r="E9" s="2998" t="s">
        <v>3780</v>
      </c>
      <c r="F9" s="135">
        <f>SUMIF(64:64,E9,65:65)-SUMIF(64:64,C9,65:65)+100</f>
        <v>100</v>
      </c>
      <c r="G9" s="2985" t="s">
        <v>3780</v>
      </c>
      <c r="H9" s="135">
        <f>SUMIF(64:64,G9,65:65)-SUMIF(64:64,C9,65:65)+100</f>
        <v>100</v>
      </c>
      <c r="I9" s="2985" t="s">
        <v>3780</v>
      </c>
      <c r="J9" s="135">
        <f>SUMIF(64:64,I9,65:65)-SUMIF(64:64,C9,65:65)+100</f>
        <v>100</v>
      </c>
      <c r="K9" s="611"/>
      <c r="L9" s="1135"/>
      <c r="M9" s="1136"/>
      <c r="N9" s="1136"/>
      <c r="O9" s="1136"/>
      <c r="P9" s="3249"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2678">
        <f t="shared" si="5"/>
        <v>1</v>
      </c>
    </row>
    <row r="10" spans="1:29" s="427" customFormat="1" ht="27.75" thickBot="1">
      <c r="A10" s="421"/>
      <c r="B10" s="422" t="s">
        <v>2560</v>
      </c>
      <c r="C10" s="423" t="s">
        <v>3746</v>
      </c>
      <c r="D10" s="136">
        <v>100</v>
      </c>
      <c r="E10" s="423" t="s">
        <v>3781</v>
      </c>
      <c r="F10" s="136">
        <f>SUMIF(66:66,E10,67:67)-SUMIF(66:66,C10,67:67)+100</f>
        <v>102</v>
      </c>
      <c r="G10" s="424" t="s">
        <v>3781</v>
      </c>
      <c r="H10" s="136">
        <f>SUMIF(66:66,G10,67:67)-SUMIF(66:66,C10,67:67)+100</f>
        <v>102</v>
      </c>
      <c r="I10" s="423" t="s">
        <v>3781</v>
      </c>
      <c r="J10" s="136">
        <f>SUMIF(66:66,I10,67:67)-SUMIF(66:66,C10,67:67)+100</f>
        <v>102</v>
      </c>
      <c r="K10" s="612">
        <v>2</v>
      </c>
      <c r="L10" s="1138"/>
      <c r="M10" s="1139"/>
      <c r="N10" s="1139"/>
      <c r="O10" s="1139"/>
      <c r="P10" s="3249"/>
      <c r="Q10" s="1798" t="str">
        <f t="shared" si="6"/>
        <v>土地使用年限（年）</v>
      </c>
      <c r="R10" s="770" t="s">
        <v>17</v>
      </c>
      <c r="S10" s="771">
        <f t="shared" si="0"/>
        <v>102</v>
      </c>
      <c r="T10" s="770" t="s">
        <v>17</v>
      </c>
      <c r="U10" s="771">
        <f t="shared" si="1"/>
        <v>102</v>
      </c>
      <c r="V10" s="770" t="s">
        <v>17</v>
      </c>
      <c r="W10" s="771">
        <f t="shared" si="2"/>
        <v>102</v>
      </c>
      <c r="X10" s="772"/>
      <c r="Y10" s="3059"/>
      <c r="Z10" s="55" t="str">
        <f t="shared" si="7"/>
        <v>土地使用年限（年）</v>
      </c>
      <c r="AA10" s="773">
        <f t="shared" si="3"/>
        <v>0.98039215686274506</v>
      </c>
      <c r="AB10" s="773">
        <f t="shared" si="4"/>
        <v>0.98039215686274506</v>
      </c>
      <c r="AC10" s="2678">
        <f t="shared" si="5"/>
        <v>0.98039215686274506</v>
      </c>
    </row>
    <row r="11" spans="1:29" ht="15" hidden="1">
      <c r="A11" s="428"/>
      <c r="B11" s="422" t="s">
        <v>2561</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49"/>
      <c r="Q11" s="1798" t="str">
        <f t="shared" si="6"/>
        <v>容积率</v>
      </c>
      <c r="R11" s="770" t="s">
        <v>17</v>
      </c>
      <c r="S11" s="771">
        <f t="shared" si="0"/>
        <v>100</v>
      </c>
      <c r="T11" s="770" t="s">
        <v>17</v>
      </c>
      <c r="U11" s="771">
        <f t="shared" si="1"/>
        <v>100</v>
      </c>
      <c r="V11" s="770" t="s">
        <v>17</v>
      </c>
      <c r="W11" s="771">
        <f t="shared" si="2"/>
        <v>100</v>
      </c>
      <c r="X11" s="772"/>
      <c r="Y11" s="3059"/>
      <c r="Z11" s="55" t="str">
        <f t="shared" si="7"/>
        <v>容积率</v>
      </c>
      <c r="AA11" s="773">
        <f t="shared" si="3"/>
        <v>1</v>
      </c>
      <c r="AB11" s="773">
        <f t="shared" si="4"/>
        <v>1</v>
      </c>
      <c r="AC11" s="2678">
        <f t="shared" si="5"/>
        <v>1</v>
      </c>
    </row>
    <row r="12" spans="1:29" s="117" customFormat="1" ht="15" hidden="1">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49"/>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8">
        <f>D12/J12</f>
        <v>1</v>
      </c>
    </row>
    <row r="13" spans="1:29" ht="15" hidden="1">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49"/>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49"/>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3"/>
      <c r="M15" s="1134"/>
      <c r="N15" s="1134"/>
      <c r="O15" s="1134"/>
      <c r="P15" s="3247" t="s">
        <v>2563</v>
      </c>
      <c r="Q15" s="1813" t="str">
        <f t="shared" si="6"/>
        <v>办公集聚程度</v>
      </c>
      <c r="R15" s="774" t="s">
        <v>17</v>
      </c>
      <c r="S15" s="775">
        <f t="shared" si="0"/>
        <v>105</v>
      </c>
      <c r="T15" s="774" t="s">
        <v>17</v>
      </c>
      <c r="U15" s="775">
        <f t="shared" si="1"/>
        <v>105</v>
      </c>
      <c r="V15" s="774" t="s">
        <v>17</v>
      </c>
      <c r="W15" s="775">
        <f t="shared" si="2"/>
        <v>105</v>
      </c>
      <c r="X15" s="1816"/>
      <c r="Y15" s="3240" t="s">
        <v>2563</v>
      </c>
      <c r="Z15" s="1817" t="str">
        <f t="shared" si="7"/>
        <v>办公集聚程度</v>
      </c>
      <c r="AA15" s="1814">
        <f t="shared" si="3"/>
        <v>0.95238095238095233</v>
      </c>
      <c r="AB15" s="1814">
        <f t="shared" si="4"/>
        <v>0.95238095238095233</v>
      </c>
      <c r="AC15" s="2681">
        <f t="shared" si="5"/>
        <v>0.95238095238095233</v>
      </c>
    </row>
    <row r="16" spans="1:29" ht="15">
      <c r="A16" s="428"/>
      <c r="B16" s="630"/>
      <c r="C16" s="2999" t="s">
        <v>3782</v>
      </c>
      <c r="D16" s="448"/>
      <c r="E16" s="2986" t="s">
        <v>3783</v>
      </c>
      <c r="F16" s="448"/>
      <c r="G16" s="2999" t="s">
        <v>3783</v>
      </c>
      <c r="H16" s="450"/>
      <c r="I16" s="2986" t="s">
        <v>3784</v>
      </c>
      <c r="J16" s="448"/>
      <c r="K16" s="615"/>
      <c r="L16" s="1143"/>
      <c r="M16" s="1134"/>
      <c r="N16" s="1134"/>
      <c r="O16" s="1134"/>
      <c r="P16" s="3248"/>
      <c r="Q16" s="1813"/>
      <c r="R16" s="774"/>
      <c r="S16" s="775"/>
      <c r="T16" s="774"/>
      <c r="U16" s="775"/>
      <c r="V16" s="774"/>
      <c r="W16" s="775"/>
      <c r="X16" s="1816"/>
      <c r="Y16" s="3241"/>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43"/>
      <c r="M17" s="1134"/>
      <c r="N17" s="1134"/>
      <c r="O17" s="1134"/>
      <c r="P17" s="3248"/>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2681">
        <f t="shared" si="5"/>
        <v>1</v>
      </c>
    </row>
    <row r="18" spans="1:29" ht="15">
      <c r="A18" s="428"/>
      <c r="B18" s="632"/>
      <c r="C18" s="2683" t="s">
        <v>3730</v>
      </c>
      <c r="D18" s="450"/>
      <c r="E18" s="3000" t="s">
        <v>3783</v>
      </c>
      <c r="F18" s="450"/>
      <c r="G18" s="3001" t="s">
        <v>3783</v>
      </c>
      <c r="H18" s="448"/>
      <c r="I18" s="3001" t="s">
        <v>3783</v>
      </c>
      <c r="J18" s="448"/>
      <c r="K18" s="615"/>
      <c r="L18" s="1143"/>
      <c r="M18" s="1134"/>
      <c r="N18" s="1134"/>
      <c r="O18" s="1134"/>
      <c r="P18" s="3248"/>
      <c r="Q18" s="1813"/>
      <c r="R18" s="774"/>
      <c r="S18" s="775"/>
      <c r="T18" s="774"/>
      <c r="U18" s="775"/>
      <c r="V18" s="774"/>
      <c r="W18" s="775"/>
      <c r="X18" s="1816"/>
      <c r="Y18" s="3241"/>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5</v>
      </c>
      <c r="L19" s="1143"/>
      <c r="M19" s="1134"/>
      <c r="N19" s="1134"/>
      <c r="O19" s="1134"/>
      <c r="P19" s="3248"/>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2681">
        <f t="shared" si="5"/>
        <v>1</v>
      </c>
    </row>
    <row r="20" spans="1:29" ht="15">
      <c r="A20" s="428"/>
      <c r="B20" s="632"/>
      <c r="C20" s="2618" t="s">
        <v>3730</v>
      </c>
      <c r="D20" s="448"/>
      <c r="E20" s="2988" t="s">
        <v>3783</v>
      </c>
      <c r="F20" s="448"/>
      <c r="G20" s="2987" t="s">
        <v>3784</v>
      </c>
      <c r="H20" s="448"/>
      <c r="I20" s="2987" t="s">
        <v>3783</v>
      </c>
      <c r="J20" s="448"/>
      <c r="K20" s="615"/>
      <c r="L20" s="1143"/>
      <c r="M20" s="1134"/>
      <c r="N20" s="1134"/>
      <c r="O20" s="1134"/>
      <c r="P20" s="3248"/>
      <c r="Q20" s="1813"/>
      <c r="R20" s="774"/>
      <c r="S20" s="775"/>
      <c r="T20" s="774"/>
      <c r="U20" s="775"/>
      <c r="V20" s="774"/>
      <c r="W20" s="775"/>
      <c r="X20" s="1816"/>
      <c r="Y20" s="3241"/>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5</v>
      </c>
      <c r="L21" s="1143"/>
      <c r="M21" s="1134"/>
      <c r="N21" s="1134"/>
      <c r="O21" s="1134"/>
      <c r="P21" s="3248"/>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2681">
        <f t="shared" ref="AC21" si="10">D21/J21</f>
        <v>1</v>
      </c>
    </row>
    <row r="22" spans="1:29" ht="15">
      <c r="A22" s="428"/>
      <c r="B22" s="633"/>
      <c r="C22" s="2683" t="s">
        <v>3747</v>
      </c>
      <c r="D22" s="448"/>
      <c r="E22" s="2986" t="s">
        <v>3785</v>
      </c>
      <c r="F22" s="448"/>
      <c r="G22" s="2999" t="s">
        <v>3785</v>
      </c>
      <c r="H22" s="448"/>
      <c r="I22" s="2999" t="s">
        <v>3785</v>
      </c>
      <c r="J22" s="448"/>
      <c r="K22" s="1386"/>
      <c r="L22" s="1143"/>
      <c r="M22" s="1134"/>
      <c r="N22" s="1134"/>
      <c r="O22" s="1134"/>
      <c r="P22" s="3248"/>
      <c r="Q22" s="1813"/>
      <c r="R22" s="774"/>
      <c r="S22" s="775"/>
      <c r="T22" s="774"/>
      <c r="U22" s="775"/>
      <c r="V22" s="774"/>
      <c r="W22" s="775"/>
      <c r="X22" s="1816"/>
      <c r="Y22" s="3241"/>
      <c r="Z22" s="1817"/>
      <c r="AA22" s="1814">
        <v>1</v>
      </c>
      <c r="AB22" s="1814">
        <v>1</v>
      </c>
      <c r="AC22" s="2681">
        <v>1</v>
      </c>
    </row>
    <row r="23" spans="1:29" ht="42" customHeight="1">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48"/>
      <c r="Q23" s="1813" t="str">
        <f>B23</f>
        <v>环境质量</v>
      </c>
      <c r="R23" s="774" t="s">
        <v>17</v>
      </c>
      <c r="S23" s="775">
        <f>F23</f>
        <v>100</v>
      </c>
      <c r="T23" s="774" t="s">
        <v>17</v>
      </c>
      <c r="U23" s="775">
        <f>H23</f>
        <v>100</v>
      </c>
      <c r="V23" s="774" t="s">
        <v>17</v>
      </c>
      <c r="W23" s="775">
        <f>J23</f>
        <v>100</v>
      </c>
      <c r="X23" s="1816"/>
      <c r="Y23" s="3241"/>
      <c r="Z23" s="1817" t="str">
        <f>Q23</f>
        <v>环境质量</v>
      </c>
      <c r="AA23" s="1814">
        <f t="shared" si="3"/>
        <v>1</v>
      </c>
      <c r="AB23" s="1814">
        <f t="shared" si="4"/>
        <v>1</v>
      </c>
      <c r="AC23" s="2681">
        <f t="shared" si="5"/>
        <v>1</v>
      </c>
    </row>
    <row r="24" spans="1:29" ht="15">
      <c r="A24" s="428"/>
      <c r="B24" s="633"/>
      <c r="C24" s="2618" t="s">
        <v>3730</v>
      </c>
      <c r="D24" s="448"/>
      <c r="E24" s="2988" t="s">
        <v>3783</v>
      </c>
      <c r="F24" s="448"/>
      <c r="G24" s="2987" t="s">
        <v>3783</v>
      </c>
      <c r="H24" s="448"/>
      <c r="I24" s="2987" t="s">
        <v>3783</v>
      </c>
      <c r="J24" s="448"/>
      <c r="K24" s="615"/>
      <c r="L24" s="1143"/>
      <c r="M24" s="1134"/>
      <c r="N24" s="1134"/>
      <c r="O24" s="1134"/>
      <c r="P24" s="3248"/>
      <c r="Q24" s="1813"/>
      <c r="R24" s="774"/>
      <c r="S24" s="775"/>
      <c r="T24" s="774"/>
      <c r="U24" s="775"/>
      <c r="V24" s="774"/>
      <c r="W24" s="775"/>
      <c r="X24" s="1816"/>
      <c r="Y24" s="3241"/>
      <c r="Z24" s="1817"/>
      <c r="AA24" s="1814">
        <v>1</v>
      </c>
      <c r="AB24" s="1814">
        <v>1</v>
      </c>
      <c r="AC24" s="2681">
        <v>1</v>
      </c>
    </row>
    <row r="25" spans="1:29" ht="27">
      <c r="A25" s="404"/>
      <c r="B25" s="631" t="s">
        <v>2694</v>
      </c>
      <c r="C25" s="3004" t="s">
        <v>3787</v>
      </c>
      <c r="D25" s="435">
        <v>100</v>
      </c>
      <c r="E25" s="3005" t="s">
        <v>3788</v>
      </c>
      <c r="F25" s="435">
        <f>SUMIF(87:87,E26,88:88)-SUMIF(87:87,C26,88:88)+100</f>
        <v>109</v>
      </c>
      <c r="G25" s="2622" t="s">
        <v>3789</v>
      </c>
      <c r="H25" s="435">
        <f>SUMIF(87:87,G26,88:88)-SUMIF(87:87,C26,88:88)+100</f>
        <v>103</v>
      </c>
      <c r="I25" s="434" t="s">
        <v>3790</v>
      </c>
      <c r="J25" s="435">
        <f>SUMIF(87:87,I26,88:88)-SUMIF(87:87,C26,88:88)+100</f>
        <v>103</v>
      </c>
      <c r="K25" s="614">
        <v>3</v>
      </c>
      <c r="L25" s="1143"/>
      <c r="M25" s="1134"/>
      <c r="N25" s="1134"/>
      <c r="O25" s="1134"/>
      <c r="P25" s="3248"/>
      <c r="Q25" s="1813" t="str">
        <f>B25</f>
        <v>毗邻道路的类型与等级</v>
      </c>
      <c r="R25" s="774" t="s">
        <v>17</v>
      </c>
      <c r="S25" s="775">
        <f>F25</f>
        <v>109</v>
      </c>
      <c r="T25" s="774" t="s">
        <v>17</v>
      </c>
      <c r="U25" s="775">
        <f>H25</f>
        <v>103</v>
      </c>
      <c r="V25" s="774" t="s">
        <v>17</v>
      </c>
      <c r="W25" s="775">
        <f>J25</f>
        <v>103</v>
      </c>
      <c r="X25" s="1816"/>
      <c r="Y25" s="3241"/>
      <c r="Z25" s="1817" t="str">
        <f>Q25</f>
        <v>毗邻道路的类型与等级</v>
      </c>
      <c r="AA25" s="1814">
        <f t="shared" si="3"/>
        <v>0.91743119266055051</v>
      </c>
      <c r="AB25" s="1814">
        <f t="shared" si="4"/>
        <v>0.970873786407767</v>
      </c>
      <c r="AC25" s="2681">
        <f t="shared" si="5"/>
        <v>0.970873786407767</v>
      </c>
    </row>
    <row r="26" spans="1:29" ht="15">
      <c r="A26" s="404"/>
      <c r="B26" s="632"/>
      <c r="C26" s="3002" t="s">
        <v>3786</v>
      </c>
      <c r="D26" s="435"/>
      <c r="E26" s="616" t="s">
        <v>3791</v>
      </c>
      <c r="F26" s="435"/>
      <c r="G26" s="634" t="s">
        <v>3794</v>
      </c>
      <c r="H26" s="435"/>
      <c r="I26" s="616" t="s">
        <v>3794</v>
      </c>
      <c r="J26" s="435"/>
      <c r="K26" s="615"/>
      <c r="L26" s="1143"/>
      <c r="M26" s="1134"/>
      <c r="N26" s="1134"/>
      <c r="O26" s="1134"/>
      <c r="P26" s="3248"/>
      <c r="Q26" s="1813"/>
      <c r="R26" s="774"/>
      <c r="S26" s="775"/>
      <c r="T26" s="774"/>
      <c r="U26" s="775"/>
      <c r="V26" s="774"/>
      <c r="W26" s="775"/>
      <c r="X26" s="1816"/>
      <c r="Y26" s="3241"/>
      <c r="Z26" s="1817"/>
      <c r="AA26" s="1814">
        <v>1</v>
      </c>
      <c r="AB26" s="1814">
        <v>1</v>
      </c>
      <c r="AC26" s="2681">
        <v>1</v>
      </c>
    </row>
    <row r="27" spans="1:29" ht="15.75" thickBot="1">
      <c r="A27" s="428"/>
      <c r="B27" s="632" t="s">
        <v>2662</v>
      </c>
      <c r="C27" s="3002" t="s">
        <v>3797</v>
      </c>
      <c r="D27" s="435">
        <v>100</v>
      </c>
      <c r="E27" s="2989" t="s">
        <v>3798</v>
      </c>
      <c r="F27" s="435">
        <f>SUMIF(89:89,E27,90:90)-SUMIF(89:89,C27,90:90)+100</f>
        <v>98</v>
      </c>
      <c r="G27" s="3002" t="s">
        <v>3797</v>
      </c>
      <c r="H27" s="435">
        <f>SUMIF(89:89,G27,90:90)-SUMIF(89:89,C27,90:90)+100</f>
        <v>100</v>
      </c>
      <c r="I27" s="2989" t="s">
        <v>3797</v>
      </c>
      <c r="J27" s="435">
        <f>SUMIF(89:89,I27,90:90)-SUMIF(89:89,C27,90:90)+100</f>
        <v>100</v>
      </c>
      <c r="K27" s="612">
        <v>2</v>
      </c>
      <c r="L27" s="1143"/>
      <c r="M27" s="1134"/>
      <c r="N27" s="1134"/>
      <c r="O27" s="1134"/>
      <c r="P27" s="3248"/>
      <c r="Q27" s="1813" t="str">
        <f t="shared" ref="Q27:Q47" si="11">B27</f>
        <v>楼层</v>
      </c>
      <c r="R27" s="774" t="s">
        <v>17</v>
      </c>
      <c r="S27" s="775">
        <f>F27</f>
        <v>98</v>
      </c>
      <c r="T27" s="774" t="s">
        <v>17</v>
      </c>
      <c r="U27" s="775">
        <f>H27</f>
        <v>100</v>
      </c>
      <c r="V27" s="774" t="s">
        <v>17</v>
      </c>
      <c r="W27" s="775">
        <f>J27</f>
        <v>100</v>
      </c>
      <c r="X27" s="1816"/>
      <c r="Y27" s="3241"/>
      <c r="Z27" s="1817" t="str">
        <f>Q27</f>
        <v>楼层</v>
      </c>
      <c r="AA27" s="1814">
        <f t="shared" si="3"/>
        <v>1.0204081632653061</v>
      </c>
      <c r="AB27" s="1814">
        <f t="shared" si="4"/>
        <v>1</v>
      </c>
      <c r="AC27" s="2681">
        <f t="shared" si="5"/>
        <v>1</v>
      </c>
    </row>
    <row r="28" spans="1:29" s="117" customFormat="1" ht="15" hidden="1">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8"/>
      <c r="Q28" s="1798" t="str">
        <f t="shared" si="11"/>
        <v>朝向</v>
      </c>
      <c r="R28" s="770" t="s">
        <v>17</v>
      </c>
      <c r="S28" s="771">
        <f>F28</f>
        <v>100</v>
      </c>
      <c r="T28" s="770" t="s">
        <v>17</v>
      </c>
      <c r="U28" s="771">
        <f>H28</f>
        <v>100</v>
      </c>
      <c r="V28" s="770" t="s">
        <v>17</v>
      </c>
      <c r="W28" s="771">
        <f>J28</f>
        <v>100</v>
      </c>
      <c r="X28" s="772"/>
      <c r="Y28" s="3241"/>
      <c r="Z28" s="55"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8"/>
      <c r="Q29" s="1813">
        <f t="shared" si="11"/>
        <v>111</v>
      </c>
      <c r="R29" s="774" t="s">
        <v>17</v>
      </c>
      <c r="S29" s="775">
        <f t="shared" ref="S29:S47" si="12">F29</f>
        <v>100</v>
      </c>
      <c r="T29" s="774" t="s">
        <v>17</v>
      </c>
      <c r="U29" s="775">
        <f t="shared" ref="U29:U47" si="13">H29</f>
        <v>100</v>
      </c>
      <c r="V29" s="774" t="s">
        <v>17</v>
      </c>
      <c r="W29" s="775">
        <f t="shared" ref="W29:W47" si="14">J29</f>
        <v>100</v>
      </c>
      <c r="X29" s="1816"/>
      <c r="Y29" s="3241"/>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8"/>
      <c r="Q30" s="1813">
        <f t="shared" si="11"/>
        <v>111</v>
      </c>
      <c r="R30" s="774" t="s">
        <v>17</v>
      </c>
      <c r="S30" s="775">
        <f t="shared" si="12"/>
        <v>100</v>
      </c>
      <c r="T30" s="774" t="s">
        <v>17</v>
      </c>
      <c r="U30" s="775">
        <f t="shared" si="13"/>
        <v>100</v>
      </c>
      <c r="V30" s="774" t="s">
        <v>17</v>
      </c>
      <c r="W30" s="775">
        <f t="shared" si="14"/>
        <v>100</v>
      </c>
      <c r="X30" s="1816"/>
      <c r="Y30" s="3241"/>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8"/>
      <c r="Q31" s="1813">
        <f t="shared" si="11"/>
        <v>111</v>
      </c>
      <c r="R31" s="774" t="s">
        <v>17</v>
      </c>
      <c r="S31" s="775">
        <f t="shared" si="12"/>
        <v>100</v>
      </c>
      <c r="T31" s="774" t="s">
        <v>17</v>
      </c>
      <c r="U31" s="775">
        <f t="shared" si="13"/>
        <v>100</v>
      </c>
      <c r="V31" s="774" t="s">
        <v>17</v>
      </c>
      <c r="W31" s="775">
        <f t="shared" si="14"/>
        <v>100</v>
      </c>
      <c r="X31" s="1816"/>
      <c r="Y31" s="3241"/>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8"/>
      <c r="Q32" s="1813">
        <f t="shared" si="11"/>
        <v>111</v>
      </c>
      <c r="R32" s="774" t="s">
        <v>17</v>
      </c>
      <c r="S32" s="775">
        <f t="shared" si="12"/>
        <v>100</v>
      </c>
      <c r="T32" s="774" t="s">
        <v>17</v>
      </c>
      <c r="U32" s="775">
        <f t="shared" si="13"/>
        <v>100</v>
      </c>
      <c r="V32" s="774" t="s">
        <v>17</v>
      </c>
      <c r="W32" s="775">
        <f t="shared" si="14"/>
        <v>100</v>
      </c>
      <c r="X32" s="1816"/>
      <c r="Y32" s="3241"/>
      <c r="Z32" s="1817">
        <f t="shared" si="15"/>
        <v>111</v>
      </c>
      <c r="AA32" s="1814">
        <f t="shared" si="3"/>
        <v>1</v>
      </c>
      <c r="AB32" s="1814">
        <f t="shared" si="4"/>
        <v>1</v>
      </c>
      <c r="AC32" s="2681">
        <f t="shared" si="5"/>
        <v>1</v>
      </c>
    </row>
    <row r="33" spans="1:29" ht="15">
      <c r="A33" s="440" t="s">
        <v>2566</v>
      </c>
      <c r="B33" s="71" t="s">
        <v>2696</v>
      </c>
      <c r="C33" s="3003" t="s">
        <v>3799</v>
      </c>
      <c r="D33" s="467">
        <v>100</v>
      </c>
      <c r="E33" s="3003" t="s">
        <v>3800</v>
      </c>
      <c r="F33" s="461">
        <f>SUMIF(101:101,E33,102:102)-SUMIF(101:101,C33,102:102)+100</f>
        <v>100</v>
      </c>
      <c r="G33" s="3003" t="s">
        <v>3800</v>
      </c>
      <c r="H33" s="435">
        <f>SUMIF(101:101,G33,102:102)-SUMIF(101:101,C33,102:102)+100</f>
        <v>100</v>
      </c>
      <c r="I33" s="3003" t="s">
        <v>3801</v>
      </c>
      <c r="J33" s="467">
        <f>SUMIF(101:101,I33,102:102)-SUMIF(101:101,C33,102:102)+100</f>
        <v>100</v>
      </c>
      <c r="K33" s="612">
        <v>2</v>
      </c>
      <c r="L33" s="1143"/>
      <c r="M33" s="1134"/>
      <c r="N33" s="1134"/>
      <c r="O33" s="1134"/>
      <c r="P33" s="3242" t="s">
        <v>2568</v>
      </c>
      <c r="Q33" s="1813" t="str">
        <f t="shared" si="11"/>
        <v>建筑类型</v>
      </c>
      <c r="R33" s="774" t="s">
        <v>17</v>
      </c>
      <c r="S33" s="775">
        <f t="shared" si="12"/>
        <v>100</v>
      </c>
      <c r="T33" s="774" t="s">
        <v>17</v>
      </c>
      <c r="U33" s="775">
        <f t="shared" si="13"/>
        <v>100</v>
      </c>
      <c r="V33" s="774" t="s">
        <v>17</v>
      </c>
      <c r="W33" s="775">
        <f t="shared" si="14"/>
        <v>100</v>
      </c>
      <c r="X33" s="1816"/>
      <c r="Y33" s="3245" t="s">
        <v>2568</v>
      </c>
      <c r="Z33" s="1817" t="str">
        <f t="shared" si="15"/>
        <v>建筑类型</v>
      </c>
      <c r="AA33" s="1814">
        <f t="shared" si="3"/>
        <v>1</v>
      </c>
      <c r="AB33" s="1814">
        <f t="shared" si="4"/>
        <v>1</v>
      </c>
      <c r="AC33" s="2681">
        <f t="shared" si="5"/>
        <v>1</v>
      </c>
    </row>
    <row r="34" spans="1:29" s="471" customFormat="1" ht="15">
      <c r="A34" s="468"/>
      <c r="B34" s="422" t="s">
        <v>2569</v>
      </c>
      <c r="C34" s="469">
        <v>80</v>
      </c>
      <c r="D34" s="136">
        <v>100</v>
      </c>
      <c r="E34" s="430">
        <v>280</v>
      </c>
      <c r="F34" s="425">
        <f>LOOKUP(E34,104:104,105:105)-LOOKUP(C34,104:104,105:105)+100</f>
        <v>98</v>
      </c>
      <c r="G34" s="429">
        <v>1277</v>
      </c>
      <c r="H34" s="136">
        <f>LOOKUP(G34,104:104,105:105)-LOOKUP(C34,104:104,105:105)+100</f>
        <v>88</v>
      </c>
      <c r="I34" s="429">
        <v>48</v>
      </c>
      <c r="J34" s="136">
        <f>LOOKUP(I34,104:104,105:105)-LOOKUP(C34,104:104,105:105)+100</f>
        <v>100</v>
      </c>
      <c r="K34" s="613"/>
      <c r="L34" s="1141"/>
      <c r="M34" s="1144"/>
      <c r="N34" s="1144"/>
      <c r="O34" s="1144"/>
      <c r="P34" s="3243"/>
      <c r="Q34" s="776" t="str">
        <f t="shared" si="11"/>
        <v>项目建筑规模</v>
      </c>
      <c r="R34" s="777" t="s">
        <v>17</v>
      </c>
      <c r="S34" s="778">
        <f t="shared" si="12"/>
        <v>98</v>
      </c>
      <c r="T34" s="777" t="s">
        <v>17</v>
      </c>
      <c r="U34" s="778">
        <f t="shared" si="13"/>
        <v>88</v>
      </c>
      <c r="V34" s="777" t="s">
        <v>17</v>
      </c>
      <c r="W34" s="778">
        <f t="shared" si="14"/>
        <v>100</v>
      </c>
      <c r="X34" s="779"/>
      <c r="Y34" s="3245"/>
      <c r="Z34" s="780" t="str">
        <f t="shared" si="15"/>
        <v>项目建筑规模</v>
      </c>
      <c r="AA34" s="1814">
        <f t="shared" si="3"/>
        <v>1.0204081632653061</v>
      </c>
      <c r="AB34" s="1814">
        <f t="shared" si="4"/>
        <v>1.1363636363636365</v>
      </c>
      <c r="AC34" s="2681">
        <f t="shared" si="5"/>
        <v>1</v>
      </c>
    </row>
    <row r="35" spans="1:29" ht="15">
      <c r="A35" s="472"/>
      <c r="B35" s="422" t="s">
        <v>2570</v>
      </c>
      <c r="C35" s="3006" t="s">
        <v>3812</v>
      </c>
      <c r="D35" s="435">
        <v>100</v>
      </c>
      <c r="E35" s="3006" t="s">
        <v>3812</v>
      </c>
      <c r="F35" s="461">
        <f>SUMIF(106:106,E35,107:107)-SUMIF(106:106,C35,107:107)+100</f>
        <v>100</v>
      </c>
      <c r="G35" s="3006" t="s">
        <v>3812</v>
      </c>
      <c r="H35" s="435">
        <f>SUMIF(106:106,G35,107:107)-SUMIF(106:106,C35,107:107)+100</f>
        <v>100</v>
      </c>
      <c r="I35" s="3006" t="s">
        <v>3812</v>
      </c>
      <c r="J35" s="435">
        <f>SUMIF(106:106,I35,107:107)-SUMIF(106:106,C35,107:107)+100</f>
        <v>100</v>
      </c>
      <c r="K35" s="612">
        <v>2</v>
      </c>
      <c r="L35" s="1143"/>
      <c r="M35" s="1134"/>
      <c r="N35" s="1134"/>
      <c r="O35" s="1134"/>
      <c r="P35" s="3243"/>
      <c r="Q35" s="1813" t="str">
        <f t="shared" si="11"/>
        <v>建筑结构</v>
      </c>
      <c r="R35" s="774" t="s">
        <v>17</v>
      </c>
      <c r="S35" s="775">
        <f t="shared" si="12"/>
        <v>100</v>
      </c>
      <c r="T35" s="774" t="s">
        <v>17</v>
      </c>
      <c r="U35" s="775">
        <f t="shared" si="13"/>
        <v>100</v>
      </c>
      <c r="V35" s="774" t="s">
        <v>17</v>
      </c>
      <c r="W35" s="775">
        <f t="shared" si="14"/>
        <v>100</v>
      </c>
      <c r="X35" s="1816"/>
      <c r="Y35" s="3245"/>
      <c r="Z35" s="1817" t="str">
        <f t="shared" si="15"/>
        <v>建筑结构</v>
      </c>
      <c r="AA35" s="1814">
        <f t="shared" si="3"/>
        <v>1</v>
      </c>
      <c r="AB35" s="1814">
        <f t="shared" si="4"/>
        <v>1</v>
      </c>
      <c r="AC35" s="2681">
        <f t="shared" si="5"/>
        <v>1</v>
      </c>
    </row>
    <row r="36" spans="1:29" ht="15">
      <c r="A36" s="472"/>
      <c r="B36" s="422" t="s">
        <v>2664</v>
      </c>
      <c r="C36" s="3006" t="s">
        <v>3813</v>
      </c>
      <c r="D36" s="435">
        <v>100</v>
      </c>
      <c r="E36" s="3006" t="s">
        <v>3813</v>
      </c>
      <c r="F36" s="461">
        <f>SUMIF(108:108,E36,109:109)-SUMIF(108:108,C36,109:109)+100</f>
        <v>100</v>
      </c>
      <c r="G36" s="3006" t="s">
        <v>3813</v>
      </c>
      <c r="H36" s="435">
        <f>SUMIF(108:108,G36,109:109)-SUMIF(108:108,C36,109:109)+100</f>
        <v>100</v>
      </c>
      <c r="I36" s="3006" t="s">
        <v>3813</v>
      </c>
      <c r="J36" s="435">
        <f>SUMIF(108:108,I36,109:109)-SUMIF(108:108,C36,109:109)+100</f>
        <v>100</v>
      </c>
      <c r="K36" s="612">
        <v>2</v>
      </c>
      <c r="L36" s="1143"/>
      <c r="M36" s="1134"/>
      <c r="N36" s="1134"/>
      <c r="O36" s="1134"/>
      <c r="P36" s="3243"/>
      <c r="Q36" s="1813" t="str">
        <f t="shared" si="11"/>
        <v>公共部分装修</v>
      </c>
      <c r="R36" s="774" t="s">
        <v>17</v>
      </c>
      <c r="S36" s="775">
        <f t="shared" si="12"/>
        <v>100</v>
      </c>
      <c r="T36" s="774" t="s">
        <v>17</v>
      </c>
      <c r="U36" s="775">
        <f t="shared" si="13"/>
        <v>100</v>
      </c>
      <c r="V36" s="774" t="s">
        <v>17</v>
      </c>
      <c r="W36" s="775">
        <f t="shared" si="14"/>
        <v>100</v>
      </c>
      <c r="X36" s="1816"/>
      <c r="Y36" s="3245"/>
      <c r="Z36" s="1817" t="str">
        <f t="shared" si="15"/>
        <v>公共部分装修</v>
      </c>
      <c r="AA36" s="1814">
        <f t="shared" si="3"/>
        <v>1</v>
      </c>
      <c r="AB36" s="1814">
        <f t="shared" si="4"/>
        <v>1</v>
      </c>
      <c r="AC36" s="2681">
        <f t="shared" si="5"/>
        <v>1</v>
      </c>
    </row>
    <row r="37" spans="1:29" ht="15">
      <c r="A37" s="472"/>
      <c r="B37" s="422" t="s">
        <v>2665</v>
      </c>
      <c r="C37" s="474">
        <f>'数据-取费表'!Y6</f>
        <v>0.98</v>
      </c>
      <c r="D37" s="435">
        <v>100</v>
      </c>
      <c r="E37" s="474">
        <v>0.7</v>
      </c>
      <c r="F37" s="461">
        <f>LOOKUP(E37,111:111,112:112)-LOOKUP(C37,111:111,112:112)+100</f>
        <v>96</v>
      </c>
      <c r="G37" s="474">
        <v>0.92</v>
      </c>
      <c r="H37" s="461">
        <f>LOOKUP(G37,111:111,112:112)-LOOKUP(C37,111:111,112:112)+100</f>
        <v>100</v>
      </c>
      <c r="I37" s="474">
        <v>0.97</v>
      </c>
      <c r="J37" s="435">
        <f>LOOKUP(I37,111:111,112:112)-LOOKUP(C37,111:111,112:112)+100</f>
        <v>100</v>
      </c>
      <c r="K37" s="612">
        <v>2</v>
      </c>
      <c r="L37" s="1143"/>
      <c r="M37" s="1134"/>
      <c r="N37" s="1134"/>
      <c r="O37" s="1134"/>
      <c r="P37" s="3243"/>
      <c r="Q37" s="1813" t="str">
        <f t="shared" si="11"/>
        <v>成新度</v>
      </c>
      <c r="R37" s="774" t="s">
        <v>17</v>
      </c>
      <c r="S37" s="775">
        <f t="shared" si="12"/>
        <v>96</v>
      </c>
      <c r="T37" s="774" t="s">
        <v>17</v>
      </c>
      <c r="U37" s="775">
        <f t="shared" si="13"/>
        <v>100</v>
      </c>
      <c r="V37" s="774" t="s">
        <v>17</v>
      </c>
      <c r="W37" s="775">
        <f t="shared" si="14"/>
        <v>100</v>
      </c>
      <c r="X37" s="1816"/>
      <c r="Y37" s="3245"/>
      <c r="Z37" s="1817" t="str">
        <f t="shared" si="15"/>
        <v>成新度</v>
      </c>
      <c r="AA37" s="1814">
        <f t="shared" si="3"/>
        <v>1.0416666666666667</v>
      </c>
      <c r="AB37" s="1814">
        <f t="shared" si="4"/>
        <v>1</v>
      </c>
      <c r="AC37" s="2681">
        <f t="shared" si="5"/>
        <v>1</v>
      </c>
    </row>
    <row r="38" spans="1:29" s="117" customFormat="1" ht="15">
      <c r="A38" s="473"/>
      <c r="B38" s="422" t="s">
        <v>2697</v>
      </c>
      <c r="C38" s="3006" t="s">
        <v>3804</v>
      </c>
      <c r="D38" s="136">
        <v>100</v>
      </c>
      <c r="E38" s="3006" t="s">
        <v>3804</v>
      </c>
      <c r="F38" s="461">
        <f>SUMIF(113:113,E38,114:114)-SUMIF(113:113,C38,114:114)+100</f>
        <v>100</v>
      </c>
      <c r="G38" s="3006" t="s">
        <v>3804</v>
      </c>
      <c r="H38" s="435">
        <f>SUMIF(113:113,G38,114:114)-SUMIF(113:113,C38,114:114)+100</f>
        <v>100</v>
      </c>
      <c r="I38" s="3006" t="s">
        <v>3804</v>
      </c>
      <c r="J38" s="435">
        <f>SUMIF(113:113,I38,114:114)-SUMIF(113:113,C38,114:114)+100</f>
        <v>100</v>
      </c>
      <c r="K38" s="612">
        <v>2</v>
      </c>
      <c r="L38" s="1135"/>
      <c r="M38" s="1136"/>
      <c r="N38" s="1136"/>
      <c r="O38" s="1136"/>
      <c r="P38" s="3243"/>
      <c r="Q38" s="1798" t="str">
        <f t="shared" si="11"/>
        <v>写字楼等级</v>
      </c>
      <c r="R38" s="770" t="s">
        <v>17</v>
      </c>
      <c r="S38" s="771">
        <f t="shared" si="12"/>
        <v>100</v>
      </c>
      <c r="T38" s="770" t="s">
        <v>17</v>
      </c>
      <c r="U38" s="771">
        <f t="shared" si="13"/>
        <v>100</v>
      </c>
      <c r="V38" s="770" t="s">
        <v>17</v>
      </c>
      <c r="W38" s="771">
        <f t="shared" si="14"/>
        <v>100</v>
      </c>
      <c r="X38" s="772"/>
      <c r="Y38" s="3245"/>
      <c r="Z38" s="55" t="str">
        <f t="shared" si="15"/>
        <v>写字楼等级</v>
      </c>
      <c r="AA38" s="773">
        <f t="shared" si="3"/>
        <v>1</v>
      </c>
      <c r="AB38" s="773">
        <f t="shared" si="4"/>
        <v>1</v>
      </c>
      <c r="AC38" s="2678">
        <f t="shared" si="5"/>
        <v>1</v>
      </c>
    </row>
    <row r="39" spans="1:29" ht="15">
      <c r="A39" s="472"/>
      <c r="B39" s="422" t="s">
        <v>2698</v>
      </c>
      <c r="C39" s="3006" t="s">
        <v>3805</v>
      </c>
      <c r="D39" s="435">
        <v>100</v>
      </c>
      <c r="E39" s="3006" t="s">
        <v>3806</v>
      </c>
      <c r="F39" s="461">
        <f>SUMIF(115:115,E39,116:116)-SUMIF(115:115,C39,116:116)+100</f>
        <v>100</v>
      </c>
      <c r="G39" s="3006" t="s">
        <v>3805</v>
      </c>
      <c r="H39" s="435">
        <f>SUMIF(115:115,G39,116:116)-SUMIF(115:115,C39,116:116)+100</f>
        <v>100</v>
      </c>
      <c r="I39" s="3006" t="s">
        <v>3805</v>
      </c>
      <c r="J39" s="435">
        <f>SUMIF(115:115,I39,116:116)-SUMIF(115:115,C39,116:116)+100</f>
        <v>100</v>
      </c>
      <c r="K39" s="612">
        <v>2</v>
      </c>
      <c r="L39" s="1143"/>
      <c r="M39" s="1134"/>
      <c r="N39" s="1134"/>
      <c r="O39" s="1134"/>
      <c r="P39" s="3243" t="s">
        <v>2568</v>
      </c>
      <c r="Q39" s="1813" t="str">
        <f t="shared" si="11"/>
        <v>物业管理</v>
      </c>
      <c r="R39" s="774" t="s">
        <v>17</v>
      </c>
      <c r="S39" s="775">
        <f t="shared" si="12"/>
        <v>100</v>
      </c>
      <c r="T39" s="774" t="s">
        <v>17</v>
      </c>
      <c r="U39" s="775">
        <f t="shared" si="13"/>
        <v>100</v>
      </c>
      <c r="V39" s="774" t="s">
        <v>17</v>
      </c>
      <c r="W39" s="775">
        <f t="shared" si="14"/>
        <v>100</v>
      </c>
      <c r="X39" s="1816"/>
      <c r="Y39" s="3245" t="s">
        <v>2568</v>
      </c>
      <c r="Z39" s="1817" t="str">
        <f t="shared" si="15"/>
        <v>物业管理</v>
      </c>
      <c r="AA39" s="1814">
        <f t="shared" si="3"/>
        <v>1</v>
      </c>
      <c r="AB39" s="1814">
        <f t="shared" si="4"/>
        <v>1</v>
      </c>
      <c r="AC39" s="2681">
        <f t="shared" si="5"/>
        <v>1</v>
      </c>
    </row>
    <row r="40" spans="1:29" ht="15">
      <c r="A40" s="472"/>
      <c r="B40" s="422" t="s">
        <v>2666</v>
      </c>
      <c r="C40" s="3006" t="s">
        <v>3785</v>
      </c>
      <c r="D40" s="435">
        <v>100</v>
      </c>
      <c r="E40" s="3006" t="s">
        <v>3807</v>
      </c>
      <c r="F40" s="461">
        <f>SUMIF(117:117,E40,118:118)-SUMIF(117:117,C40,118:118)+100</f>
        <v>100</v>
      </c>
      <c r="G40" s="3006" t="s">
        <v>3807</v>
      </c>
      <c r="H40" s="435">
        <f>SUMIF(117:117,G40,118:118)-SUMIF(117:117,C40,118:118)+100</f>
        <v>100</v>
      </c>
      <c r="I40" s="3006" t="s">
        <v>3808</v>
      </c>
      <c r="J40" s="435">
        <f>SUMIF(117:117,I40,118:118)-SUMIF(117:117,C40,118:118)+100</f>
        <v>100</v>
      </c>
      <c r="K40" s="612">
        <v>2</v>
      </c>
      <c r="L40" s="1143"/>
      <c r="M40" s="1134"/>
      <c r="N40" s="1134"/>
      <c r="O40" s="1134"/>
      <c r="P40" s="3243"/>
      <c r="Q40" s="1813" t="str">
        <f t="shared" si="11"/>
        <v>市政基础设施</v>
      </c>
      <c r="R40" s="774" t="s">
        <v>17</v>
      </c>
      <c r="S40" s="775">
        <f t="shared" si="12"/>
        <v>100</v>
      </c>
      <c r="T40" s="774" t="s">
        <v>17</v>
      </c>
      <c r="U40" s="775">
        <f t="shared" si="13"/>
        <v>100</v>
      </c>
      <c r="V40" s="774" t="s">
        <v>17</v>
      </c>
      <c r="W40" s="775">
        <f t="shared" si="14"/>
        <v>100</v>
      </c>
      <c r="X40" s="1816"/>
      <c r="Y40" s="3245"/>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3"/>
      <c r="Q41" s="1813" t="str">
        <f t="shared" si="11"/>
        <v>层高</v>
      </c>
      <c r="R41" s="774" t="s">
        <v>17</v>
      </c>
      <c r="S41" s="775">
        <f t="shared" si="12"/>
        <v>100</v>
      </c>
      <c r="T41" s="774" t="s">
        <v>17</v>
      </c>
      <c r="U41" s="775">
        <f t="shared" si="13"/>
        <v>100</v>
      </c>
      <c r="V41" s="774" t="s">
        <v>17</v>
      </c>
      <c r="W41" s="775">
        <f t="shared" si="14"/>
        <v>100</v>
      </c>
      <c r="X41" s="1816"/>
      <c r="Y41" s="3245"/>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3"/>
      <c r="Q42" s="776" t="str">
        <f t="shared" si="11"/>
        <v>单套建筑面积</v>
      </c>
      <c r="R42" s="777" t="s">
        <v>17</v>
      </c>
      <c r="S42" s="778">
        <f t="shared" si="12"/>
        <v>100</v>
      </c>
      <c r="T42" s="777" t="s">
        <v>17</v>
      </c>
      <c r="U42" s="778">
        <f t="shared" si="13"/>
        <v>100</v>
      </c>
      <c r="V42" s="777" t="s">
        <v>17</v>
      </c>
      <c r="W42" s="778">
        <f t="shared" si="14"/>
        <v>100</v>
      </c>
      <c r="X42" s="779"/>
      <c r="Y42" s="3245"/>
      <c r="Z42" s="780" t="str">
        <f t="shared" si="15"/>
        <v>单套建筑面积</v>
      </c>
      <c r="AA42" s="1814">
        <f t="shared" si="3"/>
        <v>1</v>
      </c>
      <c r="AB42" s="1814">
        <f t="shared" si="4"/>
        <v>1</v>
      </c>
      <c r="AC42" s="2681">
        <f t="shared" si="5"/>
        <v>1</v>
      </c>
    </row>
    <row r="43" spans="1:29" ht="15">
      <c r="A43" s="472"/>
      <c r="B43" s="422" t="s">
        <v>2671</v>
      </c>
      <c r="C43" s="3006" t="s">
        <v>3809</v>
      </c>
      <c r="D43" s="435">
        <v>100</v>
      </c>
      <c r="E43" s="3006" t="s">
        <v>3810</v>
      </c>
      <c r="F43" s="461">
        <f>SUMIF(123:123,E43,124:124)-SUMIF(123:123,C43,124:124)+100</f>
        <v>100</v>
      </c>
      <c r="G43" s="3006" t="s">
        <v>3811</v>
      </c>
      <c r="H43" s="435">
        <f>SUMIF(123:123,G43,124:124)-SUMIF(123:123,C43,124:124)+100</f>
        <v>100</v>
      </c>
      <c r="I43" s="3006" t="s">
        <v>3811</v>
      </c>
      <c r="J43" s="435">
        <f>SUMIF(123:123,I43,124:124)-SUMIF(123:123,C43,124:124)+100</f>
        <v>100</v>
      </c>
      <c r="K43" s="612">
        <v>2</v>
      </c>
      <c r="L43" s="1143"/>
      <c r="M43" s="1134"/>
      <c r="N43" s="1134"/>
      <c r="O43" s="1134"/>
      <c r="P43" s="3243"/>
      <c r="Q43" s="1813" t="str">
        <f t="shared" si="11"/>
        <v>内部装修</v>
      </c>
      <c r="R43" s="774" t="s">
        <v>17</v>
      </c>
      <c r="S43" s="775">
        <f t="shared" si="12"/>
        <v>100</v>
      </c>
      <c r="T43" s="774" t="s">
        <v>17</v>
      </c>
      <c r="U43" s="775">
        <f t="shared" si="13"/>
        <v>100</v>
      </c>
      <c r="V43" s="774" t="s">
        <v>17</v>
      </c>
      <c r="W43" s="775">
        <f t="shared" si="14"/>
        <v>100</v>
      </c>
      <c r="X43" s="1816"/>
      <c r="Y43" s="3245"/>
      <c r="Z43" s="1817" t="str">
        <f t="shared" si="15"/>
        <v>内部装修</v>
      </c>
      <c r="AA43" s="1814">
        <f t="shared" si="3"/>
        <v>1</v>
      </c>
      <c r="AB43" s="1814">
        <f t="shared" si="4"/>
        <v>1</v>
      </c>
      <c r="AC43" s="2681">
        <f t="shared" si="5"/>
        <v>1</v>
      </c>
    </row>
    <row r="44" spans="1:29" ht="15">
      <c r="A44" s="472"/>
      <c r="B44" s="422" t="s">
        <v>2579</v>
      </c>
      <c r="C44" s="3006" t="s">
        <v>3783</v>
      </c>
      <c r="D44" s="435">
        <v>100</v>
      </c>
      <c r="E44" s="2995" t="s">
        <v>3783</v>
      </c>
      <c r="F44" s="461">
        <f>SUMIF(125:125,E44,126:126)-SUMIF(125:125,C44,126:126)+100</f>
        <v>100</v>
      </c>
      <c r="G44" s="2995" t="s">
        <v>3783</v>
      </c>
      <c r="H44" s="435">
        <f>SUMIF(125:125,G44,126:126)-SUMIF(125:125,C44,126:126)+100</f>
        <v>100</v>
      </c>
      <c r="I44" s="2995" t="s">
        <v>3783</v>
      </c>
      <c r="J44" s="435">
        <f>SUMIF(125:125,I44,126:126)-SUMIF(125:125,C44,126:126)+100</f>
        <v>100</v>
      </c>
      <c r="K44" s="612">
        <v>2</v>
      </c>
      <c r="L44" s="1143"/>
      <c r="M44" s="1134"/>
      <c r="N44" s="1134"/>
      <c r="O44" s="1134"/>
      <c r="P44" s="3243"/>
      <c r="Q44" s="1813" t="str">
        <f t="shared" si="11"/>
        <v>内部装修维护情况</v>
      </c>
      <c r="R44" s="774" t="s">
        <v>17</v>
      </c>
      <c r="S44" s="775">
        <f t="shared" si="12"/>
        <v>100</v>
      </c>
      <c r="T44" s="774" t="s">
        <v>17</v>
      </c>
      <c r="U44" s="775">
        <f t="shared" si="13"/>
        <v>100</v>
      </c>
      <c r="V44" s="774" t="s">
        <v>17</v>
      </c>
      <c r="W44" s="775">
        <f t="shared" si="14"/>
        <v>100</v>
      </c>
      <c r="X44" s="1816"/>
      <c r="Y44" s="3245"/>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3"/>
      <c r="Q45" s="1798">
        <f t="shared" si="11"/>
        <v>111</v>
      </c>
      <c r="R45" s="770" t="s">
        <v>17</v>
      </c>
      <c r="S45" s="771">
        <f t="shared" si="12"/>
        <v>100</v>
      </c>
      <c r="T45" s="770" t="s">
        <v>17</v>
      </c>
      <c r="U45" s="771">
        <f t="shared" si="13"/>
        <v>100</v>
      </c>
      <c r="V45" s="770" t="s">
        <v>17</v>
      </c>
      <c r="W45" s="771">
        <f t="shared" si="14"/>
        <v>100</v>
      </c>
      <c r="X45" s="772"/>
      <c r="Y45" s="3245"/>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3"/>
      <c r="Q46" s="1813">
        <f t="shared" si="11"/>
        <v>111</v>
      </c>
      <c r="R46" s="774" t="s">
        <v>17</v>
      </c>
      <c r="S46" s="775">
        <f t="shared" si="12"/>
        <v>100</v>
      </c>
      <c r="T46" s="774" t="s">
        <v>17</v>
      </c>
      <c r="U46" s="775">
        <f t="shared" si="13"/>
        <v>100</v>
      </c>
      <c r="V46" s="774" t="s">
        <v>17</v>
      </c>
      <c r="W46" s="775">
        <f t="shared" si="14"/>
        <v>100</v>
      </c>
      <c r="X46" s="1816"/>
      <c r="Y46" s="3245"/>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4"/>
      <c r="Q47" s="1813">
        <f t="shared" si="11"/>
        <v>111</v>
      </c>
      <c r="R47" s="774" t="s">
        <v>17</v>
      </c>
      <c r="S47" s="775">
        <f t="shared" si="12"/>
        <v>100</v>
      </c>
      <c r="T47" s="774" t="s">
        <v>17</v>
      </c>
      <c r="U47" s="775">
        <f t="shared" si="13"/>
        <v>100</v>
      </c>
      <c r="V47" s="774" t="s">
        <v>17</v>
      </c>
      <c r="W47" s="775">
        <f t="shared" si="14"/>
        <v>100</v>
      </c>
      <c r="X47" s="1816"/>
      <c r="Y47" s="3246"/>
      <c r="Z47" s="1817">
        <f t="shared" si="15"/>
        <v>111</v>
      </c>
      <c r="AA47" s="1814">
        <f t="shared" si="3"/>
        <v>1</v>
      </c>
      <c r="AB47" s="1814">
        <f t="shared" si="4"/>
        <v>1</v>
      </c>
      <c r="AC47" s="2681">
        <f t="shared" si="5"/>
        <v>1</v>
      </c>
    </row>
    <row r="48" spans="1:29" ht="15">
      <c r="A48" s="479" t="s">
        <v>2580</v>
      </c>
      <c r="B48" s="480"/>
      <c r="C48" s="1410" t="s">
        <v>1</v>
      </c>
      <c r="D48" s="1411"/>
      <c r="E48" s="1412">
        <v>5.4</v>
      </c>
      <c r="F48" s="1413"/>
      <c r="G48" s="1414">
        <v>4.9000000000000004</v>
      </c>
      <c r="H48" s="1415"/>
      <c r="I48" s="1412">
        <v>5.5</v>
      </c>
      <c r="J48" s="485"/>
      <c r="K48" s="783"/>
      <c r="L48" s="1146"/>
      <c r="M48" s="1134"/>
      <c r="N48" s="1134"/>
      <c r="O48" s="1134"/>
      <c r="P48" s="3249" t="str">
        <f>A48</f>
        <v>成交单价（元/平方米）</v>
      </c>
      <c r="Q48" s="3238"/>
      <c r="R48" s="3239">
        <f>E48</f>
        <v>5.4</v>
      </c>
      <c r="S48" s="3239"/>
      <c r="T48" s="3239">
        <f>G48</f>
        <v>4.9000000000000004</v>
      </c>
      <c r="U48" s="3239"/>
      <c r="V48" s="3239">
        <f>I48</f>
        <v>5.5</v>
      </c>
      <c r="W48" s="3239"/>
      <c r="X48" s="446"/>
      <c r="Y48" s="781"/>
      <c r="Z48" s="446"/>
      <c r="AA48" s="446"/>
      <c r="AB48" s="446"/>
      <c r="AC48" s="630"/>
    </row>
    <row r="49" spans="1:29" ht="15.75" thickBot="1">
      <c r="A49" s="486" t="s">
        <v>2672</v>
      </c>
      <c r="B49" s="487"/>
      <c r="C49" s="1416">
        <f>R50</f>
        <v>5</v>
      </c>
      <c r="D49" s="1417"/>
      <c r="E49" s="1418">
        <f>R49</f>
        <v>5</v>
      </c>
      <c r="F49" s="1418"/>
      <c r="G49" s="1416">
        <f>T49</f>
        <v>5</v>
      </c>
      <c r="H49" s="1417"/>
      <c r="I49" s="1418">
        <f>V49</f>
        <v>5</v>
      </c>
      <c r="J49" s="489"/>
      <c r="K49" s="784"/>
      <c r="L49" s="1146"/>
      <c r="M49" s="1134"/>
      <c r="N49" s="1134"/>
      <c r="O49" s="1134"/>
      <c r="P49" s="3249" t="str">
        <f>A49</f>
        <v>比较价值（元/平方米）</v>
      </c>
      <c r="Q49" s="3238"/>
      <c r="R49" s="3239">
        <f>IF(F1="售价",ROUND(PRODUCT(R48,AA7:AA47),0),ROUND(PRODUCT(R48,AA7:AA47),1))</f>
        <v>5</v>
      </c>
      <c r="S49" s="3239"/>
      <c r="T49" s="3239">
        <f>IF(F1="售价",ROUND(PRODUCT(T48,AB7:AB47),0),ROUND(PRODUCT(T48,AB7:AB47),1))</f>
        <v>5</v>
      </c>
      <c r="U49" s="3239"/>
      <c r="V49" s="3239">
        <f>IF(F1="售价",ROUND(PRODUCT(V48,AC7:AC47),0),ROUND(PRODUCT(V48,AC7:AC47),1))</f>
        <v>5</v>
      </c>
      <c r="W49" s="3239"/>
      <c r="X49" s="446"/>
      <c r="Y49" s="446"/>
      <c r="Z49" s="446"/>
      <c r="AA49" s="446"/>
      <c r="AB49" s="446"/>
      <c r="AC49" s="630"/>
    </row>
    <row r="50" spans="1:29" ht="15.75" thickBot="1">
      <c r="A50" s="492" t="s">
        <v>2673</v>
      </c>
      <c r="B50" s="493"/>
      <c r="C50" s="1420">
        <f>R50</f>
        <v>5</v>
      </c>
      <c r="D50" s="1420"/>
      <c r="E50" s="1420"/>
      <c r="F50" s="1420"/>
      <c r="G50" s="1420"/>
      <c r="H50" s="1420"/>
      <c r="I50" s="1420"/>
      <c r="J50" s="494"/>
      <c r="K50" s="785"/>
      <c r="L50" s="1146"/>
      <c r="M50" s="1134"/>
      <c r="N50" s="1134"/>
      <c r="O50" s="1134"/>
      <c r="P50" s="3301" t="str">
        <f>A50</f>
        <v>估价对象XX用房的比较价值（楼面单价，元/平方米）</v>
      </c>
      <c r="Q50" s="3302"/>
      <c r="R50" s="3303">
        <f>IF(F1="售价",ROUND(AVERAGE(R49:V49),0),ROUND(AVERAGE(R49:V49),1))</f>
        <v>5</v>
      </c>
      <c r="S50" s="3303"/>
      <c r="T50" s="3303"/>
      <c r="U50" s="3303"/>
      <c r="V50" s="3303"/>
      <c r="W50" s="3303"/>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f>IF(E48&lt;E49,E49/E48-1,E48/E49-1)</f>
        <v>8.0000000000000071E-2</v>
      </c>
      <c r="F53" s="500" t="str">
        <f>IF(OR(E53&gt;=0.3,E53&lt;=-0.3),"超过30%","")</f>
        <v/>
      </c>
      <c r="G53" s="499">
        <f>IF(G48&lt;G49,G49/G48-1,G48/G49-1)</f>
        <v>2.0408163265306145E-2</v>
      </c>
      <c r="H53" s="500" t="str">
        <f>IF(OR(G53&gt;=0.3,G53&lt;=-0.3),"超过30%","")</f>
        <v/>
      </c>
      <c r="I53" s="499">
        <f>IF(I48&lt;I49,I49/I48-1,I48/I49-1)</f>
        <v>0.10000000000000009</v>
      </c>
      <c r="J53" s="500" t="str">
        <f>IF(OR(I53&gt;=0.3,I53&lt;=-0.3),"超过30%","")</f>
        <v/>
      </c>
      <c r="K53" s="1108"/>
      <c r="L53" s="1109"/>
      <c r="M53" s="1147"/>
      <c r="N53" s="1147"/>
      <c r="O53" s="1147"/>
    </row>
    <row r="54" spans="1:29" ht="13.5" customHeight="1">
      <c r="A54" s="1147"/>
      <c r="B54" s="1147"/>
      <c r="C54" s="497" t="s">
        <v>2675</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2676</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2561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95</v>
      </c>
      <c r="E84" s="544">
        <f>D84-$K21</f>
        <v>90</v>
      </c>
      <c r="F84" s="544">
        <f>E84-$K21</f>
        <v>85</v>
      </c>
      <c r="G84" s="544">
        <f>F84-$K21</f>
        <v>80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91"/>
      <c r="Q86" s="504"/>
    </row>
    <row r="87" spans="1:17" s="117" customFormat="1" ht="27.75" thickTop="1">
      <c r="A87" s="579"/>
      <c r="B87" s="538" t="s">
        <v>2702</v>
      </c>
      <c r="C87" s="2996" t="s">
        <v>3792</v>
      </c>
      <c r="D87" s="2996" t="s">
        <v>3793</v>
      </c>
      <c r="E87" s="2996" t="s">
        <v>3795</v>
      </c>
      <c r="F87" s="2996" t="s">
        <v>3796</v>
      </c>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91"/>
      <c r="Q88" s="504"/>
    </row>
    <row r="89" spans="1:17" s="117" customFormat="1" ht="15.75" thickTop="1">
      <c r="A89" s="579"/>
      <c r="B89" s="538" t="str">
        <f>B27</f>
        <v>楼层</v>
      </c>
      <c r="C89" s="2996" t="s">
        <v>3802</v>
      </c>
      <c r="D89" s="2996" t="s">
        <v>3797</v>
      </c>
      <c r="E89" s="2996" t="s">
        <v>3803</v>
      </c>
      <c r="F89" s="2642"/>
      <c r="G89" s="554"/>
      <c r="H89" s="554"/>
      <c r="I89" s="554"/>
      <c r="J89" s="554"/>
      <c r="K89" s="554"/>
      <c r="L89" s="554"/>
      <c r="M89" s="581"/>
      <c r="N89" s="1154"/>
      <c r="O89" s="1154"/>
      <c r="P89" s="269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91"/>
      <c r="Q102" s="504"/>
    </row>
    <row r="103" spans="1:17" ht="29.25" thickTop="1">
      <c r="A103" s="534"/>
      <c r="B103" s="538" t="s">
        <v>2616</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v>
      </c>
      <c r="K103" s="578" t="str">
        <f t="shared" si="23"/>
        <v>(含)-</v>
      </c>
      <c r="L103" s="578" t="str">
        <f t="shared" si="23"/>
        <v>(含)-</v>
      </c>
      <c r="M103" s="622" t="str">
        <f>M104&amp;"(含)"&amp;"-"&amp;P104</f>
        <v>(含)-</v>
      </c>
      <c r="N103" s="1154"/>
      <c r="O103" s="1154"/>
      <c r="P103" s="2691"/>
      <c r="Q103" s="504"/>
    </row>
    <row r="104" spans="1:17" s="471" customFormat="1">
      <c r="A104" s="593"/>
      <c r="B104" s="594"/>
      <c r="C104" s="3011">
        <v>0</v>
      </c>
      <c r="D104" s="3011">
        <v>200</v>
      </c>
      <c r="E104" s="3011">
        <v>400</v>
      </c>
      <c r="F104" s="3011">
        <v>600</v>
      </c>
      <c r="G104" s="3011">
        <v>800</v>
      </c>
      <c r="H104" s="3011">
        <v>1000</v>
      </c>
      <c r="I104" s="3011">
        <v>1200</v>
      </c>
      <c r="J104" s="3012">
        <v>1400</v>
      </c>
      <c r="K104" s="596"/>
      <c r="L104" s="597"/>
      <c r="M104" s="598"/>
      <c r="N104" s="1157"/>
      <c r="O104" s="1157"/>
      <c r="P104" s="2692"/>
      <c r="Q104" s="559"/>
    </row>
    <row r="105" spans="1:17" s="471" customFormat="1" ht="15.75" thickBot="1">
      <c r="A105" s="553"/>
      <c r="B105" s="543"/>
      <c r="C105" s="3013">
        <v>100</v>
      </c>
      <c r="D105" s="3014">
        <v>98</v>
      </c>
      <c r="E105" s="3014">
        <v>96</v>
      </c>
      <c r="F105" s="3014">
        <v>94</v>
      </c>
      <c r="G105" s="3014">
        <v>92</v>
      </c>
      <c r="H105" s="3014">
        <v>90</v>
      </c>
      <c r="I105" s="3014">
        <v>88</v>
      </c>
      <c r="J105" s="3014">
        <v>86</v>
      </c>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H30" sqref="H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36.659999999999997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64468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29530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3590</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3586</v>
      </c>
      <c r="D6" s="164" t="s">
        <v>3035</v>
      </c>
      <c r="E6" s="347" t="s">
        <v>1405</v>
      </c>
      <c r="F6" s="348">
        <f ca="1">INDIRECT("'数据-取费表'!u"&amp;$G$1)</f>
        <v>5</v>
      </c>
      <c r="G6" s="1854"/>
      <c r="H6" s="1294" t="s">
        <v>1035</v>
      </c>
      <c r="I6" s="3209" t="s">
        <v>1403</v>
      </c>
      <c r="J6" s="346">
        <f ca="1">ROUND(M6*M8*M7*(1-M9)/10000,0)</f>
        <v>0</v>
      </c>
      <c r="K6" s="164" t="s">
        <v>3034</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21831.640000000003</v>
      </c>
      <c r="G7" s="1854"/>
      <c r="H7" s="349"/>
      <c r="I7" s="3210"/>
      <c r="J7" s="351"/>
      <c r="K7" s="352"/>
      <c r="L7" s="347" t="s">
        <v>1406</v>
      </c>
      <c r="M7" s="348">
        <f ca="1">F7</f>
        <v>21831.640000000003</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3044</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8694</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5676</v>
      </c>
      <c r="D14" s="1803" t="s">
        <v>1418</v>
      </c>
      <c r="E14" s="1797"/>
      <c r="F14" s="364"/>
      <c r="G14" s="1854"/>
      <c r="H14" s="1204" t="s">
        <v>1035</v>
      </c>
      <c r="I14" s="347" t="s">
        <v>1419</v>
      </c>
      <c r="J14" s="24">
        <f ca="1">C29</f>
        <v>8871</v>
      </c>
      <c r="K14" s="15"/>
      <c r="L14" s="982"/>
      <c r="M14" s="983"/>
    </row>
    <row r="15" spans="1:37" s="1861" customFormat="1" ht="18" customHeight="1" thickBot="1">
      <c r="A15" s="1204" t="s">
        <v>1036</v>
      </c>
      <c r="B15" s="347" t="s">
        <v>1420</v>
      </c>
      <c r="C15" s="24">
        <f ca="1">ROUND(C14*F15,0)</f>
        <v>227</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210</v>
      </c>
      <c r="K16" s="1340" t="s">
        <v>1425</v>
      </c>
      <c r="L16" s="1341"/>
      <c r="M16" s="1297"/>
    </row>
    <row r="17" spans="1:37" s="1861" customFormat="1" ht="18" customHeight="1">
      <c r="A17" s="1204" t="s">
        <v>1390</v>
      </c>
      <c r="B17" s="347" t="s">
        <v>1426</v>
      </c>
      <c r="C17" s="24">
        <f ca="1">ROUND(F17*(F43+INDIRECT("'数据-取费表'!S"&amp;$G$1))/10000,0)</f>
        <v>437</v>
      </c>
      <c r="D17" s="347" t="s">
        <v>1427</v>
      </c>
      <c r="E17" s="347" t="s">
        <v>1428</v>
      </c>
      <c r="F17" s="26">
        <f>'数据-取费表'!B35</f>
        <v>200</v>
      </c>
      <c r="G17" s="1857"/>
      <c r="H17" s="1204" t="s">
        <v>1035</v>
      </c>
      <c r="I17" s="347" t="s">
        <v>1429</v>
      </c>
      <c r="J17" s="24">
        <f ca="1">ROUND(IF(项目基本情况!B11="自然人",J5*M17,J18+J19+J20),1)</f>
        <v>76.8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6425</v>
      </c>
      <c r="D19" s="140" t="s">
        <v>1436</v>
      </c>
      <c r="E19" s="1821"/>
      <c r="F19" s="26"/>
      <c r="G19" s="1854"/>
      <c r="H19" s="1204" t="s">
        <v>1036</v>
      </c>
      <c r="I19" s="347" t="s">
        <v>1437</v>
      </c>
      <c r="J19" s="24">
        <f ca="1">IF(K19="按租金收入计税",ROUND(J5*M19,2),ROUND(C29*M19*0.7,2))</f>
        <v>74.52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129</v>
      </c>
      <c r="D20" s="369" t="s">
        <v>1440</v>
      </c>
      <c r="E20" s="347" t="s">
        <v>1422</v>
      </c>
      <c r="F20" s="367">
        <f>'数据-取费表'!B37</f>
        <v>0.02</v>
      </c>
      <c r="G20" s="1857"/>
      <c r="H20" s="1204" t="s">
        <v>1389</v>
      </c>
      <c r="I20" s="164" t="s">
        <v>1441</v>
      </c>
      <c r="J20" s="25">
        <f ca="1">ROUND(M20*M21/10000,2)</f>
        <v>2.23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7443.44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-210</v>
      </c>
      <c r="K25" s="1348" t="s">
        <v>1464</v>
      </c>
      <c r="L25" s="1349"/>
      <c r="M25" s="1350"/>
    </row>
    <row r="26" spans="1:37">
      <c r="A26" s="1204" t="s">
        <v>1034</v>
      </c>
      <c r="B26" s="347" t="s">
        <v>1465</v>
      </c>
      <c r="C26" s="24">
        <f ca="1">ROUND((C19+C20)*F26,0)</f>
        <v>1311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8871</v>
      </c>
      <c r="D29" s="1345"/>
      <c r="E29" s="1343"/>
      <c r="F29" s="1346"/>
      <c r="G29" s="1857"/>
      <c r="H29" s="380" t="s">
        <v>1033</v>
      </c>
      <c r="I29" s="381" t="s">
        <v>1479</v>
      </c>
      <c r="J29" s="382">
        <f ca="1">ROUND(J26/(1+F40)^F41,0)</f>
        <v>0</v>
      </c>
      <c r="K29" s="383" t="s">
        <v>1480</v>
      </c>
      <c r="L29" s="384"/>
      <c r="M29" s="385">
        <f ca="1">INDIRECT("'数据-取费表'!k"&amp;$G$1)</f>
        <v>21831.640000000003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624.5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191.47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2.23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7443.44</v>
      </c>
      <c r="G35" s="1854"/>
      <c r="H35" s="745"/>
      <c r="I35" s="1863"/>
      <c r="J35" s="1864"/>
      <c r="K35" s="1865"/>
      <c r="L35" s="1862"/>
      <c r="M35" s="1862"/>
    </row>
    <row r="36" spans="1:18" ht="18" customHeight="1">
      <c r="A36" s="1355" t="s">
        <v>1039</v>
      </c>
      <c r="B36" s="347" t="s">
        <v>1449</v>
      </c>
      <c r="C36" s="24">
        <f ca="1">ROUND(C29*F36,1)</f>
        <v>133.1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71.8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2748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64290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29448</v>
      </c>
      <c r="D43" s="383" t="s">
        <v>1488</v>
      </c>
      <c r="E43" s="384" t="s">
        <v>1489</v>
      </c>
      <c r="F43" s="385">
        <f ca="1">INDIRECT("'数据-取费表'!k"&amp;$G$1)</f>
        <v>21831.640000000003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-78261</v>
      </c>
      <c r="D46" s="1875" t="str">
        <f>C2</f>
        <v>万元</v>
      </c>
      <c r="E46" s="1869"/>
      <c r="F46" s="1869"/>
      <c r="I46" s="1876" t="s">
        <v>1521</v>
      </c>
      <c r="J46" s="1877"/>
      <c r="K46" s="1878"/>
      <c r="L46" s="1879">
        <f ca="1">IF(M47="住宅",0,IF(L48&gt;J51,L60,J60))</f>
        <v>178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64290</v>
      </c>
      <c r="R47" s="1889" t="s">
        <v>1529</v>
      </c>
    </row>
    <row r="48" spans="1:18" s="1845" customFormat="1" ht="28.5" thickBot="1">
      <c r="A48" s="1363" t="s">
        <v>1135</v>
      </c>
      <c r="B48" s="345" t="s">
        <v>1401</v>
      </c>
      <c r="C48" s="1820">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178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8871</v>
      </c>
      <c r="R49" s="1889" t="s">
        <v>1529</v>
      </c>
    </row>
    <row r="50" spans="1:18" s="1845" customFormat="1" ht="13.5" thickBot="1">
      <c r="A50" s="1198"/>
      <c r="B50" s="1201"/>
      <c r="C50" s="1371"/>
      <c r="D50" s="1175"/>
      <c r="E50" s="1280" t="s">
        <v>1406</v>
      </c>
      <c r="F50" s="1281">
        <f ca="1">F7</f>
        <v>21831.640000000003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34187</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12" t="s">
        <v>1548</v>
      </c>
      <c r="L53" s="3213"/>
      <c r="O53" s="1887" t="s">
        <v>1046</v>
      </c>
      <c r="P53" s="1888" t="s">
        <v>1549</v>
      </c>
      <c r="Q53" s="1889">
        <f ca="1">Q47+Q48</f>
        <v>64468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8694</v>
      </c>
      <c r="D56" s="1917"/>
      <c r="E56" s="1918"/>
      <c r="F56" s="1910"/>
      <c r="I56" s="1919" t="s">
        <v>1554</v>
      </c>
      <c r="J56" s="1920" t="s">
        <v>3700</v>
      </c>
      <c r="K56" s="1890" t="s">
        <v>1555</v>
      </c>
      <c r="L56" s="1893" t="str">
        <f ca="1">IF(L48&lt;J51,"——",L48-J53)</f>
        <v>——</v>
      </c>
      <c r="O56" s="1887" t="s">
        <v>1040</v>
      </c>
      <c r="P56" s="1888" t="s">
        <v>1528</v>
      </c>
      <c r="Q56" s="1889">
        <f ca="1">C40+J29</f>
        <v>64290</v>
      </c>
      <c r="R56" s="1889" t="s">
        <v>1529</v>
      </c>
    </row>
    <row r="57" spans="1:18" s="1845" customFormat="1" ht="24.75" thickBot="1">
      <c r="A57" s="1921"/>
      <c r="B57" s="1172" t="s">
        <v>1478</v>
      </c>
      <c r="C57" s="282">
        <f ca="1">C29</f>
        <v>8871</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894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747.4</v>
      </c>
      <c r="D59" s="1185" t="s">
        <v>1430</v>
      </c>
      <c r="E59" s="1186" t="s">
        <v>1431</v>
      </c>
      <c r="F59" s="368" t="str">
        <f ca="1">IF(项目基本情况!B11="企业","",IF(INDIRECT("'数据-取费表'!c"&amp;$G$1)="住宅",5%,IF(F49*F50*F51/12/(1+'数据-取费表'!C42)&gt;20000,12%,7%)))</f>
        <v/>
      </c>
      <c r="I59" s="1925" t="s">
        <v>1563</v>
      </c>
      <c r="J59" s="1926">
        <f ca="1">IF(OR(M47="住宅",J51&lt;L48,J56="是"),"——",ROUND(C29*J58,0))</f>
        <v>3548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178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745.16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2.23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64290</v>
      </c>
      <c r="R62" s="1889" t="s">
        <v>1047</v>
      </c>
    </row>
    <row r="63" spans="1:18" s="1845" customFormat="1" ht="13.5" thickBot="1">
      <c r="A63" s="372"/>
      <c r="B63" s="1178"/>
      <c r="C63" s="29"/>
      <c r="D63" s="1188"/>
      <c r="E63" s="1172" t="s">
        <v>1499</v>
      </c>
      <c r="F63" s="348">
        <f t="shared" ca="1" si="0"/>
        <v>7443.44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13</v>
      </c>
      <c r="D65" s="1186" t="s">
        <v>1454</v>
      </c>
      <c r="E65" s="1172" t="s">
        <v>1455</v>
      </c>
      <c r="F65" s="376">
        <f t="shared" ca="1" si="0"/>
        <v>1.5E-3</v>
      </c>
      <c r="I65" s="1932" t="s">
        <v>1579</v>
      </c>
      <c r="J65" s="1933">
        <v>40</v>
      </c>
      <c r="K65" s="1933">
        <v>30</v>
      </c>
      <c r="L65" s="1933">
        <v>50</v>
      </c>
      <c r="M65" s="1935">
        <v>0.02</v>
      </c>
      <c r="O65" s="1887" t="s">
        <v>1040</v>
      </c>
      <c r="P65" s="1888" t="s">
        <v>1580</v>
      </c>
      <c r="Q65" s="1889">
        <f ca="1">C40+J29</f>
        <v>64290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-894</v>
      </c>
      <c r="D67" s="1185" t="s">
        <v>1464</v>
      </c>
      <c r="E67" s="1190"/>
      <c r="F67" s="1191"/>
      <c r="O67" s="1897" t="s">
        <v>1042</v>
      </c>
      <c r="P67" s="1888" t="s">
        <v>1562</v>
      </c>
      <c r="Q67" s="1936">
        <f ca="1">L51</f>
        <v>34187</v>
      </c>
      <c r="R67" s="1889" t="s">
        <v>1582</v>
      </c>
    </row>
    <row r="68" spans="1:18" s="1845" customFormat="1" ht="16.5" thickBot="1">
      <c r="A68" s="1169" t="s">
        <v>1032</v>
      </c>
      <c r="B68" s="1170" t="s">
        <v>1485</v>
      </c>
      <c r="C68" s="346">
        <f ca="1">ROUND(C67*(1-((1+F70)/(1+F68))^F69)/(F68-F70),0)</f>
        <v>-13971</v>
      </c>
      <c r="D68" s="1187" t="s">
        <v>1469</v>
      </c>
      <c r="E68" s="1172" t="s">
        <v>1470</v>
      </c>
      <c r="F68" s="357">
        <f ca="1">F40</f>
        <v>5.5E-2</v>
      </c>
      <c r="O68" s="1897" t="s">
        <v>1043</v>
      </c>
      <c r="P68" s="1937" t="s">
        <v>1583</v>
      </c>
      <c r="Q68" s="1889">
        <f ca="1">ROUND(Q69-Q70*Q71,0)</f>
        <v>2052</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2748</v>
      </c>
      <c r="R69" s="1889" t="s">
        <v>1529</v>
      </c>
    </row>
    <row r="70" spans="1:18" s="1845" customFormat="1" ht="13.5" thickBot="1">
      <c r="A70" s="1176"/>
      <c r="B70" s="1177"/>
      <c r="C70" s="355"/>
      <c r="D70" s="1188"/>
      <c r="E70" s="1172" t="s">
        <v>1477</v>
      </c>
      <c r="F70" s="1278"/>
      <c r="O70" s="1897" t="s">
        <v>1049</v>
      </c>
      <c r="P70" s="1937" t="s">
        <v>1585</v>
      </c>
      <c r="Q70" s="1889">
        <f ca="1">C13</f>
        <v>8694</v>
      </c>
      <c r="R70" s="1889" t="s">
        <v>1529</v>
      </c>
    </row>
    <row r="71" spans="1:18" s="1845" customFormat="1" ht="13.5" thickBot="1">
      <c r="A71" s="1193" t="s">
        <v>1033</v>
      </c>
      <c r="B71" s="1194" t="s">
        <v>1487</v>
      </c>
      <c r="C71" s="382">
        <f ca="1">ROUND(C68*10000/F71,0)</f>
        <v>-6399</v>
      </c>
      <c r="D71" s="1195" t="s">
        <v>1488</v>
      </c>
      <c r="E71" s="1196" t="s">
        <v>1489</v>
      </c>
      <c r="F71" s="385">
        <f ca="1">F43</f>
        <v>21831.640000000003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696</v>
      </c>
      <c r="D75" s="1845"/>
      <c r="E75" s="1845"/>
      <c r="F75" s="1845"/>
      <c r="K75" s="1871"/>
      <c r="L75" s="1845"/>
      <c r="O75" s="1887" t="s">
        <v>1046</v>
      </c>
      <c r="P75" s="1888" t="s">
        <v>1549</v>
      </c>
      <c r="Q75" s="1889">
        <f ca="1">Q65+Q66</f>
        <v>64290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0.747</v>
      </c>
    </row>
    <row r="80" spans="1:18">
      <c r="B80" s="386" t="s">
        <v>1511</v>
      </c>
      <c r="C80" s="318">
        <f ca="1">ROUND(C75/C39,3)</f>
        <v>0.253</v>
      </c>
    </row>
    <row r="81" spans="2:3">
      <c r="B81" s="314" t="s">
        <v>1512</v>
      </c>
      <c r="C81" s="282"/>
    </row>
    <row r="82" spans="2:3">
      <c r="B82" s="317" t="s">
        <v>1513</v>
      </c>
      <c r="C82" s="319">
        <f ca="1">1-C83</f>
        <v>0.86499999999999999</v>
      </c>
    </row>
    <row r="83" spans="2:3">
      <c r="B83" s="317" t="s">
        <v>1514</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8" priority="56">
      <formula>$L$48&gt;$J$51</formula>
    </cfRule>
  </conditionalFormatting>
  <conditionalFormatting sqref="I55 I60">
    <cfRule type="expression" dxfId="77" priority="57">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2" workbookViewId="0">
      <selection activeCell="H36" sqref="H35:H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2999</v>
      </c>
      <c r="B2" s="2918">
        <f ca="1">SUMIF(B6:B13,"&lt;&gt;#ref!",B6:B13)</f>
        <v>72435</v>
      </c>
      <c r="C2" s="2917" t="s">
        <v>3000</v>
      </c>
      <c r="D2" s="2917" t="s">
        <v>3001</v>
      </c>
      <c r="E2" s="2918">
        <f ca="1">SUMIF(E6:E13,"&lt;&gt;#ref!",E6:E13)</f>
        <v>0</v>
      </c>
    </row>
    <row r="3" spans="1:5" ht="15.75">
      <c r="A3" s="2917" t="s">
        <v>3002</v>
      </c>
      <c r="B3" s="2918" t="e">
        <f ca="1">ROUND(B2*10000/E2,0)</f>
        <v>#DIV/0!</v>
      </c>
      <c r="C3" s="2917" t="s">
        <v>3007</v>
      </c>
      <c r="D3" s="2919"/>
      <c r="E3" s="2919"/>
    </row>
    <row r="4" spans="1:5" ht="15.75">
      <c r="A4" s="2920"/>
      <c r="B4" s="2919"/>
      <c r="C4" s="2919"/>
      <c r="D4" s="2919"/>
      <c r="E4" s="2919"/>
    </row>
    <row r="5" spans="1:5" ht="28.5">
      <c r="A5" s="2921" t="s">
        <v>3003</v>
      </c>
      <c r="B5" s="2917" t="s">
        <v>3004</v>
      </c>
      <c r="C5" s="2918"/>
      <c r="D5" s="2919"/>
      <c r="E5" s="2917" t="s">
        <v>3005</v>
      </c>
    </row>
    <row r="6" spans="1:5" ht="15.75">
      <c r="A6" s="2922" t="s">
        <v>3692</v>
      </c>
      <c r="B6" s="2918">
        <f ca="1">SUMIF(INDIRECT("'"&amp;A6&amp;"'"&amp;"!A:A"),"总价",INDIRECT("'"&amp;A6&amp;"'"&amp;"!B:B"))</f>
        <v>7967</v>
      </c>
      <c r="C6" s="2917" t="s">
        <v>3000</v>
      </c>
      <c r="D6" s="2919"/>
      <c r="E6" s="2582">
        <f ca="1">SUMIF(INDIRECT("'"&amp;A6&amp;"'"&amp;"!C:C"),"建筑面积",INDIRECT("'"&amp;A6&amp;"'"&amp;"!D:D"))</f>
        <v>0</v>
      </c>
    </row>
    <row r="7" spans="1:5" ht="15.75">
      <c r="A7" s="2922" t="s">
        <v>3694</v>
      </c>
      <c r="B7" s="2918">
        <f ca="1">SUMIF(INDIRECT("'"&amp;A7&amp;"'"&amp;"!A:A"),"总价",INDIRECT("'"&amp;A7&amp;"'"&amp;"!B:B"))</f>
        <v>64468</v>
      </c>
      <c r="C7" s="2917" t="s">
        <v>3000</v>
      </c>
      <c r="D7" s="2919"/>
      <c r="E7" s="2582">
        <f t="shared" ref="E7:E13" ca="1" si="0">SUMIF(INDIRECT("'"&amp;A7&amp;"'"&amp;"!C:C"),"建筑面积",INDIRECT("'"&amp;A7&amp;"'"&amp;"!D:D"))</f>
        <v>0</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6" sqref="G2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72435</v>
      </c>
      <c r="C2" s="2573" t="s">
        <v>2522</v>
      </c>
      <c r="D2" s="2574" t="s">
        <v>2523</v>
      </c>
      <c r="E2" s="2575">
        <f>SUM(E6:E13)</f>
        <v>26196.840000000004</v>
      </c>
    </row>
    <row r="3" spans="1:6" ht="15.75">
      <c r="A3" s="2571" t="s">
        <v>1395</v>
      </c>
      <c r="B3" s="2572">
        <f ca="1">ROUND(B2*10000/E2,0)</f>
        <v>27650</v>
      </c>
      <c r="C3" s="2573" t="s">
        <v>2530</v>
      </c>
      <c r="D3" s="2576"/>
      <c r="E3" s="2577"/>
    </row>
    <row r="4" spans="1:6" ht="15.75">
      <c r="A4" s="2578"/>
      <c r="B4" s="2576"/>
      <c r="C4" s="2576"/>
      <c r="D4" s="2576"/>
      <c r="E4" s="2577"/>
    </row>
    <row r="5" spans="1:6" ht="15">
      <c r="A5" s="2579" t="s">
        <v>2524</v>
      </c>
      <c r="B5" s="3320" t="s">
        <v>2525</v>
      </c>
      <c r="C5" s="3320"/>
      <c r="D5" s="2580"/>
      <c r="E5" s="2581" t="s">
        <v>2526</v>
      </c>
      <c r="F5" s="2582" t="s">
        <v>2527</v>
      </c>
    </row>
    <row r="6" spans="1:6">
      <c r="A6" s="2583" t="str">
        <f>'数据-取费表'!AN6</f>
        <v>收益法商业</v>
      </c>
      <c r="B6" s="2582">
        <f ca="1">IF(F6="是",'数据-取费表'!AO6,0)</f>
        <v>7967</v>
      </c>
      <c r="C6" s="2573" t="s">
        <v>2522</v>
      </c>
      <c r="D6" s="2576"/>
      <c r="E6" s="2584">
        <f>IF(OR(A6=0,F6="否"),0,'数据-取费表'!K6+'数据-取费表'!S6)</f>
        <v>4365.2</v>
      </c>
      <c r="F6" s="2585" t="s">
        <v>2528</v>
      </c>
    </row>
    <row r="7" spans="1:6">
      <c r="A7" s="2583" t="str">
        <f>'数据-取费表'!AN7</f>
        <v>收益法办公</v>
      </c>
      <c r="B7" s="2582">
        <f ca="1">IF(F7="是",'数据-取费表'!AO7,0)</f>
        <v>64468</v>
      </c>
      <c r="C7" s="2573" t="s">
        <v>2522</v>
      </c>
      <c r="D7" s="2576"/>
      <c r="E7" s="2584">
        <f>IF(OR(A7=0,F7="否"),0,'数据-取费表'!K7+'数据-取费表'!S7)</f>
        <v>21831.640000000003</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26196.840000000004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51" t="s">
        <v>2651</v>
      </c>
      <c r="AC4" s="3250" t="s">
        <v>2652</v>
      </c>
    </row>
    <row r="5" spans="1:29" ht="15">
      <c r="A5" s="404"/>
      <c r="B5" s="405"/>
      <c r="C5" s="3272" t="s">
        <v>2545</v>
      </c>
      <c r="D5" s="3273"/>
      <c r="E5" s="3279" t="s">
        <v>2546</v>
      </c>
      <c r="F5" s="3280"/>
      <c r="G5" s="3272" t="s">
        <v>2547</v>
      </c>
      <c r="H5" s="3273"/>
      <c r="I5" s="3272" t="s">
        <v>2548</v>
      </c>
      <c r="J5" s="3273"/>
      <c r="K5" s="610"/>
      <c r="L5" s="1133"/>
      <c r="M5" s="1134"/>
      <c r="N5" s="1134"/>
      <c r="O5" s="1134"/>
      <c r="P5" s="3259"/>
      <c r="Q5" s="3260"/>
      <c r="R5" s="3265"/>
      <c r="S5" s="3266"/>
      <c r="T5" s="3265"/>
      <c r="U5" s="3266"/>
      <c r="V5" s="3269"/>
      <c r="W5" s="3269"/>
      <c r="X5" s="1816"/>
      <c r="Y5" s="3265"/>
      <c r="Z5" s="3266"/>
      <c r="AA5" s="3251"/>
      <c r="AB5" s="3251"/>
      <c r="AC5" s="3251"/>
    </row>
    <row r="6" spans="1:29" ht="15.75" thickBot="1">
      <c r="A6" s="406"/>
      <c r="B6" s="407"/>
      <c r="C6" s="3270" t="s">
        <v>2549</v>
      </c>
      <c r="D6" s="3271"/>
      <c r="E6" s="3277" t="s">
        <v>2549</v>
      </c>
      <c r="F6" s="3278"/>
      <c r="G6" s="3270" t="s">
        <v>2549</v>
      </c>
      <c r="H6" s="3271"/>
      <c r="I6" s="3270" t="s">
        <v>2549</v>
      </c>
      <c r="J6" s="3271"/>
      <c r="K6" s="610" t="s">
        <v>2550</v>
      </c>
      <c r="L6" s="1133"/>
      <c r="M6" s="1134"/>
      <c r="N6" s="1134"/>
      <c r="O6" s="1134"/>
      <c r="P6" s="3261"/>
      <c r="Q6" s="3262"/>
      <c r="R6" s="3265"/>
      <c r="S6" s="3266"/>
      <c r="T6" s="3267"/>
      <c r="U6" s="3268"/>
      <c r="V6" s="3269"/>
      <c r="W6" s="3269"/>
      <c r="X6" s="1816"/>
      <c r="Y6" s="3267"/>
      <c r="Z6" s="3268"/>
      <c r="AA6" s="3252"/>
      <c r="AB6" s="3252"/>
      <c r="AC6" s="3252"/>
    </row>
    <row r="7" spans="1:29" s="117" customFormat="1" ht="15.75" thickBot="1">
      <c r="A7" s="408" t="s">
        <v>2551</v>
      </c>
      <c r="B7" s="409"/>
      <c r="C7" s="410">
        <f>'数据-取费表'!B2</f>
        <v>43243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4" t="s">
        <v>2552</v>
      </c>
      <c r="Q7" s="3276"/>
      <c r="R7" s="770" t="s">
        <v>17</v>
      </c>
      <c r="S7" s="771">
        <f t="shared" ref="S7:S15" si="0">F7</f>
        <v>0</v>
      </c>
      <c r="T7" s="770" t="s">
        <v>17</v>
      </c>
      <c r="U7" s="771">
        <f t="shared" ref="U7:U15" si="1">H7</f>
        <v>0</v>
      </c>
      <c r="V7" s="770" t="s">
        <v>17</v>
      </c>
      <c r="W7" s="771">
        <f t="shared" ref="W7:W15" si="2">J7</f>
        <v>0</v>
      </c>
      <c r="X7" s="772"/>
      <c r="Y7" s="3274" t="s">
        <v>2552</v>
      </c>
      <c r="Z7" s="327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4" t="s">
        <v>2555</v>
      </c>
      <c r="Q8" s="3275"/>
      <c r="R8" s="770" t="s">
        <v>17</v>
      </c>
      <c r="S8" s="771">
        <f t="shared" si="0"/>
        <v>0</v>
      </c>
      <c r="T8" s="770" t="s">
        <v>17</v>
      </c>
      <c r="U8" s="771">
        <f t="shared" si="1"/>
        <v>0</v>
      </c>
      <c r="V8" s="770" t="s">
        <v>17</v>
      </c>
      <c r="W8" s="771">
        <f t="shared" si="2"/>
        <v>0</v>
      </c>
      <c r="X8" s="772"/>
      <c r="Y8" s="3274" t="s">
        <v>2555</v>
      </c>
      <c r="Z8" s="327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8"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8"/>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8"/>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8"/>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0" t="s">
        <v>2563</v>
      </c>
      <c r="Q15" s="1813" t="str">
        <f t="shared" si="6"/>
        <v>产业集聚程度</v>
      </c>
      <c r="R15" s="774" t="s">
        <v>17</v>
      </c>
      <c r="S15" s="775">
        <f t="shared" si="0"/>
        <v>100</v>
      </c>
      <c r="T15" s="774" t="s">
        <v>17</v>
      </c>
      <c r="U15" s="775">
        <f t="shared" si="1"/>
        <v>100</v>
      </c>
      <c r="V15" s="774" t="s">
        <v>17</v>
      </c>
      <c r="W15" s="775">
        <f t="shared" si="2"/>
        <v>100</v>
      </c>
      <c r="X15" s="1816"/>
      <c r="Y15" s="3240"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1"/>
      <c r="Q16" s="1813"/>
      <c r="R16" s="774"/>
      <c r="S16" s="775"/>
      <c r="T16" s="774"/>
      <c r="U16" s="775"/>
      <c r="V16" s="774"/>
      <c r="W16" s="775"/>
      <c r="X16" s="1816"/>
      <c r="Y16" s="3241"/>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1"/>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41"/>
      <c r="Q18" s="1813"/>
      <c r="R18" s="774"/>
      <c r="S18" s="775"/>
      <c r="T18" s="774"/>
      <c r="U18" s="775"/>
      <c r="V18" s="774"/>
      <c r="W18" s="775"/>
      <c r="X18" s="1816"/>
      <c r="Y18" s="3241"/>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1"/>
      <c r="Q19" s="1813" t="str">
        <f>B19</f>
        <v>公共配套设施</v>
      </c>
      <c r="R19" s="774" t="s">
        <v>17</v>
      </c>
      <c r="S19" s="775">
        <f>F19</f>
        <v>100</v>
      </c>
      <c r="T19" s="774" t="s">
        <v>17</v>
      </c>
      <c r="U19" s="775">
        <f>H19</f>
        <v>100</v>
      </c>
      <c r="V19" s="774" t="s">
        <v>17</v>
      </c>
      <c r="W19" s="775">
        <f>J19</f>
        <v>100</v>
      </c>
      <c r="X19" s="1816"/>
      <c r="Y19" s="324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41"/>
      <c r="Q20" s="1813"/>
      <c r="R20" s="774"/>
      <c r="S20" s="775"/>
      <c r="T20" s="774"/>
      <c r="U20" s="775"/>
      <c r="V20" s="774"/>
      <c r="W20" s="775"/>
      <c r="X20" s="1816"/>
      <c r="Y20" s="3241"/>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1"/>
      <c r="Q21" s="1813" t="str">
        <f>B21</f>
        <v>基础设施水平</v>
      </c>
      <c r="R21" s="774" t="s">
        <v>17</v>
      </c>
      <c r="S21" s="775">
        <f>F21</f>
        <v>100</v>
      </c>
      <c r="T21" s="774" t="s">
        <v>17</v>
      </c>
      <c r="U21" s="775">
        <f>H21</f>
        <v>100</v>
      </c>
      <c r="V21" s="774" t="s">
        <v>17</v>
      </c>
      <c r="W21" s="775">
        <f>J21</f>
        <v>100</v>
      </c>
      <c r="X21" s="1816"/>
      <c r="Y21" s="324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41"/>
      <c r="Q22" s="1813"/>
      <c r="R22" s="774"/>
      <c r="S22" s="775"/>
      <c r="T22" s="774"/>
      <c r="U22" s="775"/>
      <c r="V22" s="774"/>
      <c r="W22" s="775"/>
      <c r="X22" s="1816"/>
      <c r="Y22" s="3241"/>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1"/>
      <c r="Q23" s="1813" t="str">
        <f>B23</f>
        <v>环境质量</v>
      </c>
      <c r="R23" s="774" t="s">
        <v>17</v>
      </c>
      <c r="S23" s="775">
        <f>F23</f>
        <v>100</v>
      </c>
      <c r="T23" s="774" t="s">
        <v>17</v>
      </c>
      <c r="U23" s="775">
        <f>H23</f>
        <v>100</v>
      </c>
      <c r="V23" s="774" t="s">
        <v>17</v>
      </c>
      <c r="W23" s="775">
        <f>J23</f>
        <v>100</v>
      </c>
      <c r="X23" s="1816"/>
      <c r="Y23" s="3241"/>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41"/>
      <c r="Q24" s="1813"/>
      <c r="R24" s="774"/>
      <c r="S24" s="775"/>
      <c r="T24" s="774"/>
      <c r="U24" s="775"/>
      <c r="V24" s="774"/>
      <c r="W24" s="775"/>
      <c r="X24" s="1816"/>
      <c r="Y24" s="324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1"/>
      <c r="Q25" s="1813">
        <f>B25</f>
        <v>111</v>
      </c>
      <c r="R25" s="774" t="s">
        <v>17</v>
      </c>
      <c r="S25" s="775">
        <f>F25</f>
        <v>100</v>
      </c>
      <c r="T25" s="774" t="s">
        <v>17</v>
      </c>
      <c r="U25" s="775">
        <f>H25</f>
        <v>100</v>
      </c>
      <c r="V25" s="774" t="s">
        <v>17</v>
      </c>
      <c r="W25" s="775">
        <f>J25</f>
        <v>100</v>
      </c>
      <c r="X25" s="1816"/>
      <c r="Y25" s="324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1"/>
      <c r="Q26" s="1813">
        <f t="shared" ref="Q26:Q40" si="11">B26</f>
        <v>111</v>
      </c>
      <c r="R26" s="774" t="s">
        <v>17</v>
      </c>
      <c r="S26" s="775">
        <f>F26</f>
        <v>100</v>
      </c>
      <c r="T26" s="774" t="s">
        <v>17</v>
      </c>
      <c r="U26" s="775">
        <f>H26</f>
        <v>100</v>
      </c>
      <c r="V26" s="774" t="s">
        <v>17</v>
      </c>
      <c r="W26" s="775">
        <f>J26</f>
        <v>100</v>
      </c>
      <c r="X26" s="1816"/>
      <c r="Y26" s="324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1"/>
      <c r="Q27" s="1798">
        <f t="shared" si="11"/>
        <v>111</v>
      </c>
      <c r="R27" s="770" t="s">
        <v>17</v>
      </c>
      <c r="S27" s="771">
        <f>F27</f>
        <v>100</v>
      </c>
      <c r="T27" s="770" t="s">
        <v>17</v>
      </c>
      <c r="U27" s="771">
        <f>H27</f>
        <v>100</v>
      </c>
      <c r="V27" s="770" t="s">
        <v>17</v>
      </c>
      <c r="W27" s="771">
        <f>J27</f>
        <v>100</v>
      </c>
      <c r="X27" s="772"/>
      <c r="Y27" s="324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1"/>
      <c r="Q28" s="1813">
        <f t="shared" si="11"/>
        <v>111</v>
      </c>
      <c r="R28" s="774" t="s">
        <v>17</v>
      </c>
      <c r="S28" s="775">
        <f t="shared" ref="S28:S40" si="12">F28</f>
        <v>100</v>
      </c>
      <c r="T28" s="774" t="s">
        <v>17</v>
      </c>
      <c r="U28" s="775">
        <f t="shared" ref="U28:U40" si="13">H28</f>
        <v>100</v>
      </c>
      <c r="V28" s="774" t="s">
        <v>17</v>
      </c>
      <c r="W28" s="775">
        <f t="shared" ref="W28:W40" si="14">J28</f>
        <v>100</v>
      </c>
      <c r="X28" s="1816"/>
      <c r="Y28" s="3241"/>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321" t="s">
        <v>2568</v>
      </c>
      <c r="Q29" s="1813" t="str">
        <f t="shared" si="11"/>
        <v>建筑类型</v>
      </c>
      <c r="R29" s="774" t="s">
        <v>17</v>
      </c>
      <c r="S29" s="775">
        <f t="shared" si="12"/>
        <v>100</v>
      </c>
      <c r="T29" s="774" t="s">
        <v>17</v>
      </c>
      <c r="U29" s="775">
        <f t="shared" si="13"/>
        <v>100</v>
      </c>
      <c r="V29" s="774" t="s">
        <v>17</v>
      </c>
      <c r="W29" s="775">
        <f t="shared" si="14"/>
        <v>100</v>
      </c>
      <c r="X29" s="1816"/>
      <c r="Y29" s="3245"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5"/>
      <c r="Q30" s="776" t="str">
        <f t="shared" si="11"/>
        <v>项目建筑规模</v>
      </c>
      <c r="R30" s="777" t="s">
        <v>17</v>
      </c>
      <c r="S30" s="778" t="e">
        <f t="shared" si="12"/>
        <v>#N/A</v>
      </c>
      <c r="T30" s="777" t="s">
        <v>17</v>
      </c>
      <c r="U30" s="778" t="e">
        <f t="shared" si="13"/>
        <v>#N/A</v>
      </c>
      <c r="V30" s="777" t="s">
        <v>17</v>
      </c>
      <c r="W30" s="778" t="e">
        <f t="shared" si="14"/>
        <v>#N/A</v>
      </c>
      <c r="X30" s="779"/>
      <c r="Y30" s="3245"/>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5"/>
      <c r="Q31" s="1813" t="str">
        <f t="shared" si="11"/>
        <v>建筑结构</v>
      </c>
      <c r="R31" s="774" t="s">
        <v>17</v>
      </c>
      <c r="S31" s="775">
        <f t="shared" si="12"/>
        <v>100</v>
      </c>
      <c r="T31" s="774" t="s">
        <v>17</v>
      </c>
      <c r="U31" s="775">
        <f t="shared" si="13"/>
        <v>100</v>
      </c>
      <c r="V31" s="774" t="s">
        <v>17</v>
      </c>
      <c r="W31" s="775">
        <f t="shared" si="14"/>
        <v>100</v>
      </c>
      <c r="X31" s="1816"/>
      <c r="Y31" s="3245"/>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5"/>
      <c r="Q32" s="1813" t="str">
        <f t="shared" si="11"/>
        <v>公共部分装修</v>
      </c>
      <c r="R32" s="774" t="s">
        <v>17</v>
      </c>
      <c r="S32" s="775">
        <f t="shared" si="12"/>
        <v>100</v>
      </c>
      <c r="T32" s="774" t="s">
        <v>17</v>
      </c>
      <c r="U32" s="775">
        <f t="shared" si="13"/>
        <v>100</v>
      </c>
      <c r="V32" s="774" t="s">
        <v>17</v>
      </c>
      <c r="W32" s="775">
        <f t="shared" si="14"/>
        <v>100</v>
      </c>
      <c r="X32" s="1816"/>
      <c r="Y32" s="3245"/>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5"/>
      <c r="Q33" s="1813" t="str">
        <f t="shared" si="11"/>
        <v>成新度</v>
      </c>
      <c r="R33" s="774" t="s">
        <v>17</v>
      </c>
      <c r="S33" s="775" t="e">
        <f t="shared" si="12"/>
        <v>#N/A</v>
      </c>
      <c r="T33" s="774" t="s">
        <v>17</v>
      </c>
      <c r="U33" s="775" t="e">
        <f t="shared" si="13"/>
        <v>#N/A</v>
      </c>
      <c r="V33" s="774" t="s">
        <v>17</v>
      </c>
      <c r="W33" s="775" t="e">
        <f t="shared" si="14"/>
        <v>#N/A</v>
      </c>
      <c r="X33" s="1816"/>
      <c r="Y33" s="3245"/>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5"/>
      <c r="Q34" s="1798" t="str">
        <f t="shared" si="11"/>
        <v>物业管理</v>
      </c>
      <c r="R34" s="770" t="s">
        <v>17</v>
      </c>
      <c r="S34" s="771">
        <f t="shared" si="12"/>
        <v>100</v>
      </c>
      <c r="T34" s="770" t="s">
        <v>17</v>
      </c>
      <c r="U34" s="771">
        <f t="shared" si="13"/>
        <v>100</v>
      </c>
      <c r="V34" s="770" t="s">
        <v>17</v>
      </c>
      <c r="W34" s="771">
        <f t="shared" si="14"/>
        <v>100</v>
      </c>
      <c r="X34" s="772"/>
      <c r="Y34" s="3245"/>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5" t="s">
        <v>2568</v>
      </c>
      <c r="Q35" s="1813" t="str">
        <f t="shared" si="11"/>
        <v>市政基础设施</v>
      </c>
      <c r="R35" s="774" t="s">
        <v>17</v>
      </c>
      <c r="S35" s="775">
        <f t="shared" si="12"/>
        <v>100</v>
      </c>
      <c r="T35" s="774" t="s">
        <v>17</v>
      </c>
      <c r="U35" s="775">
        <f t="shared" si="13"/>
        <v>100</v>
      </c>
      <c r="V35" s="774" t="s">
        <v>17</v>
      </c>
      <c r="W35" s="775">
        <f t="shared" si="14"/>
        <v>100</v>
      </c>
      <c r="X35" s="1816"/>
      <c r="Y35" s="3245"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5"/>
      <c r="Q36" s="1813" t="str">
        <f t="shared" si="11"/>
        <v>内部装修</v>
      </c>
      <c r="R36" s="774" t="s">
        <v>17</v>
      </c>
      <c r="S36" s="775">
        <f t="shared" si="12"/>
        <v>100</v>
      </c>
      <c r="T36" s="774" t="s">
        <v>17</v>
      </c>
      <c r="U36" s="775">
        <f t="shared" si="13"/>
        <v>100</v>
      </c>
      <c r="V36" s="774" t="s">
        <v>17</v>
      </c>
      <c r="W36" s="775">
        <f t="shared" si="14"/>
        <v>100</v>
      </c>
      <c r="X36" s="1816"/>
      <c r="Y36" s="3245"/>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5"/>
      <c r="Q37" s="1813" t="str">
        <f t="shared" si="11"/>
        <v>内部装修状况</v>
      </c>
      <c r="R37" s="774" t="s">
        <v>17</v>
      </c>
      <c r="S37" s="775">
        <f t="shared" si="12"/>
        <v>100</v>
      </c>
      <c r="T37" s="774" t="s">
        <v>17</v>
      </c>
      <c r="U37" s="775">
        <f t="shared" si="13"/>
        <v>100</v>
      </c>
      <c r="V37" s="774" t="s">
        <v>17</v>
      </c>
      <c r="W37" s="775">
        <f t="shared" si="14"/>
        <v>100</v>
      </c>
      <c r="X37" s="1816"/>
      <c r="Y37" s="324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5"/>
      <c r="Q38" s="776">
        <f t="shared" si="11"/>
        <v>111</v>
      </c>
      <c r="R38" s="777" t="s">
        <v>17</v>
      </c>
      <c r="S38" s="778">
        <f t="shared" si="12"/>
        <v>100</v>
      </c>
      <c r="T38" s="777" t="s">
        <v>17</v>
      </c>
      <c r="U38" s="778">
        <f t="shared" si="13"/>
        <v>100</v>
      </c>
      <c r="V38" s="777" t="s">
        <v>17</v>
      </c>
      <c r="W38" s="778">
        <f t="shared" si="14"/>
        <v>100</v>
      </c>
      <c r="X38" s="779"/>
      <c r="Y38" s="324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5"/>
      <c r="Q39" s="1813">
        <f t="shared" si="11"/>
        <v>111</v>
      </c>
      <c r="R39" s="774" t="s">
        <v>17</v>
      </c>
      <c r="S39" s="775">
        <f t="shared" si="12"/>
        <v>100</v>
      </c>
      <c r="T39" s="774" t="s">
        <v>17</v>
      </c>
      <c r="U39" s="775">
        <f t="shared" si="13"/>
        <v>100</v>
      </c>
      <c r="V39" s="774" t="s">
        <v>17</v>
      </c>
      <c r="W39" s="775">
        <f t="shared" si="14"/>
        <v>100</v>
      </c>
      <c r="X39" s="1816"/>
      <c r="Y39" s="3245"/>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3">
        <f t="shared" si="11"/>
        <v>111</v>
      </c>
      <c r="R40" s="774" t="s">
        <v>17</v>
      </c>
      <c r="S40" s="775">
        <f t="shared" si="12"/>
        <v>100</v>
      </c>
      <c r="T40" s="774" t="s">
        <v>17</v>
      </c>
      <c r="U40" s="775">
        <f t="shared" si="13"/>
        <v>100</v>
      </c>
      <c r="V40" s="774" t="s">
        <v>17</v>
      </c>
      <c r="W40" s="775">
        <f t="shared" si="14"/>
        <v>100</v>
      </c>
      <c r="X40" s="1816"/>
      <c r="Y40" s="3246"/>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38" t="str">
        <f>A41</f>
        <v>成交单价（元/平方米）</v>
      </c>
      <c r="Q41" s="3238"/>
      <c r="R41" s="3239">
        <f>E41</f>
        <v>0</v>
      </c>
      <c r="S41" s="3239"/>
      <c r="T41" s="3239">
        <f>G41</f>
        <v>0</v>
      </c>
      <c r="U41" s="3239"/>
      <c r="V41" s="3239">
        <f>I41</f>
        <v>0</v>
      </c>
      <c r="W41" s="3239"/>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35" t="str">
        <f>A43</f>
        <v>估价对象XX用房的比较价值（楼面单价，元/平方米）</v>
      </c>
      <c r="Q43" s="3236"/>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51" t="s">
        <v>2651</v>
      </c>
      <c r="AC4" s="3250" t="s">
        <v>2652</v>
      </c>
    </row>
    <row r="5" spans="1:29" ht="15">
      <c r="A5" s="404"/>
      <c r="B5" s="405"/>
      <c r="C5" s="3272" t="s">
        <v>2545</v>
      </c>
      <c r="D5" s="3273"/>
      <c r="E5" s="3279" t="s">
        <v>2546</v>
      </c>
      <c r="F5" s="3280"/>
      <c r="G5" s="3272" t="s">
        <v>2547</v>
      </c>
      <c r="H5" s="3273"/>
      <c r="I5" s="3272" t="s">
        <v>2548</v>
      </c>
      <c r="J5" s="3273"/>
      <c r="K5" s="610"/>
      <c r="L5" s="1133"/>
      <c r="M5" s="1134"/>
      <c r="N5" s="1134"/>
      <c r="O5" s="1134"/>
      <c r="P5" s="3259"/>
      <c r="Q5" s="3260"/>
      <c r="R5" s="3265"/>
      <c r="S5" s="3266"/>
      <c r="T5" s="3265"/>
      <c r="U5" s="3266"/>
      <c r="V5" s="3269"/>
      <c r="W5" s="3269"/>
      <c r="X5" s="1816"/>
      <c r="Y5" s="3265"/>
      <c r="Z5" s="3266"/>
      <c r="AA5" s="3251"/>
      <c r="AB5" s="3251"/>
      <c r="AC5" s="3251"/>
    </row>
    <row r="6" spans="1:29" ht="15.75" thickBot="1">
      <c r="A6" s="406"/>
      <c r="B6" s="407"/>
      <c r="C6" s="3270" t="s">
        <v>2549</v>
      </c>
      <c r="D6" s="3271"/>
      <c r="E6" s="3277" t="s">
        <v>2549</v>
      </c>
      <c r="F6" s="3278"/>
      <c r="G6" s="3270" t="s">
        <v>2549</v>
      </c>
      <c r="H6" s="3271"/>
      <c r="I6" s="3270" t="s">
        <v>2549</v>
      </c>
      <c r="J6" s="3271"/>
      <c r="K6" s="610" t="s">
        <v>2550</v>
      </c>
      <c r="L6" s="1133"/>
      <c r="M6" s="1134"/>
      <c r="N6" s="1134"/>
      <c r="O6" s="1134"/>
      <c r="P6" s="3261"/>
      <c r="Q6" s="3262"/>
      <c r="R6" s="3265"/>
      <c r="S6" s="3266"/>
      <c r="T6" s="3267"/>
      <c r="U6" s="3268"/>
      <c r="V6" s="3269"/>
      <c r="W6" s="3269"/>
      <c r="X6" s="1816"/>
      <c r="Y6" s="3267"/>
      <c r="Z6" s="3268"/>
      <c r="AA6" s="3252"/>
      <c r="AB6" s="3252"/>
      <c r="AC6" s="3252"/>
    </row>
    <row r="7" spans="1:29" s="117" customFormat="1" ht="15.75" thickBot="1">
      <c r="A7" s="408" t="s">
        <v>2551</v>
      </c>
      <c r="B7" s="409"/>
      <c r="C7" s="410">
        <f>'数据-取费表'!B2</f>
        <v>43243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4" t="s">
        <v>2552</v>
      </c>
      <c r="Q7" s="3276"/>
      <c r="R7" s="770" t="s">
        <v>17</v>
      </c>
      <c r="S7" s="771">
        <f t="shared" ref="S7:S14" si="0">F7</f>
        <v>0</v>
      </c>
      <c r="T7" s="770" t="s">
        <v>17</v>
      </c>
      <c r="U7" s="771">
        <f t="shared" ref="U7:U14" si="1">H7</f>
        <v>0</v>
      </c>
      <c r="V7" s="770" t="s">
        <v>17</v>
      </c>
      <c r="W7" s="771">
        <f t="shared" ref="W7:W14" si="2">J7</f>
        <v>0</v>
      </c>
      <c r="X7" s="772"/>
      <c r="Y7" s="3274" t="s">
        <v>2552</v>
      </c>
      <c r="Z7" s="327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4" t="s">
        <v>2555</v>
      </c>
      <c r="Q8" s="3275"/>
      <c r="R8" s="770" t="s">
        <v>17</v>
      </c>
      <c r="S8" s="771">
        <f t="shared" si="0"/>
        <v>0</v>
      </c>
      <c r="T8" s="770" t="s">
        <v>17</v>
      </c>
      <c r="U8" s="771">
        <f t="shared" si="1"/>
        <v>0</v>
      </c>
      <c r="V8" s="770" t="s">
        <v>17</v>
      </c>
      <c r="W8" s="771">
        <f t="shared" si="2"/>
        <v>0</v>
      </c>
      <c r="X8" s="772"/>
      <c r="Y8" s="3274" t="s">
        <v>2555</v>
      </c>
      <c r="Z8" s="327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8" t="s">
        <v>2558</v>
      </c>
      <c r="Q9" s="1798" t="str">
        <f t="shared" ref="Q9:Q14" si="6">B9</f>
        <v>用途</v>
      </c>
      <c r="R9" s="770" t="s">
        <v>17</v>
      </c>
      <c r="S9" s="771">
        <f t="shared" si="0"/>
        <v>100</v>
      </c>
      <c r="T9" s="770" t="s">
        <v>17</v>
      </c>
      <c r="U9" s="771">
        <f t="shared" si="1"/>
        <v>100</v>
      </c>
      <c r="V9" s="770" t="s">
        <v>17</v>
      </c>
      <c r="W9" s="771">
        <f t="shared" si="2"/>
        <v>100</v>
      </c>
      <c r="X9" s="772"/>
      <c r="Y9" s="305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8"/>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8"/>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8"/>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8"/>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0" t="s">
        <v>2563</v>
      </c>
      <c r="Q14" s="1813" t="str">
        <f t="shared" si="6"/>
        <v>交通便捷度</v>
      </c>
      <c r="R14" s="774" t="s">
        <v>17</v>
      </c>
      <c r="S14" s="775">
        <f t="shared" si="0"/>
        <v>100</v>
      </c>
      <c r="T14" s="774" t="s">
        <v>17</v>
      </c>
      <c r="U14" s="775">
        <f t="shared" si="1"/>
        <v>100</v>
      </c>
      <c r="V14" s="774" t="s">
        <v>17</v>
      </c>
      <c r="W14" s="775">
        <f t="shared" si="2"/>
        <v>100</v>
      </c>
      <c r="X14" s="1816"/>
      <c r="Y14" s="3240"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1"/>
      <c r="Q15" s="1813"/>
      <c r="R15" s="774"/>
      <c r="S15" s="775"/>
      <c r="T15" s="774"/>
      <c r="U15" s="775"/>
      <c r="V15" s="774"/>
      <c r="W15" s="775"/>
      <c r="X15" s="1816"/>
      <c r="Y15" s="3241"/>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1"/>
      <c r="Q16" s="1813" t="str">
        <f>B16</f>
        <v>公共配套设施</v>
      </c>
      <c r="R16" s="774" t="s">
        <v>17</v>
      </c>
      <c r="S16" s="775">
        <f>F16</f>
        <v>100</v>
      </c>
      <c r="T16" s="774" t="s">
        <v>17</v>
      </c>
      <c r="U16" s="775">
        <f>H16</f>
        <v>100</v>
      </c>
      <c r="V16" s="774" t="s">
        <v>17</v>
      </c>
      <c r="W16" s="775">
        <f>J16</f>
        <v>100</v>
      </c>
      <c r="X16" s="1816"/>
      <c r="Y16" s="3241"/>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41"/>
      <c r="Q17" s="1813"/>
      <c r="R17" s="774"/>
      <c r="S17" s="775"/>
      <c r="T17" s="774"/>
      <c r="U17" s="775"/>
      <c r="V17" s="774"/>
      <c r="W17" s="775"/>
      <c r="X17" s="1816"/>
      <c r="Y17" s="3241"/>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1"/>
      <c r="Q18" s="1813" t="str">
        <f>B18</f>
        <v>基础设施水平</v>
      </c>
      <c r="R18" s="774" t="s">
        <v>17</v>
      </c>
      <c r="S18" s="775">
        <f>F18</f>
        <v>100</v>
      </c>
      <c r="T18" s="774" t="s">
        <v>17</v>
      </c>
      <c r="U18" s="775">
        <f>H18</f>
        <v>100</v>
      </c>
      <c r="V18" s="774" t="s">
        <v>17</v>
      </c>
      <c r="W18" s="775">
        <f>J18</f>
        <v>100</v>
      </c>
      <c r="X18" s="1816"/>
      <c r="Y18" s="3241"/>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41"/>
      <c r="Q19" s="1813"/>
      <c r="R19" s="774"/>
      <c r="S19" s="775"/>
      <c r="T19" s="774"/>
      <c r="U19" s="775"/>
      <c r="V19" s="774"/>
      <c r="W19" s="775"/>
      <c r="X19" s="1816"/>
      <c r="Y19" s="3241"/>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1"/>
      <c r="Q20" s="1813" t="str">
        <f>B20</f>
        <v>自然及人文环境</v>
      </c>
      <c r="R20" s="774" t="s">
        <v>17</v>
      </c>
      <c r="S20" s="775">
        <f>F20</f>
        <v>100</v>
      </c>
      <c r="T20" s="774" t="s">
        <v>17</v>
      </c>
      <c r="U20" s="775">
        <f>H20</f>
        <v>100</v>
      </c>
      <c r="V20" s="774" t="s">
        <v>17</v>
      </c>
      <c r="W20" s="775">
        <f>J20</f>
        <v>100</v>
      </c>
      <c r="X20" s="1816"/>
      <c r="Y20" s="324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1"/>
      <c r="Q21" s="1813"/>
      <c r="R21" s="774"/>
      <c r="S21" s="775"/>
      <c r="T21" s="774"/>
      <c r="U21" s="775"/>
      <c r="V21" s="774"/>
      <c r="W21" s="775"/>
      <c r="X21" s="1816"/>
      <c r="Y21" s="3241"/>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1"/>
      <c r="Q22" s="1813" t="str">
        <f>B22</f>
        <v>楼层</v>
      </c>
      <c r="R22" s="774" t="s">
        <v>17</v>
      </c>
      <c r="S22" s="775">
        <f>F22</f>
        <v>100</v>
      </c>
      <c r="T22" s="774" t="s">
        <v>17</v>
      </c>
      <c r="U22" s="775">
        <f>H22</f>
        <v>100</v>
      </c>
      <c r="V22" s="774" t="s">
        <v>17</v>
      </c>
      <c r="W22" s="775">
        <f>J22</f>
        <v>100</v>
      </c>
      <c r="X22" s="1816"/>
      <c r="Y22" s="324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1"/>
      <c r="Q23" s="1813">
        <f>B23</f>
        <v>111</v>
      </c>
      <c r="R23" s="774" t="s">
        <v>17</v>
      </c>
      <c r="S23" s="775">
        <f>F23</f>
        <v>100</v>
      </c>
      <c r="T23" s="774" t="s">
        <v>17</v>
      </c>
      <c r="U23" s="775">
        <f>H23</f>
        <v>100</v>
      </c>
      <c r="V23" s="774" t="s">
        <v>17</v>
      </c>
      <c r="W23" s="775">
        <f>J23</f>
        <v>100</v>
      </c>
      <c r="X23" s="1816"/>
      <c r="Y23" s="324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1"/>
      <c r="Q24" s="1813">
        <f t="shared" ref="Q24:Q36" si="11">B24</f>
        <v>111</v>
      </c>
      <c r="R24" s="774" t="s">
        <v>17</v>
      </c>
      <c r="S24" s="775">
        <f>F24</f>
        <v>100</v>
      </c>
      <c r="T24" s="774" t="s">
        <v>17</v>
      </c>
      <c r="U24" s="775">
        <f>H24</f>
        <v>100</v>
      </c>
      <c r="V24" s="774" t="s">
        <v>17</v>
      </c>
      <c r="W24" s="775">
        <f>J24</f>
        <v>100</v>
      </c>
      <c r="X24" s="1816"/>
      <c r="Y24" s="324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1"/>
      <c r="Q25" s="1798">
        <f t="shared" si="11"/>
        <v>111</v>
      </c>
      <c r="R25" s="770" t="s">
        <v>17</v>
      </c>
      <c r="S25" s="771">
        <f>F25</f>
        <v>100</v>
      </c>
      <c r="T25" s="770" t="s">
        <v>17</v>
      </c>
      <c r="U25" s="771">
        <f>H25</f>
        <v>100</v>
      </c>
      <c r="V25" s="770" t="s">
        <v>17</v>
      </c>
      <c r="W25" s="771">
        <f>J25</f>
        <v>100</v>
      </c>
      <c r="X25" s="772"/>
      <c r="Y25" s="3241"/>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5"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5"/>
      <c r="Q27" s="776" t="str">
        <f t="shared" si="11"/>
        <v>项目停车位配比</v>
      </c>
      <c r="R27" s="777" t="s">
        <v>17</v>
      </c>
      <c r="S27" s="778">
        <f t="shared" si="12"/>
        <v>100</v>
      </c>
      <c r="T27" s="777" t="s">
        <v>17</v>
      </c>
      <c r="U27" s="778">
        <f t="shared" si="13"/>
        <v>100</v>
      </c>
      <c r="V27" s="777" t="s">
        <v>17</v>
      </c>
      <c r="W27" s="778">
        <f t="shared" si="14"/>
        <v>100</v>
      </c>
      <c r="X27" s="779"/>
      <c r="Y27" s="3245"/>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5"/>
      <c r="Q28" s="1813" t="str">
        <f t="shared" si="11"/>
        <v>公共部分装修</v>
      </c>
      <c r="R28" s="774" t="s">
        <v>17</v>
      </c>
      <c r="S28" s="775">
        <f t="shared" si="12"/>
        <v>100</v>
      </c>
      <c r="T28" s="774" t="s">
        <v>17</v>
      </c>
      <c r="U28" s="775">
        <f t="shared" si="13"/>
        <v>100</v>
      </c>
      <c r="V28" s="774" t="s">
        <v>17</v>
      </c>
      <c r="W28" s="775">
        <f t="shared" si="14"/>
        <v>100</v>
      </c>
      <c r="X28" s="1816"/>
      <c r="Y28" s="3245"/>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5"/>
      <c r="Q29" s="1813" t="str">
        <f t="shared" si="11"/>
        <v>成新率</v>
      </c>
      <c r="R29" s="774" t="s">
        <v>17</v>
      </c>
      <c r="S29" s="775" t="e">
        <f t="shared" si="12"/>
        <v>#N/A</v>
      </c>
      <c r="T29" s="774" t="s">
        <v>17</v>
      </c>
      <c r="U29" s="775" t="e">
        <f t="shared" si="13"/>
        <v>#N/A</v>
      </c>
      <c r="V29" s="774" t="s">
        <v>17</v>
      </c>
      <c r="W29" s="775" t="e">
        <f t="shared" si="14"/>
        <v>#N/A</v>
      </c>
      <c r="X29" s="1816"/>
      <c r="Y29" s="3245"/>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5"/>
      <c r="Q30" s="1813" t="str">
        <f t="shared" si="11"/>
        <v>物业等级</v>
      </c>
      <c r="R30" s="774" t="s">
        <v>17</v>
      </c>
      <c r="S30" s="775">
        <f t="shared" si="12"/>
        <v>100</v>
      </c>
      <c r="T30" s="774" t="s">
        <v>17</v>
      </c>
      <c r="U30" s="775">
        <f t="shared" si="13"/>
        <v>100</v>
      </c>
      <c r="V30" s="774" t="s">
        <v>17</v>
      </c>
      <c r="W30" s="775">
        <f t="shared" si="14"/>
        <v>100</v>
      </c>
      <c r="X30" s="1816"/>
      <c r="Y30" s="3245"/>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5"/>
      <c r="Q31" s="1798" t="str">
        <f t="shared" si="11"/>
        <v>停车位面积</v>
      </c>
      <c r="R31" s="770" t="s">
        <v>17</v>
      </c>
      <c r="S31" s="771" t="e">
        <f t="shared" si="12"/>
        <v>#N/A</v>
      </c>
      <c r="T31" s="770" t="s">
        <v>17</v>
      </c>
      <c r="U31" s="771" t="e">
        <f t="shared" si="13"/>
        <v>#N/A</v>
      </c>
      <c r="V31" s="770" t="s">
        <v>17</v>
      </c>
      <c r="W31" s="771" t="e">
        <f t="shared" si="14"/>
        <v>#N/A</v>
      </c>
      <c r="X31" s="772"/>
      <c r="Y31" s="3245"/>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5" t="s">
        <v>2568</v>
      </c>
      <c r="Q32" s="1813" t="str">
        <f t="shared" si="11"/>
        <v>车位类型</v>
      </c>
      <c r="R32" s="774" t="s">
        <v>17</v>
      </c>
      <c r="S32" s="775">
        <f t="shared" si="12"/>
        <v>100</v>
      </c>
      <c r="T32" s="774" t="s">
        <v>17</v>
      </c>
      <c r="U32" s="775">
        <f t="shared" si="13"/>
        <v>100</v>
      </c>
      <c r="V32" s="774" t="s">
        <v>17</v>
      </c>
      <c r="W32" s="775">
        <f t="shared" si="14"/>
        <v>100</v>
      </c>
      <c r="X32" s="1816"/>
      <c r="Y32" s="3245"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5"/>
      <c r="Q33" s="1813" t="str">
        <f t="shared" si="11"/>
        <v>是否直接入户</v>
      </c>
      <c r="R33" s="774" t="s">
        <v>17</v>
      </c>
      <c r="S33" s="775">
        <f t="shared" si="12"/>
        <v>100</v>
      </c>
      <c r="T33" s="774" t="s">
        <v>17</v>
      </c>
      <c r="U33" s="775">
        <f t="shared" si="13"/>
        <v>100</v>
      </c>
      <c r="V33" s="774" t="s">
        <v>17</v>
      </c>
      <c r="W33" s="775">
        <f t="shared" si="14"/>
        <v>100</v>
      </c>
      <c r="X33" s="1816"/>
      <c r="Y33" s="324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5"/>
      <c r="Q34" s="1813">
        <f t="shared" si="11"/>
        <v>111</v>
      </c>
      <c r="R34" s="774" t="s">
        <v>17</v>
      </c>
      <c r="S34" s="775">
        <f t="shared" si="12"/>
        <v>100</v>
      </c>
      <c r="T34" s="774" t="s">
        <v>17</v>
      </c>
      <c r="U34" s="775">
        <f t="shared" si="13"/>
        <v>100</v>
      </c>
      <c r="V34" s="774" t="s">
        <v>17</v>
      </c>
      <c r="W34" s="775">
        <f t="shared" si="14"/>
        <v>100</v>
      </c>
      <c r="X34" s="1816"/>
      <c r="Y34" s="324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5"/>
      <c r="Q35" s="776">
        <f t="shared" si="11"/>
        <v>111</v>
      </c>
      <c r="R35" s="777" t="s">
        <v>17</v>
      </c>
      <c r="S35" s="778">
        <f t="shared" si="12"/>
        <v>100</v>
      </c>
      <c r="T35" s="777" t="s">
        <v>17</v>
      </c>
      <c r="U35" s="778">
        <f t="shared" si="13"/>
        <v>100</v>
      </c>
      <c r="V35" s="777" t="s">
        <v>17</v>
      </c>
      <c r="W35" s="778">
        <f t="shared" si="14"/>
        <v>100</v>
      </c>
      <c r="X35" s="779"/>
      <c r="Y35" s="324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5"/>
      <c r="Q36" s="1813">
        <f t="shared" si="11"/>
        <v>111</v>
      </c>
      <c r="R36" s="774" t="s">
        <v>17</v>
      </c>
      <c r="S36" s="775">
        <f t="shared" si="12"/>
        <v>100</v>
      </c>
      <c r="T36" s="774" t="s">
        <v>17</v>
      </c>
      <c r="U36" s="775">
        <f t="shared" si="13"/>
        <v>100</v>
      </c>
      <c r="V36" s="774" t="s">
        <v>17</v>
      </c>
      <c r="W36" s="775">
        <f t="shared" si="14"/>
        <v>100</v>
      </c>
      <c r="X36" s="1816"/>
      <c r="Y36" s="3245"/>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238" t="str">
        <f>A37</f>
        <v>成交单价</v>
      </c>
      <c r="Q37" s="3238"/>
      <c r="R37" s="3239">
        <f>E37</f>
        <v>0</v>
      </c>
      <c r="S37" s="3239"/>
      <c r="T37" s="3239">
        <f>G37</f>
        <v>0</v>
      </c>
      <c r="U37" s="3239"/>
      <c r="V37" s="3239">
        <f>I37</f>
        <v>0</v>
      </c>
      <c r="W37" s="3239"/>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35" t="str">
        <f>A39</f>
        <v>估价对象XX用房的比较价值（楼面单价，元/平方米）</v>
      </c>
      <c r="Q39" s="3236"/>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51" t="s">
        <v>2651</v>
      </c>
      <c r="AC4" s="3250" t="s">
        <v>2652</v>
      </c>
    </row>
    <row r="5" spans="1:29" ht="15">
      <c r="A5" s="404"/>
      <c r="B5" s="405"/>
      <c r="C5" s="3272" t="s">
        <v>2545</v>
      </c>
      <c r="D5" s="3273"/>
      <c r="E5" s="3279" t="s">
        <v>2546</v>
      </c>
      <c r="F5" s="3280"/>
      <c r="G5" s="3272" t="s">
        <v>2547</v>
      </c>
      <c r="H5" s="3273"/>
      <c r="I5" s="3272" t="s">
        <v>2548</v>
      </c>
      <c r="J5" s="3273"/>
      <c r="K5" s="610"/>
      <c r="L5" s="1133"/>
      <c r="M5" s="1134"/>
      <c r="N5" s="1134"/>
      <c r="O5" s="1134"/>
      <c r="P5" s="3259"/>
      <c r="Q5" s="3260"/>
      <c r="R5" s="3265"/>
      <c r="S5" s="3266"/>
      <c r="T5" s="3265"/>
      <c r="U5" s="3266"/>
      <c r="V5" s="3269"/>
      <c r="W5" s="3269"/>
      <c r="X5" s="1816"/>
      <c r="Y5" s="3265"/>
      <c r="Z5" s="3266"/>
      <c r="AA5" s="3251"/>
      <c r="AB5" s="3251"/>
      <c r="AC5" s="3251"/>
    </row>
    <row r="6" spans="1:29" ht="15.75" thickBot="1">
      <c r="A6" s="406"/>
      <c r="B6" s="407"/>
      <c r="C6" s="3270" t="s">
        <v>2549</v>
      </c>
      <c r="D6" s="3271"/>
      <c r="E6" s="3277" t="s">
        <v>2549</v>
      </c>
      <c r="F6" s="3278"/>
      <c r="G6" s="3270" t="s">
        <v>2549</v>
      </c>
      <c r="H6" s="3271"/>
      <c r="I6" s="3270" t="s">
        <v>2549</v>
      </c>
      <c r="J6" s="3271"/>
      <c r="K6" s="610" t="s">
        <v>2550</v>
      </c>
      <c r="L6" s="1133"/>
      <c r="M6" s="1134"/>
      <c r="N6" s="1134"/>
      <c r="O6" s="1134"/>
      <c r="P6" s="3261"/>
      <c r="Q6" s="3262"/>
      <c r="R6" s="3265"/>
      <c r="S6" s="3266"/>
      <c r="T6" s="3267"/>
      <c r="U6" s="3268"/>
      <c r="V6" s="3269"/>
      <c r="W6" s="3269"/>
      <c r="X6" s="1816"/>
      <c r="Y6" s="3267"/>
      <c r="Z6" s="3268"/>
      <c r="AA6" s="3252"/>
      <c r="AB6" s="3252"/>
      <c r="AC6" s="3252"/>
    </row>
    <row r="7" spans="1:29" s="117" customFormat="1" ht="15.75" thickBot="1">
      <c r="A7" s="408" t="s">
        <v>2551</v>
      </c>
      <c r="B7" s="409"/>
      <c r="C7" s="410">
        <f>'数据-取费表'!B2</f>
        <v>43243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74" t="s">
        <v>2552</v>
      </c>
      <c r="Q7" s="3276"/>
      <c r="R7" s="770" t="s">
        <v>17</v>
      </c>
      <c r="S7" s="771">
        <f t="shared" ref="S7:S14" si="0">F7</f>
        <v>0</v>
      </c>
      <c r="T7" s="770" t="s">
        <v>17</v>
      </c>
      <c r="U7" s="771">
        <f t="shared" ref="U7:U14" si="1">H7</f>
        <v>0</v>
      </c>
      <c r="V7" s="770" t="s">
        <v>17</v>
      </c>
      <c r="W7" s="771">
        <f t="shared" ref="W7:W14" si="2">J7</f>
        <v>0</v>
      </c>
      <c r="X7" s="772"/>
      <c r="Y7" s="3274" t="s">
        <v>2552</v>
      </c>
      <c r="Z7" s="327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4" t="s">
        <v>2555</v>
      </c>
      <c r="Q8" s="3275"/>
      <c r="R8" s="770" t="s">
        <v>17</v>
      </c>
      <c r="S8" s="771">
        <f t="shared" si="0"/>
        <v>0</v>
      </c>
      <c r="T8" s="770" t="s">
        <v>17</v>
      </c>
      <c r="U8" s="771">
        <f t="shared" si="1"/>
        <v>0</v>
      </c>
      <c r="V8" s="770" t="s">
        <v>17</v>
      </c>
      <c r="W8" s="771">
        <f t="shared" si="2"/>
        <v>0</v>
      </c>
      <c r="X8" s="772"/>
      <c r="Y8" s="3274" t="s">
        <v>2555</v>
      </c>
      <c r="Z8" s="327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8" t="s">
        <v>2558</v>
      </c>
      <c r="Q9" s="1798" t="str">
        <f t="shared" ref="Q9:Q14" si="6">B9</f>
        <v>用途</v>
      </c>
      <c r="R9" s="770" t="s">
        <v>17</v>
      </c>
      <c r="S9" s="771">
        <f t="shared" si="0"/>
        <v>100</v>
      </c>
      <c r="T9" s="770" t="s">
        <v>17</v>
      </c>
      <c r="U9" s="771">
        <f t="shared" si="1"/>
        <v>100</v>
      </c>
      <c r="V9" s="770" t="s">
        <v>17</v>
      </c>
      <c r="W9" s="771">
        <f t="shared" si="2"/>
        <v>100</v>
      </c>
      <c r="X9" s="772"/>
      <c r="Y9" s="305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8"/>
      <c r="Q10" s="1798"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8"/>
      <c r="Q11" s="1798">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0" t="s">
        <v>2563</v>
      </c>
      <c r="Q14" s="1813" t="str">
        <f t="shared" si="6"/>
        <v>交通便捷度</v>
      </c>
      <c r="R14" s="774" t="s">
        <v>17</v>
      </c>
      <c r="S14" s="775">
        <f t="shared" si="0"/>
        <v>100</v>
      </c>
      <c r="T14" s="774" t="s">
        <v>17</v>
      </c>
      <c r="U14" s="775">
        <f t="shared" si="1"/>
        <v>100</v>
      </c>
      <c r="V14" s="774" t="s">
        <v>17</v>
      </c>
      <c r="W14" s="775">
        <f t="shared" si="2"/>
        <v>100</v>
      </c>
      <c r="X14" s="1816"/>
      <c r="Y14" s="3240"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1"/>
      <c r="Q15" s="1813"/>
      <c r="R15" s="774"/>
      <c r="S15" s="775"/>
      <c r="T15" s="774"/>
      <c r="U15" s="775"/>
      <c r="V15" s="774"/>
      <c r="W15" s="775"/>
      <c r="X15" s="1816"/>
      <c r="Y15" s="3241"/>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1"/>
      <c r="Q16" s="1813" t="str">
        <f>B16</f>
        <v>公共配套设施</v>
      </c>
      <c r="R16" s="774" t="s">
        <v>17</v>
      </c>
      <c r="S16" s="775">
        <f>F16</f>
        <v>100</v>
      </c>
      <c r="T16" s="774" t="s">
        <v>17</v>
      </c>
      <c r="U16" s="775">
        <f>H16</f>
        <v>100</v>
      </c>
      <c r="V16" s="774" t="s">
        <v>17</v>
      </c>
      <c r="W16" s="775">
        <f>J16</f>
        <v>100</v>
      </c>
      <c r="X16" s="1816"/>
      <c r="Y16" s="3241"/>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41"/>
      <c r="Q17" s="1813"/>
      <c r="R17" s="774"/>
      <c r="S17" s="775"/>
      <c r="T17" s="774"/>
      <c r="U17" s="775"/>
      <c r="V17" s="774"/>
      <c r="W17" s="775"/>
      <c r="X17" s="1816"/>
      <c r="Y17" s="3241"/>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1"/>
      <c r="Q18" s="1813" t="str">
        <f>B18</f>
        <v>基础设施水平</v>
      </c>
      <c r="R18" s="774" t="s">
        <v>17</v>
      </c>
      <c r="S18" s="775">
        <f>F18</f>
        <v>100</v>
      </c>
      <c r="T18" s="774" t="s">
        <v>17</v>
      </c>
      <c r="U18" s="775">
        <f>H18</f>
        <v>100</v>
      </c>
      <c r="V18" s="774" t="s">
        <v>17</v>
      </c>
      <c r="W18" s="775">
        <f>J18</f>
        <v>100</v>
      </c>
      <c r="X18" s="1816"/>
      <c r="Y18" s="3241"/>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41"/>
      <c r="Q19" s="1813"/>
      <c r="R19" s="774"/>
      <c r="S19" s="775"/>
      <c r="T19" s="774"/>
      <c r="U19" s="775"/>
      <c r="V19" s="774"/>
      <c r="W19" s="775"/>
      <c r="X19" s="1816"/>
      <c r="Y19" s="3241"/>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1"/>
      <c r="Q20" s="1813" t="str">
        <f>B20</f>
        <v>自然及人文环境</v>
      </c>
      <c r="R20" s="774" t="s">
        <v>17</v>
      </c>
      <c r="S20" s="775">
        <f>F20</f>
        <v>100</v>
      </c>
      <c r="T20" s="774" t="s">
        <v>17</v>
      </c>
      <c r="U20" s="775">
        <f>H20</f>
        <v>100</v>
      </c>
      <c r="V20" s="774" t="s">
        <v>17</v>
      </c>
      <c r="W20" s="775">
        <f>J20</f>
        <v>100</v>
      </c>
      <c r="X20" s="1816"/>
      <c r="Y20" s="324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1"/>
      <c r="Q21" s="1813"/>
      <c r="R21" s="774"/>
      <c r="S21" s="775"/>
      <c r="T21" s="774"/>
      <c r="U21" s="775"/>
      <c r="V21" s="774"/>
      <c r="W21" s="775"/>
      <c r="X21" s="1816"/>
      <c r="Y21" s="3241"/>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1"/>
      <c r="Q22" s="1813" t="str">
        <f>B22</f>
        <v>楼层</v>
      </c>
      <c r="R22" s="774" t="s">
        <v>17</v>
      </c>
      <c r="S22" s="775">
        <f>F22</f>
        <v>100</v>
      </c>
      <c r="T22" s="774" t="s">
        <v>17</v>
      </c>
      <c r="U22" s="775">
        <f>H22</f>
        <v>100</v>
      </c>
      <c r="V22" s="774" t="s">
        <v>17</v>
      </c>
      <c r="W22" s="775">
        <f>J22</f>
        <v>100</v>
      </c>
      <c r="X22" s="1816"/>
      <c r="Y22" s="3241"/>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1"/>
      <c r="Q23" s="1813">
        <f>B23</f>
        <v>111</v>
      </c>
      <c r="R23" s="774" t="s">
        <v>17</v>
      </c>
      <c r="S23" s="775">
        <f>F23</f>
        <v>100</v>
      </c>
      <c r="T23" s="774" t="s">
        <v>17</v>
      </c>
      <c r="U23" s="775">
        <f>H23</f>
        <v>100</v>
      </c>
      <c r="V23" s="774" t="s">
        <v>17</v>
      </c>
      <c r="W23" s="775">
        <f>J23</f>
        <v>100</v>
      </c>
      <c r="X23" s="1816"/>
      <c r="Y23" s="3241"/>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1"/>
      <c r="Q24" s="1813">
        <f t="shared" ref="Q24:Q34" si="11">B24</f>
        <v>111</v>
      </c>
      <c r="R24" s="774" t="s">
        <v>17</v>
      </c>
      <c r="S24" s="775">
        <f>F24</f>
        <v>100</v>
      </c>
      <c r="T24" s="774" t="s">
        <v>17</v>
      </c>
      <c r="U24" s="775">
        <f>H24</f>
        <v>100</v>
      </c>
      <c r="V24" s="774" t="s">
        <v>17</v>
      </c>
      <c r="W24" s="775">
        <f>J24</f>
        <v>100</v>
      </c>
      <c r="X24" s="1816"/>
      <c r="Y24" s="3241"/>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41"/>
      <c r="Q25" s="1798">
        <f t="shared" si="11"/>
        <v>111</v>
      </c>
      <c r="R25" s="770" t="s">
        <v>17</v>
      </c>
      <c r="S25" s="771">
        <f>F25</f>
        <v>100</v>
      </c>
      <c r="T25" s="770" t="s">
        <v>17</v>
      </c>
      <c r="U25" s="771">
        <f>H25</f>
        <v>100</v>
      </c>
      <c r="V25" s="770" t="s">
        <v>17</v>
      </c>
      <c r="W25" s="771">
        <f>J25</f>
        <v>100</v>
      </c>
      <c r="X25" s="772"/>
      <c r="Y25" s="3241"/>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32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5"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5"/>
      <c r="Q27" s="776" t="str">
        <f t="shared" si="11"/>
        <v>成新率</v>
      </c>
      <c r="R27" s="777" t="s">
        <v>17</v>
      </c>
      <c r="S27" s="778" t="e">
        <f t="shared" si="12"/>
        <v>#N/A</v>
      </c>
      <c r="T27" s="777" t="s">
        <v>17</v>
      </c>
      <c r="U27" s="778" t="e">
        <f t="shared" si="13"/>
        <v>#N/A</v>
      </c>
      <c r="V27" s="777" t="s">
        <v>17</v>
      </c>
      <c r="W27" s="778" t="e">
        <f t="shared" si="14"/>
        <v>#N/A</v>
      </c>
      <c r="X27" s="779"/>
      <c r="Y27" s="3245"/>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5"/>
      <c r="Q28" s="1813" t="str">
        <f t="shared" si="11"/>
        <v>物业等级</v>
      </c>
      <c r="R28" s="774" t="s">
        <v>17</v>
      </c>
      <c r="S28" s="775">
        <f t="shared" si="12"/>
        <v>100</v>
      </c>
      <c r="T28" s="774" t="s">
        <v>17</v>
      </c>
      <c r="U28" s="775">
        <f t="shared" si="13"/>
        <v>100</v>
      </c>
      <c r="V28" s="774" t="s">
        <v>17</v>
      </c>
      <c r="W28" s="775">
        <f t="shared" si="14"/>
        <v>100</v>
      </c>
      <c r="X28" s="1816"/>
      <c r="Y28" s="3245"/>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5"/>
      <c r="Q29" s="1813" t="str">
        <f t="shared" si="11"/>
        <v>有无电梯</v>
      </c>
      <c r="R29" s="774" t="s">
        <v>17</v>
      </c>
      <c r="S29" s="775">
        <f t="shared" si="12"/>
        <v>100</v>
      </c>
      <c r="T29" s="774" t="s">
        <v>17</v>
      </c>
      <c r="U29" s="775">
        <f t="shared" si="13"/>
        <v>100</v>
      </c>
      <c r="V29" s="774" t="s">
        <v>17</v>
      </c>
      <c r="W29" s="775">
        <f t="shared" si="14"/>
        <v>100</v>
      </c>
      <c r="X29" s="1816"/>
      <c r="Y29" s="3245"/>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5"/>
      <c r="Q30" s="1813" t="str">
        <f t="shared" si="11"/>
        <v>建筑面积</v>
      </c>
      <c r="R30" s="774" t="s">
        <v>17</v>
      </c>
      <c r="S30" s="775" t="e">
        <f t="shared" si="12"/>
        <v>#N/A</v>
      </c>
      <c r="T30" s="774" t="s">
        <v>17</v>
      </c>
      <c r="U30" s="775" t="e">
        <f t="shared" si="13"/>
        <v>#N/A</v>
      </c>
      <c r="V30" s="774" t="s">
        <v>17</v>
      </c>
      <c r="W30" s="775" t="e">
        <f t="shared" si="14"/>
        <v>#N/A</v>
      </c>
      <c r="X30" s="1816"/>
      <c r="Y30" s="3245"/>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5"/>
      <c r="Q31" s="1798" t="str">
        <f t="shared" si="11"/>
        <v>是否封闭</v>
      </c>
      <c r="R31" s="770" t="s">
        <v>17</v>
      </c>
      <c r="S31" s="771">
        <f t="shared" si="12"/>
        <v>100</v>
      </c>
      <c r="T31" s="770" t="s">
        <v>17</v>
      </c>
      <c r="U31" s="771">
        <f t="shared" si="13"/>
        <v>100</v>
      </c>
      <c r="V31" s="770" t="s">
        <v>17</v>
      </c>
      <c r="W31" s="771">
        <f t="shared" si="14"/>
        <v>100</v>
      </c>
      <c r="X31" s="772"/>
      <c r="Y31" s="324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5" t="s">
        <v>2568</v>
      </c>
      <c r="Q32" s="1813">
        <f t="shared" si="11"/>
        <v>111</v>
      </c>
      <c r="R32" s="774" t="s">
        <v>17</v>
      </c>
      <c r="S32" s="775">
        <f t="shared" si="12"/>
        <v>100</v>
      </c>
      <c r="T32" s="774" t="s">
        <v>17</v>
      </c>
      <c r="U32" s="775">
        <f t="shared" si="13"/>
        <v>100</v>
      </c>
      <c r="V32" s="774" t="s">
        <v>17</v>
      </c>
      <c r="W32" s="775">
        <f t="shared" si="14"/>
        <v>100</v>
      </c>
      <c r="X32" s="1816"/>
      <c r="Y32" s="3245"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5"/>
      <c r="Q33" s="1813">
        <f t="shared" si="11"/>
        <v>111</v>
      </c>
      <c r="R33" s="774" t="s">
        <v>17</v>
      </c>
      <c r="S33" s="775">
        <f t="shared" si="12"/>
        <v>100</v>
      </c>
      <c r="T33" s="774" t="s">
        <v>17</v>
      </c>
      <c r="U33" s="775">
        <f t="shared" si="13"/>
        <v>100</v>
      </c>
      <c r="V33" s="774" t="s">
        <v>17</v>
      </c>
      <c r="W33" s="775">
        <f t="shared" si="14"/>
        <v>100</v>
      </c>
      <c r="X33" s="1816"/>
      <c r="Y33" s="3245"/>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45"/>
      <c r="Q34" s="1813">
        <f t="shared" si="11"/>
        <v>111</v>
      </c>
      <c r="R34" s="774" t="s">
        <v>17</v>
      </c>
      <c r="S34" s="775">
        <f t="shared" si="12"/>
        <v>100</v>
      </c>
      <c r="T34" s="774" t="s">
        <v>17</v>
      </c>
      <c r="U34" s="775">
        <f t="shared" si="13"/>
        <v>100</v>
      </c>
      <c r="V34" s="774" t="s">
        <v>17</v>
      </c>
      <c r="W34" s="775">
        <f t="shared" si="14"/>
        <v>100</v>
      </c>
      <c r="X34" s="1816"/>
      <c r="Y34" s="3245"/>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38" t="str">
        <f>A35</f>
        <v>成交单价（元/平方米）</v>
      </c>
      <c r="Q35" s="3238"/>
      <c r="R35" s="3239">
        <f>E35</f>
        <v>0</v>
      </c>
      <c r="S35" s="3239"/>
      <c r="T35" s="3239">
        <f>G35</f>
        <v>0</v>
      </c>
      <c r="U35" s="3239"/>
      <c r="V35" s="3239">
        <f>I35</f>
        <v>0</v>
      </c>
      <c r="W35" s="3239"/>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35" t="str">
        <f>A37</f>
        <v>估价对象XX用房的比较价值（楼面单价，元/平方米）</v>
      </c>
      <c r="Q37" s="3236"/>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51" t="s">
        <v>2651</v>
      </c>
      <c r="AC4" s="3250" t="s">
        <v>2652</v>
      </c>
    </row>
    <row r="5" spans="1:30" ht="15">
      <c r="A5" s="404"/>
      <c r="B5" s="405"/>
      <c r="C5" s="3272" t="s">
        <v>2545</v>
      </c>
      <c r="D5" s="3273"/>
      <c r="E5" s="3279" t="s">
        <v>2546</v>
      </c>
      <c r="F5" s="3280"/>
      <c r="G5" s="3272" t="s">
        <v>2547</v>
      </c>
      <c r="H5" s="3273"/>
      <c r="I5" s="3272" t="s">
        <v>2548</v>
      </c>
      <c r="J5" s="3273"/>
      <c r="K5" s="610"/>
      <c r="L5" s="1133"/>
      <c r="M5" s="1134"/>
      <c r="N5" s="1134"/>
      <c r="O5" s="1134"/>
      <c r="P5" s="3259"/>
      <c r="Q5" s="3260"/>
      <c r="R5" s="3265"/>
      <c r="S5" s="3266"/>
      <c r="T5" s="3265"/>
      <c r="U5" s="3266"/>
      <c r="V5" s="3269"/>
      <c r="W5" s="3269"/>
      <c r="X5" s="1816"/>
      <c r="Y5" s="3265"/>
      <c r="Z5" s="3266"/>
      <c r="AA5" s="3251"/>
      <c r="AB5" s="3251"/>
      <c r="AC5" s="3251"/>
    </row>
    <row r="6" spans="1:30" ht="15.75" thickBot="1">
      <c r="A6" s="406"/>
      <c r="B6" s="407"/>
      <c r="C6" s="3270" t="s">
        <v>2549</v>
      </c>
      <c r="D6" s="3271"/>
      <c r="E6" s="3277" t="s">
        <v>2549</v>
      </c>
      <c r="F6" s="3278"/>
      <c r="G6" s="3270" t="s">
        <v>2549</v>
      </c>
      <c r="H6" s="3271"/>
      <c r="I6" s="3270" t="s">
        <v>2549</v>
      </c>
      <c r="J6" s="3271"/>
      <c r="K6" s="610" t="s">
        <v>2550</v>
      </c>
      <c r="L6" s="1133"/>
      <c r="M6" s="1134"/>
      <c r="N6" s="1134"/>
      <c r="O6" s="1134"/>
      <c r="P6" s="3261"/>
      <c r="Q6" s="3262"/>
      <c r="R6" s="3265"/>
      <c r="S6" s="3266"/>
      <c r="T6" s="3267"/>
      <c r="U6" s="3268"/>
      <c r="V6" s="3269"/>
      <c r="W6" s="3269"/>
      <c r="X6" s="1816"/>
      <c r="Y6" s="3267"/>
      <c r="Z6" s="3268"/>
      <c r="AA6" s="3252"/>
      <c r="AB6" s="3252"/>
      <c r="AC6" s="3252"/>
    </row>
    <row r="7" spans="1:30" s="117" customFormat="1" ht="15.75" thickBot="1">
      <c r="A7" s="408" t="s">
        <v>2551</v>
      </c>
      <c r="B7" s="409"/>
      <c r="C7" s="410">
        <f>'数据-取费表'!B2</f>
        <v>43243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74" t="s">
        <v>2552</v>
      </c>
      <c r="Q7" s="3276"/>
      <c r="R7" s="770" t="s">
        <v>17</v>
      </c>
      <c r="S7" s="771">
        <f t="shared" ref="S7:S15" si="0">F7</f>
        <v>0</v>
      </c>
      <c r="T7" s="770" t="s">
        <v>17</v>
      </c>
      <c r="U7" s="771">
        <f t="shared" ref="U7:U15" si="1">H7</f>
        <v>0</v>
      </c>
      <c r="V7" s="770" t="s">
        <v>17</v>
      </c>
      <c r="W7" s="771">
        <f t="shared" ref="W7:W15" si="2">J7</f>
        <v>0</v>
      </c>
      <c r="X7" s="772"/>
      <c r="Y7" s="3274" t="s">
        <v>2552</v>
      </c>
      <c r="Z7" s="327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4" t="s">
        <v>2555</v>
      </c>
      <c r="Q8" s="3275"/>
      <c r="R8" s="770" t="s">
        <v>17</v>
      </c>
      <c r="S8" s="771">
        <f t="shared" si="0"/>
        <v>0</v>
      </c>
      <c r="T8" s="770" t="s">
        <v>17</v>
      </c>
      <c r="U8" s="771">
        <f t="shared" si="1"/>
        <v>0</v>
      </c>
      <c r="V8" s="770" t="s">
        <v>17</v>
      </c>
      <c r="W8" s="771">
        <f t="shared" si="2"/>
        <v>0</v>
      </c>
      <c r="X8" s="772"/>
      <c r="Y8" s="3274" t="s">
        <v>2555</v>
      </c>
      <c r="Z8" s="3275"/>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38"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38"/>
      <c r="Q10" s="1798" t="str">
        <f t="shared" si="6"/>
        <v>土地使用年限（年）</v>
      </c>
      <c r="R10" s="770" t="s">
        <v>17</v>
      </c>
      <c r="S10" s="771">
        <f t="shared" si="0"/>
        <v>103</v>
      </c>
      <c r="T10" s="770" t="s">
        <v>17</v>
      </c>
      <c r="U10" s="771">
        <f t="shared" si="1"/>
        <v>103</v>
      </c>
      <c r="V10" s="770" t="s">
        <v>17</v>
      </c>
      <c r="W10" s="771">
        <f t="shared" si="2"/>
        <v>103</v>
      </c>
      <c r="X10" s="772"/>
      <c r="Y10" s="3059"/>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8"/>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8"/>
      <c r="Q12" s="1798"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8"/>
      <c r="Q14" s="1798">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0" t="s">
        <v>2563</v>
      </c>
      <c r="Q15" s="1813" t="str">
        <f t="shared" si="6"/>
        <v>居住社区成熟度</v>
      </c>
      <c r="R15" s="774" t="s">
        <v>17</v>
      </c>
      <c r="S15" s="775">
        <f t="shared" si="0"/>
        <v>100</v>
      </c>
      <c r="T15" s="774" t="s">
        <v>17</v>
      </c>
      <c r="U15" s="775">
        <f t="shared" si="1"/>
        <v>100</v>
      </c>
      <c r="V15" s="774" t="s">
        <v>17</v>
      </c>
      <c r="W15" s="775">
        <f t="shared" si="2"/>
        <v>100</v>
      </c>
      <c r="X15" s="1816"/>
      <c r="Y15" s="3240"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41"/>
      <c r="Q16" s="1813"/>
      <c r="R16" s="774"/>
      <c r="S16" s="775"/>
      <c r="T16" s="774"/>
      <c r="U16" s="775"/>
      <c r="V16" s="774"/>
      <c r="W16" s="775"/>
      <c r="X16" s="1816"/>
      <c r="Y16" s="3241"/>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1"/>
      <c r="Q17" s="1813" t="str">
        <f>B17</f>
        <v>商业繁华度</v>
      </c>
      <c r="R17" s="774" t="s">
        <v>17</v>
      </c>
      <c r="S17" s="775">
        <f>F17</f>
        <v>100</v>
      </c>
      <c r="T17" s="774" t="s">
        <v>17</v>
      </c>
      <c r="U17" s="775">
        <f>H17</f>
        <v>100</v>
      </c>
      <c r="V17" s="774" t="s">
        <v>17</v>
      </c>
      <c r="W17" s="775">
        <f>J17</f>
        <v>100</v>
      </c>
      <c r="X17" s="1816"/>
      <c r="Y17" s="3241"/>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41"/>
      <c r="Q18" s="1813"/>
      <c r="R18" s="774"/>
      <c r="S18" s="775"/>
      <c r="T18" s="774"/>
      <c r="U18" s="775"/>
      <c r="V18" s="774"/>
      <c r="W18" s="775"/>
      <c r="X18" s="1816"/>
      <c r="Y18" s="3241"/>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1"/>
      <c r="Q19" s="1813" t="str">
        <f>B19</f>
        <v>办公集聚程度</v>
      </c>
      <c r="R19" s="774" t="s">
        <v>17</v>
      </c>
      <c r="S19" s="775">
        <f>F19</f>
        <v>100</v>
      </c>
      <c r="T19" s="774" t="s">
        <v>17</v>
      </c>
      <c r="U19" s="775">
        <f>H19</f>
        <v>100</v>
      </c>
      <c r="V19" s="774" t="s">
        <v>17</v>
      </c>
      <c r="W19" s="775">
        <f>J19</f>
        <v>100</v>
      </c>
      <c r="X19" s="1816"/>
      <c r="Y19" s="3241"/>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41"/>
      <c r="Q20" s="1813"/>
      <c r="R20" s="774"/>
      <c r="S20" s="775"/>
      <c r="T20" s="774"/>
      <c r="U20" s="775"/>
      <c r="V20" s="774"/>
      <c r="W20" s="775"/>
      <c r="X20" s="1816"/>
      <c r="Y20" s="3241"/>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1"/>
      <c r="Q21" s="1813" t="str">
        <f>B21</f>
        <v>交通便捷度</v>
      </c>
      <c r="R21" s="774" t="s">
        <v>17</v>
      </c>
      <c r="S21" s="775">
        <f>F21</f>
        <v>100</v>
      </c>
      <c r="T21" s="774" t="s">
        <v>17</v>
      </c>
      <c r="U21" s="775">
        <f>H21</f>
        <v>100</v>
      </c>
      <c r="V21" s="774" t="s">
        <v>17</v>
      </c>
      <c r="W21" s="775">
        <f>J21</f>
        <v>100</v>
      </c>
      <c r="X21" s="1816"/>
      <c r="Y21" s="3241"/>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41"/>
      <c r="Q22" s="1813"/>
      <c r="R22" s="774"/>
      <c r="S22" s="775"/>
      <c r="T22" s="774"/>
      <c r="U22" s="775"/>
      <c r="V22" s="774"/>
      <c r="W22" s="775"/>
      <c r="X22" s="1816"/>
      <c r="Y22" s="3241"/>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1"/>
      <c r="Q23" s="1813" t="str">
        <f t="shared" ref="Q23:Q37" si="8">B23</f>
        <v>区域土地利用方向</v>
      </c>
      <c r="R23" s="774" t="s">
        <v>17</v>
      </c>
      <c r="S23" s="775">
        <f>F23</f>
        <v>100</v>
      </c>
      <c r="T23" s="774" t="s">
        <v>17</v>
      </c>
      <c r="U23" s="775">
        <f>H23</f>
        <v>100</v>
      </c>
      <c r="V23" s="774" t="s">
        <v>17</v>
      </c>
      <c r="W23" s="775">
        <f>J23</f>
        <v>100</v>
      </c>
      <c r="X23" s="1816"/>
      <c r="Y23" s="3241"/>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41"/>
      <c r="Q24" s="1813"/>
      <c r="R24" s="774"/>
      <c r="S24" s="775"/>
      <c r="T24" s="774"/>
      <c r="U24" s="775"/>
      <c r="V24" s="774"/>
      <c r="W24" s="775"/>
      <c r="X24" s="1816"/>
      <c r="Y24" s="3241"/>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1"/>
      <c r="Q25" s="1813" t="str">
        <f t="shared" si="8"/>
        <v>自然及人文环境状况</v>
      </c>
      <c r="R25" s="774" t="s">
        <v>17</v>
      </c>
      <c r="S25" s="775">
        <f>F25</f>
        <v>100</v>
      </c>
      <c r="T25" s="774" t="s">
        <v>17</v>
      </c>
      <c r="U25" s="775">
        <f>H25</f>
        <v>100</v>
      </c>
      <c r="V25" s="774" t="s">
        <v>17</v>
      </c>
      <c r="W25" s="775">
        <f>J25</f>
        <v>100</v>
      </c>
      <c r="X25" s="1816"/>
      <c r="Y25" s="3241"/>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41"/>
      <c r="Q26" s="1813"/>
      <c r="R26" s="774"/>
      <c r="S26" s="775"/>
      <c r="T26" s="774"/>
      <c r="U26" s="775"/>
      <c r="V26" s="774"/>
      <c r="W26" s="775"/>
      <c r="X26" s="1816"/>
      <c r="Y26" s="3241"/>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1"/>
      <c r="Q27" s="1798" t="str">
        <f t="shared" si="8"/>
        <v>公共配套设施</v>
      </c>
      <c r="R27" s="770" t="s">
        <v>17</v>
      </c>
      <c r="S27" s="771">
        <f>F27</f>
        <v>100</v>
      </c>
      <c r="T27" s="770" t="s">
        <v>17</v>
      </c>
      <c r="U27" s="771">
        <f>H27</f>
        <v>100</v>
      </c>
      <c r="V27" s="770" t="s">
        <v>17</v>
      </c>
      <c r="W27" s="771">
        <f>J27</f>
        <v>100</v>
      </c>
      <c r="X27" s="772"/>
      <c r="Y27" s="3241"/>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41"/>
      <c r="Q28" s="1798"/>
      <c r="R28" s="770"/>
      <c r="S28" s="771"/>
      <c r="T28" s="770"/>
      <c r="U28" s="771"/>
      <c r="V28" s="770"/>
      <c r="W28" s="771"/>
      <c r="X28" s="772"/>
      <c r="Y28" s="3241"/>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1"/>
      <c r="Q29" s="1798" t="str">
        <f t="shared" ref="Q29" si="9">B29</f>
        <v>基础设施水平</v>
      </c>
      <c r="R29" s="770" t="s">
        <v>17</v>
      </c>
      <c r="S29" s="771">
        <f>F29</f>
        <v>100</v>
      </c>
      <c r="T29" s="770" t="s">
        <v>17</v>
      </c>
      <c r="U29" s="771">
        <f>H29</f>
        <v>100</v>
      </c>
      <c r="V29" s="770" t="s">
        <v>17</v>
      </c>
      <c r="W29" s="771">
        <f>J29</f>
        <v>100</v>
      </c>
      <c r="X29" s="772"/>
      <c r="Y29" s="3241"/>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41"/>
      <c r="Q30" s="1798"/>
      <c r="R30" s="770"/>
      <c r="S30" s="771"/>
      <c r="T30" s="770"/>
      <c r="U30" s="771"/>
      <c r="V30" s="770"/>
      <c r="W30" s="771"/>
      <c r="X30" s="772"/>
      <c r="Y30" s="3241"/>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1"/>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1"/>
      <c r="Q32" s="1813" t="str">
        <f t="shared" si="8"/>
        <v>毗邻道路的类型与等级</v>
      </c>
      <c r="R32" s="774" t="s">
        <v>17</v>
      </c>
      <c r="S32" s="775">
        <f t="shared" si="10"/>
        <v>100</v>
      </c>
      <c r="T32" s="774" t="s">
        <v>17</v>
      </c>
      <c r="U32" s="775">
        <f t="shared" si="11"/>
        <v>100</v>
      </c>
      <c r="V32" s="774" t="s">
        <v>17</v>
      </c>
      <c r="W32" s="775">
        <f t="shared" si="12"/>
        <v>100</v>
      </c>
      <c r="X32" s="1816"/>
      <c r="Y32" s="3241"/>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41"/>
      <c r="Q33" s="1813"/>
      <c r="R33" s="774"/>
      <c r="S33" s="775"/>
      <c r="T33" s="774"/>
      <c r="U33" s="775"/>
      <c r="V33" s="774"/>
      <c r="W33" s="775"/>
      <c r="X33" s="1816"/>
      <c r="Y33" s="3241"/>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1"/>
      <c r="Q34" s="1813" t="str">
        <f t="shared" si="8"/>
        <v>土地级别</v>
      </c>
      <c r="R34" s="774" t="s">
        <v>17</v>
      </c>
      <c r="S34" s="775">
        <f t="shared" si="10"/>
        <v>100</v>
      </c>
      <c r="T34" s="774" t="s">
        <v>17</v>
      </c>
      <c r="U34" s="775">
        <f t="shared" si="11"/>
        <v>100</v>
      </c>
      <c r="V34" s="774" t="s">
        <v>17</v>
      </c>
      <c r="W34" s="775">
        <f t="shared" si="12"/>
        <v>100</v>
      </c>
      <c r="X34" s="1816"/>
      <c r="Y34" s="324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1"/>
      <c r="Q35" s="1813">
        <f t="shared" si="8"/>
        <v>111</v>
      </c>
      <c r="R35" s="774" t="s">
        <v>17</v>
      </c>
      <c r="S35" s="775">
        <f t="shared" si="10"/>
        <v>100</v>
      </c>
      <c r="T35" s="774" t="s">
        <v>17</v>
      </c>
      <c r="U35" s="775">
        <f t="shared" si="11"/>
        <v>100</v>
      </c>
      <c r="V35" s="774" t="s">
        <v>17</v>
      </c>
      <c r="W35" s="775">
        <f t="shared" si="12"/>
        <v>100</v>
      </c>
      <c r="X35" s="1816"/>
      <c r="Y35" s="324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1" t="s">
        <v>2568</v>
      </c>
      <c r="Q36" s="1813">
        <f t="shared" si="8"/>
        <v>111</v>
      </c>
      <c r="R36" s="774" t="s">
        <v>17</v>
      </c>
      <c r="S36" s="775">
        <f t="shared" si="10"/>
        <v>100</v>
      </c>
      <c r="T36" s="774" t="s">
        <v>17</v>
      </c>
      <c r="U36" s="775">
        <f t="shared" si="11"/>
        <v>100</v>
      </c>
      <c r="V36" s="774" t="s">
        <v>17</v>
      </c>
      <c r="W36" s="775">
        <f t="shared" si="12"/>
        <v>100</v>
      </c>
      <c r="X36" s="1816"/>
      <c r="Y36" s="3245"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5"/>
      <c r="Q37" s="1813">
        <f t="shared" si="8"/>
        <v>111</v>
      </c>
      <c r="R37" s="777" t="s">
        <v>17</v>
      </c>
      <c r="S37" s="778">
        <f t="shared" si="10"/>
        <v>100</v>
      </c>
      <c r="T37" s="777" t="s">
        <v>17</v>
      </c>
      <c r="U37" s="778">
        <f t="shared" si="11"/>
        <v>100</v>
      </c>
      <c r="V37" s="777" t="s">
        <v>17</v>
      </c>
      <c r="W37" s="778">
        <f t="shared" si="12"/>
        <v>100</v>
      </c>
      <c r="X37" s="779"/>
      <c r="Y37" s="3245"/>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5"/>
      <c r="Q38" s="1813" t="str">
        <f>B38</f>
        <v>宗地面积</v>
      </c>
      <c r="R38" s="774" t="s">
        <v>17</v>
      </c>
      <c r="S38" s="775" t="e">
        <f t="shared" si="10"/>
        <v>#N/A</v>
      </c>
      <c r="T38" s="774" t="s">
        <v>17</v>
      </c>
      <c r="U38" s="775" t="e">
        <f t="shared" si="11"/>
        <v>#N/A</v>
      </c>
      <c r="V38" s="774" t="s">
        <v>17</v>
      </c>
      <c r="W38" s="775" t="e">
        <f t="shared" si="12"/>
        <v>#N/A</v>
      </c>
      <c r="X38" s="1816"/>
      <c r="Y38" s="3245"/>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45"/>
      <c r="Q39" s="1813" t="str">
        <f t="shared" ref="Q39:Q45" si="14">B39</f>
        <v>宗地形状</v>
      </c>
      <c r="R39" s="774" t="s">
        <v>17</v>
      </c>
      <c r="S39" s="775">
        <f t="shared" si="10"/>
        <v>100</v>
      </c>
      <c r="T39" s="774" t="s">
        <v>17</v>
      </c>
      <c r="U39" s="775">
        <f t="shared" si="11"/>
        <v>100</v>
      </c>
      <c r="V39" s="774" t="s">
        <v>17</v>
      </c>
      <c r="W39" s="775">
        <f t="shared" si="12"/>
        <v>100</v>
      </c>
      <c r="X39" s="1816"/>
      <c r="Y39" s="3245"/>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45"/>
      <c r="Q40" s="1813" t="str">
        <f t="shared" si="14"/>
        <v>临街宽度及深度</v>
      </c>
      <c r="R40" s="774" t="s">
        <v>17</v>
      </c>
      <c r="S40" s="775">
        <f t="shared" si="10"/>
        <v>100</v>
      </c>
      <c r="T40" s="774" t="s">
        <v>17</v>
      </c>
      <c r="U40" s="775">
        <f t="shared" si="11"/>
        <v>100</v>
      </c>
      <c r="V40" s="774" t="s">
        <v>17</v>
      </c>
      <c r="W40" s="775">
        <f t="shared" si="12"/>
        <v>100</v>
      </c>
      <c r="X40" s="1816"/>
      <c r="Y40" s="3245"/>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45"/>
      <c r="Q41" s="1813" t="str">
        <f t="shared" si="14"/>
        <v>宗地开发程度</v>
      </c>
      <c r="R41" s="770" t="s">
        <v>17</v>
      </c>
      <c r="S41" s="771">
        <f t="shared" si="10"/>
        <v>100</v>
      </c>
      <c r="T41" s="770" t="s">
        <v>17</v>
      </c>
      <c r="U41" s="771">
        <f t="shared" si="11"/>
        <v>100</v>
      </c>
      <c r="V41" s="770" t="s">
        <v>17</v>
      </c>
      <c r="W41" s="771">
        <f t="shared" si="12"/>
        <v>100</v>
      </c>
      <c r="X41" s="772"/>
      <c r="Y41" s="3245"/>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45" t="s">
        <v>2568</v>
      </c>
      <c r="Q42" s="1813" t="str">
        <f t="shared" si="14"/>
        <v>工程地质条件</v>
      </c>
      <c r="R42" s="774" t="s">
        <v>17</v>
      </c>
      <c r="S42" s="775">
        <f t="shared" si="10"/>
        <v>100</v>
      </c>
      <c r="T42" s="774" t="s">
        <v>17</v>
      </c>
      <c r="U42" s="775">
        <f t="shared" si="11"/>
        <v>100</v>
      </c>
      <c r="V42" s="774" t="s">
        <v>17</v>
      </c>
      <c r="W42" s="775">
        <f t="shared" si="12"/>
        <v>100</v>
      </c>
      <c r="X42" s="1816"/>
      <c r="Y42" s="3245"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5"/>
      <c r="Q43" s="1813">
        <f t="shared" si="14"/>
        <v>111</v>
      </c>
      <c r="R43" s="774" t="s">
        <v>17</v>
      </c>
      <c r="S43" s="775">
        <f t="shared" si="10"/>
        <v>100</v>
      </c>
      <c r="T43" s="774" t="s">
        <v>17</v>
      </c>
      <c r="U43" s="775">
        <f t="shared" si="11"/>
        <v>100</v>
      </c>
      <c r="V43" s="774" t="s">
        <v>17</v>
      </c>
      <c r="W43" s="775">
        <f t="shared" si="12"/>
        <v>100</v>
      </c>
      <c r="X43" s="1816"/>
      <c r="Y43" s="324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5"/>
      <c r="Q44" s="1813">
        <f t="shared" si="14"/>
        <v>111</v>
      </c>
      <c r="R44" s="774" t="s">
        <v>17</v>
      </c>
      <c r="S44" s="775">
        <f t="shared" si="10"/>
        <v>100</v>
      </c>
      <c r="T44" s="774" t="s">
        <v>17</v>
      </c>
      <c r="U44" s="775">
        <f t="shared" si="11"/>
        <v>100</v>
      </c>
      <c r="V44" s="774" t="s">
        <v>17</v>
      </c>
      <c r="W44" s="775">
        <f t="shared" si="12"/>
        <v>100</v>
      </c>
      <c r="X44" s="1816"/>
      <c r="Y44" s="3245"/>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5"/>
      <c r="Q45" s="1813">
        <f t="shared" si="14"/>
        <v>111</v>
      </c>
      <c r="R45" s="777" t="s">
        <v>17</v>
      </c>
      <c r="S45" s="778">
        <f t="shared" si="10"/>
        <v>100</v>
      </c>
      <c r="T45" s="777" t="s">
        <v>17</v>
      </c>
      <c r="U45" s="778">
        <f t="shared" si="11"/>
        <v>100</v>
      </c>
      <c r="V45" s="777" t="s">
        <v>17</v>
      </c>
      <c r="W45" s="778">
        <f t="shared" si="12"/>
        <v>100</v>
      </c>
      <c r="X45" s="779"/>
      <c r="Y45" s="3245"/>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238" t="str">
        <f>A46</f>
        <v>成交单价</v>
      </c>
      <c r="Q46" s="3238"/>
      <c r="R46" s="3269">
        <f>E46</f>
        <v>0</v>
      </c>
      <c r="S46" s="3269"/>
      <c r="T46" s="3269">
        <f>G46</f>
        <v>0</v>
      </c>
      <c r="U46" s="3269"/>
      <c r="V46" s="3269">
        <f>I46</f>
        <v>0</v>
      </c>
      <c r="W46" s="3269"/>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38" t="str">
        <f>A47</f>
        <v>比较价值（元/平方米）</v>
      </c>
      <c r="Q47" s="3238"/>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35" t="str">
        <f>A48</f>
        <v>估价对象XX用房的比较价值（楼面单价，元/平方米）</v>
      </c>
      <c r="Q48" s="3236"/>
      <c r="R48" s="3323" t="e">
        <f>ROUND(AVERAGE(R47:V47),0)</f>
        <v>#DIV/0!</v>
      </c>
      <c r="S48" s="3323"/>
      <c r="T48" s="3323"/>
      <c r="U48" s="3323"/>
      <c r="V48" s="3323"/>
      <c r="W48" s="332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53" t="s">
        <v>2767</v>
      </c>
      <c r="H55" s="3324"/>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22291.280000000002</v>
      </c>
      <c r="F56" s="1106" t="e">
        <f t="shared" ref="F56:F65" si="15">ROUND(B56*E56/10000,0)</f>
        <v>#DIV/0!</v>
      </c>
      <c r="G56" s="3249"/>
      <c r="H56" s="3238"/>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325" t="s">
        <v>2772</v>
      </c>
      <c r="H57" s="1107" t="str">
        <f>项目基本情况!B37</f>
        <v>五级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325"/>
      <c r="H58" s="1107" t="str">
        <f>项目基本情况!B37</f>
        <v>五级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325"/>
      <c r="H59" s="1107" t="str">
        <f>项目基本情况!B37</f>
        <v>五级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325"/>
      <c r="H60" s="1107" t="str">
        <f>项目基本情况!B37</f>
        <v>五级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6" t="s">
        <v>2772</v>
      </c>
      <c r="H64" s="1107" t="str">
        <f>项目基本情况!B37</f>
        <v>五级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22291.280000000002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9" priority="14" stopIfTrue="1" operator="containsText" text="超过">
      <formula>NOT(ISERROR(SEARCH("超过",F51)))</formula>
    </cfRule>
  </conditionalFormatting>
  <conditionalFormatting sqref="J53">
    <cfRule type="containsText" dxfId="28" priority="13" stopIfTrue="1" operator="containsText" text="超过">
      <formula>NOT(ISERROR(SEARCH("超过",J53)))</formula>
    </cfRule>
  </conditionalFormatting>
  <conditionalFormatting sqref="H53">
    <cfRule type="containsText" dxfId="27" priority="12" stopIfTrue="1" operator="containsText" text="超过">
      <formula>NOT(ISERROR(SEARCH("超过",H53)))</formula>
    </cfRule>
  </conditionalFormatting>
  <conditionalFormatting sqref="F53">
    <cfRule type="containsText" dxfId="26" priority="11" stopIfTrue="1" operator="containsText" text="超过">
      <formula>NOT(ISERROR(SEARCH("超过",F53)))</formula>
    </cfRule>
  </conditionalFormatting>
  <conditionalFormatting sqref="F52 H52 J52">
    <cfRule type="containsText" dxfId="25" priority="10" stopIfTrue="1" operator="containsText" text="超过">
      <formula>NOT(ISERROR(SEARCH("超过",F52)))</formula>
    </cfRule>
  </conditionalFormatting>
  <conditionalFormatting sqref="E51">
    <cfRule type="expression" dxfId="24" priority="9" stopIfTrue="1">
      <formula>$F$51="超过30%"</formula>
    </cfRule>
  </conditionalFormatting>
  <conditionalFormatting sqref="G53">
    <cfRule type="expression" dxfId="23" priority="8" stopIfTrue="1">
      <formula>$H$53="超过30%"</formula>
    </cfRule>
  </conditionalFormatting>
  <conditionalFormatting sqref="E52">
    <cfRule type="expression" dxfId="22" priority="7" stopIfTrue="1">
      <formula>$F$52="超过20%"</formula>
    </cfRule>
  </conditionalFormatting>
  <conditionalFormatting sqref="E53">
    <cfRule type="expression" dxfId="21" priority="6" stopIfTrue="1">
      <formula>$F$53="超过30%"</formula>
    </cfRule>
  </conditionalFormatting>
  <conditionalFormatting sqref="G51">
    <cfRule type="expression" dxfId="20" priority="5" stopIfTrue="1">
      <formula>$H$53+$H$51="超过30%"</formula>
    </cfRule>
  </conditionalFormatting>
  <conditionalFormatting sqref="G52">
    <cfRule type="expression" dxfId="19" priority="4" stopIfTrue="1">
      <formula>$H$52="超过20%"</formula>
    </cfRule>
  </conditionalFormatting>
  <conditionalFormatting sqref="I51">
    <cfRule type="expression" dxfId="18" priority="3" stopIfTrue="1">
      <formula>$J$51="超过30%"</formula>
    </cfRule>
  </conditionalFormatting>
  <conditionalFormatting sqref="I52">
    <cfRule type="expression" dxfId="17" priority="2" stopIfTrue="1">
      <formula>$J$52="超过20%"</formula>
    </cfRule>
  </conditionalFormatting>
  <conditionalFormatting sqref="I53">
    <cfRule type="expression" dxfId="1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53" t="s">
        <v>2649</v>
      </c>
      <c r="D4" s="3254"/>
      <c r="E4" s="3255" t="s">
        <v>2650</v>
      </c>
      <c r="F4" s="3256"/>
      <c r="G4" s="3253" t="s">
        <v>2651</v>
      </c>
      <c r="H4" s="3254"/>
      <c r="I4" s="3253" t="s">
        <v>2652</v>
      </c>
      <c r="J4" s="3254"/>
      <c r="K4" s="610" t="s">
        <v>2653</v>
      </c>
      <c r="L4" s="1133"/>
      <c r="M4" s="1134"/>
      <c r="N4" s="1134"/>
      <c r="O4" s="1134"/>
      <c r="P4" s="3257" t="s">
        <v>2654</v>
      </c>
      <c r="Q4" s="3258"/>
      <c r="R4" s="3263" t="s">
        <v>2650</v>
      </c>
      <c r="S4" s="3264"/>
      <c r="T4" s="3263" t="s">
        <v>2651</v>
      </c>
      <c r="U4" s="3264"/>
      <c r="V4" s="3269" t="s">
        <v>2652</v>
      </c>
      <c r="W4" s="3269"/>
      <c r="X4" s="1816"/>
      <c r="Y4" s="3263" t="s">
        <v>2654</v>
      </c>
      <c r="Z4" s="3264"/>
      <c r="AA4" s="3250" t="s">
        <v>2650</v>
      </c>
      <c r="AB4" s="3251" t="s">
        <v>2651</v>
      </c>
      <c r="AC4" s="3250" t="s">
        <v>2652</v>
      </c>
    </row>
    <row r="5" spans="1:29" ht="15">
      <c r="A5" s="404"/>
      <c r="B5" s="405"/>
      <c r="C5" s="3272" t="s">
        <v>2545</v>
      </c>
      <c r="D5" s="3273"/>
      <c r="E5" s="3279" t="s">
        <v>2546</v>
      </c>
      <c r="F5" s="3280"/>
      <c r="G5" s="3272" t="s">
        <v>2547</v>
      </c>
      <c r="H5" s="3273"/>
      <c r="I5" s="3272" t="s">
        <v>2548</v>
      </c>
      <c r="J5" s="3273"/>
      <c r="K5" s="610"/>
      <c r="L5" s="1133"/>
      <c r="M5" s="1134"/>
      <c r="N5" s="1134"/>
      <c r="O5" s="1134"/>
      <c r="P5" s="3259"/>
      <c r="Q5" s="3260"/>
      <c r="R5" s="3265"/>
      <c r="S5" s="3266"/>
      <c r="T5" s="3265"/>
      <c r="U5" s="3266"/>
      <c r="V5" s="3269"/>
      <c r="W5" s="3269"/>
      <c r="X5" s="1816"/>
      <c r="Y5" s="3265"/>
      <c r="Z5" s="3266"/>
      <c r="AA5" s="3251"/>
      <c r="AB5" s="3251"/>
      <c r="AC5" s="3251"/>
    </row>
    <row r="6" spans="1:29" ht="15.75" thickBot="1">
      <c r="A6" s="406"/>
      <c r="B6" s="407"/>
      <c r="C6" s="3326" t="s">
        <v>2800</v>
      </c>
      <c r="D6" s="3327"/>
      <c r="E6" s="3328" t="s">
        <v>2800</v>
      </c>
      <c r="F6" s="3329"/>
      <c r="G6" s="3326" t="s">
        <v>2800</v>
      </c>
      <c r="H6" s="3327"/>
      <c r="I6" s="3326" t="s">
        <v>2800</v>
      </c>
      <c r="J6" s="3327"/>
      <c r="K6" s="610" t="s">
        <v>2550</v>
      </c>
      <c r="L6" s="1133"/>
      <c r="M6" s="1134"/>
      <c r="N6" s="1134"/>
      <c r="O6" s="1134"/>
      <c r="P6" s="3261"/>
      <c r="Q6" s="3262"/>
      <c r="R6" s="3265"/>
      <c r="S6" s="3266"/>
      <c r="T6" s="3267"/>
      <c r="U6" s="3268"/>
      <c r="V6" s="3269"/>
      <c r="W6" s="3269"/>
      <c r="X6" s="1816"/>
      <c r="Y6" s="3267"/>
      <c r="Z6" s="3268"/>
      <c r="AA6" s="3252"/>
      <c r="AB6" s="3252"/>
      <c r="AC6" s="3252"/>
    </row>
    <row r="7" spans="1:29" s="117" customFormat="1" ht="15.75" thickBot="1">
      <c r="A7" s="408" t="s">
        <v>2551</v>
      </c>
      <c r="B7" s="409"/>
      <c r="C7" s="410">
        <f>'数据-取费表'!B2</f>
        <v>43243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74" t="s">
        <v>2552</v>
      </c>
      <c r="Q7" s="3276"/>
      <c r="R7" s="770" t="s">
        <v>17</v>
      </c>
      <c r="S7" s="771">
        <f t="shared" ref="S7:S15" si="0">F7</f>
        <v>0</v>
      </c>
      <c r="T7" s="770" t="s">
        <v>17</v>
      </c>
      <c r="U7" s="771">
        <f t="shared" ref="U7:U15" si="1">H7</f>
        <v>0</v>
      </c>
      <c r="V7" s="770" t="s">
        <v>17</v>
      </c>
      <c r="W7" s="771">
        <f t="shared" ref="W7:W15" si="2">J7</f>
        <v>0</v>
      </c>
      <c r="X7" s="772"/>
      <c r="Y7" s="3274" t="s">
        <v>2552</v>
      </c>
      <c r="Z7" s="3275"/>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4" t="s">
        <v>2555</v>
      </c>
      <c r="Q8" s="3275"/>
      <c r="R8" s="770" t="s">
        <v>17</v>
      </c>
      <c r="S8" s="771">
        <f t="shared" si="0"/>
        <v>0</v>
      </c>
      <c r="T8" s="770" t="s">
        <v>17</v>
      </c>
      <c r="U8" s="771">
        <f t="shared" si="1"/>
        <v>0</v>
      </c>
      <c r="V8" s="770" t="s">
        <v>17</v>
      </c>
      <c r="W8" s="771">
        <f t="shared" si="2"/>
        <v>0</v>
      </c>
      <c r="X8" s="772"/>
      <c r="Y8" s="3274" t="s">
        <v>2555</v>
      </c>
      <c r="Z8" s="3275"/>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8" t="s">
        <v>2558</v>
      </c>
      <c r="Q9" s="1798" t="str">
        <f t="shared" ref="Q9:Q15" si="6">B9</f>
        <v>用途</v>
      </c>
      <c r="R9" s="770" t="s">
        <v>17</v>
      </c>
      <c r="S9" s="771">
        <f t="shared" si="0"/>
        <v>100</v>
      </c>
      <c r="T9" s="770" t="s">
        <v>17</v>
      </c>
      <c r="U9" s="771">
        <f t="shared" si="1"/>
        <v>100</v>
      </c>
      <c r="V9" s="770" t="s">
        <v>17</v>
      </c>
      <c r="W9" s="771">
        <f t="shared" si="2"/>
        <v>100</v>
      </c>
      <c r="X9" s="772"/>
      <c r="Y9" s="305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38"/>
      <c r="Q10" s="1798" t="str">
        <f t="shared" si="6"/>
        <v>土地使用年限（年）</v>
      </c>
      <c r="R10" s="770" t="s">
        <v>17</v>
      </c>
      <c r="S10" s="771">
        <f t="shared" si="0"/>
        <v>103</v>
      </c>
      <c r="T10" s="770" t="s">
        <v>17</v>
      </c>
      <c r="U10" s="771">
        <f t="shared" si="1"/>
        <v>103</v>
      </c>
      <c r="V10" s="770" t="s">
        <v>17</v>
      </c>
      <c r="W10" s="771">
        <f t="shared" si="2"/>
        <v>103</v>
      </c>
      <c r="X10" s="772"/>
      <c r="Y10" s="3059"/>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8"/>
      <c r="Q11" s="1798"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8"/>
      <c r="Q12" s="1798">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8"/>
      <c r="Q13" s="1798">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8"/>
      <c r="Q14" s="1798">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0" t="s">
        <v>2563</v>
      </c>
      <c r="Q15" s="1813" t="str">
        <f t="shared" si="6"/>
        <v>产业集聚程度</v>
      </c>
      <c r="R15" s="774" t="s">
        <v>17</v>
      </c>
      <c r="S15" s="775">
        <f t="shared" si="0"/>
        <v>100</v>
      </c>
      <c r="T15" s="774" t="s">
        <v>17</v>
      </c>
      <c r="U15" s="775">
        <f t="shared" si="1"/>
        <v>100</v>
      </c>
      <c r="V15" s="774" t="s">
        <v>17</v>
      </c>
      <c r="W15" s="775">
        <f t="shared" si="2"/>
        <v>100</v>
      </c>
      <c r="X15" s="1816"/>
      <c r="Y15" s="3240"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41"/>
      <c r="Q16" s="1813"/>
      <c r="R16" s="774"/>
      <c r="S16" s="775"/>
      <c r="T16" s="774"/>
      <c r="U16" s="775"/>
      <c r="V16" s="774"/>
      <c r="W16" s="775"/>
      <c r="X16" s="1816"/>
      <c r="Y16" s="3241"/>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1"/>
      <c r="Q17" s="1813" t="str">
        <f>B17</f>
        <v>交通便捷度</v>
      </c>
      <c r="R17" s="774" t="s">
        <v>17</v>
      </c>
      <c r="S17" s="775">
        <f>F17</f>
        <v>100</v>
      </c>
      <c r="T17" s="774" t="s">
        <v>17</v>
      </c>
      <c r="U17" s="775">
        <f>H17</f>
        <v>100</v>
      </c>
      <c r="V17" s="774" t="s">
        <v>17</v>
      </c>
      <c r="W17" s="775">
        <f>J17</f>
        <v>100</v>
      </c>
      <c r="X17" s="1816"/>
      <c r="Y17" s="3241"/>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41"/>
      <c r="Q18" s="1813"/>
      <c r="R18" s="774"/>
      <c r="S18" s="775"/>
      <c r="T18" s="774"/>
      <c r="U18" s="775"/>
      <c r="V18" s="774"/>
      <c r="W18" s="775"/>
      <c r="X18" s="1816"/>
      <c r="Y18" s="3241"/>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1"/>
      <c r="Q19" s="1813" t="str">
        <f t="shared" ref="Q19:Q33" si="8">B19</f>
        <v>区域土地利用方向</v>
      </c>
      <c r="R19" s="774" t="s">
        <v>17</v>
      </c>
      <c r="S19" s="775">
        <f>F19</f>
        <v>100</v>
      </c>
      <c r="T19" s="774" t="s">
        <v>17</v>
      </c>
      <c r="U19" s="775">
        <f>H19</f>
        <v>100</v>
      </c>
      <c r="V19" s="774" t="s">
        <v>17</v>
      </c>
      <c r="W19" s="775">
        <f>J19</f>
        <v>100</v>
      </c>
      <c r="X19" s="1816"/>
      <c r="Y19" s="3241"/>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41"/>
      <c r="Q20" s="1813"/>
      <c r="R20" s="774"/>
      <c r="S20" s="775"/>
      <c r="T20" s="774"/>
      <c r="U20" s="775"/>
      <c r="V20" s="774"/>
      <c r="W20" s="775"/>
      <c r="X20" s="1816"/>
      <c r="Y20" s="3241"/>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1"/>
      <c r="Q21" s="1813" t="str">
        <f t="shared" si="8"/>
        <v>环境状况</v>
      </c>
      <c r="R21" s="774" t="s">
        <v>17</v>
      </c>
      <c r="S21" s="775">
        <f>F21</f>
        <v>100</v>
      </c>
      <c r="T21" s="774" t="s">
        <v>17</v>
      </c>
      <c r="U21" s="775">
        <f>H21</f>
        <v>100</v>
      </c>
      <c r="V21" s="774" t="s">
        <v>17</v>
      </c>
      <c r="W21" s="775">
        <f>J21</f>
        <v>100</v>
      </c>
      <c r="X21" s="1816"/>
      <c r="Y21" s="3241"/>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41"/>
      <c r="Q22" s="1813"/>
      <c r="R22" s="774"/>
      <c r="S22" s="775"/>
      <c r="T22" s="774"/>
      <c r="U22" s="775"/>
      <c r="V22" s="774"/>
      <c r="W22" s="775"/>
      <c r="X22" s="1816"/>
      <c r="Y22" s="3241"/>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1"/>
      <c r="Q23" s="1798" t="str">
        <f t="shared" si="8"/>
        <v>公共配套设施</v>
      </c>
      <c r="R23" s="770" t="s">
        <v>17</v>
      </c>
      <c r="S23" s="771">
        <f>F23</f>
        <v>100</v>
      </c>
      <c r="T23" s="770" t="s">
        <v>17</v>
      </c>
      <c r="U23" s="771">
        <f>H23</f>
        <v>100</v>
      </c>
      <c r="V23" s="770" t="s">
        <v>17</v>
      </c>
      <c r="W23" s="771">
        <f>J23</f>
        <v>100</v>
      </c>
      <c r="X23" s="772"/>
      <c r="Y23" s="3241"/>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41"/>
      <c r="Q24" s="1798"/>
      <c r="R24" s="770"/>
      <c r="S24" s="771"/>
      <c r="T24" s="770"/>
      <c r="U24" s="771"/>
      <c r="V24" s="770"/>
      <c r="W24" s="771"/>
      <c r="X24" s="772"/>
      <c r="Y24" s="3241"/>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1"/>
      <c r="Q25" s="1798" t="str">
        <f t="shared" ref="Q25" si="9">B25</f>
        <v>基础设施水平</v>
      </c>
      <c r="R25" s="770" t="s">
        <v>17</v>
      </c>
      <c r="S25" s="771">
        <f>F25</f>
        <v>100</v>
      </c>
      <c r="T25" s="770" t="s">
        <v>17</v>
      </c>
      <c r="U25" s="771">
        <f>H25</f>
        <v>100</v>
      </c>
      <c r="V25" s="770" t="s">
        <v>17</v>
      </c>
      <c r="W25" s="771">
        <f>J25</f>
        <v>100</v>
      </c>
      <c r="X25" s="772"/>
      <c r="Y25" s="3241"/>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41"/>
      <c r="Q26" s="1798"/>
      <c r="R26" s="770"/>
      <c r="S26" s="771"/>
      <c r="T26" s="770"/>
      <c r="U26" s="771"/>
      <c r="V26" s="770"/>
      <c r="W26" s="771"/>
      <c r="X26" s="772"/>
      <c r="Y26" s="324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1"/>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1"/>
      <c r="Q28" s="1813" t="str">
        <f t="shared" si="8"/>
        <v>毗邻道路的类型与等级</v>
      </c>
      <c r="R28" s="774" t="s">
        <v>17</v>
      </c>
      <c r="S28" s="775">
        <f t="shared" si="10"/>
        <v>100</v>
      </c>
      <c r="T28" s="774" t="s">
        <v>17</v>
      </c>
      <c r="U28" s="775">
        <f t="shared" si="11"/>
        <v>100</v>
      </c>
      <c r="V28" s="774" t="s">
        <v>17</v>
      </c>
      <c r="W28" s="775">
        <f t="shared" si="12"/>
        <v>100</v>
      </c>
      <c r="X28" s="1816"/>
      <c r="Y28" s="3241"/>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41"/>
      <c r="Q29" s="1813"/>
      <c r="R29" s="774"/>
      <c r="S29" s="775"/>
      <c r="T29" s="774"/>
      <c r="U29" s="775"/>
      <c r="V29" s="774"/>
      <c r="W29" s="775"/>
      <c r="X29" s="1816"/>
      <c r="Y29" s="3241"/>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1"/>
      <c r="Q30" s="1813" t="str">
        <f t="shared" si="8"/>
        <v>土地级别</v>
      </c>
      <c r="R30" s="774" t="s">
        <v>17</v>
      </c>
      <c r="S30" s="775">
        <f t="shared" si="10"/>
        <v>100</v>
      </c>
      <c r="T30" s="774" t="s">
        <v>17</v>
      </c>
      <c r="U30" s="775">
        <f t="shared" si="11"/>
        <v>100</v>
      </c>
      <c r="V30" s="774" t="s">
        <v>17</v>
      </c>
      <c r="W30" s="775">
        <f t="shared" si="12"/>
        <v>100</v>
      </c>
      <c r="X30" s="1816"/>
      <c r="Y30" s="3241"/>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1"/>
      <c r="Q31" s="1813">
        <f t="shared" si="8"/>
        <v>111</v>
      </c>
      <c r="R31" s="774" t="s">
        <v>17</v>
      </c>
      <c r="S31" s="775">
        <f t="shared" si="10"/>
        <v>100</v>
      </c>
      <c r="T31" s="774" t="s">
        <v>17</v>
      </c>
      <c r="U31" s="775">
        <f t="shared" si="11"/>
        <v>100</v>
      </c>
      <c r="V31" s="774" t="s">
        <v>17</v>
      </c>
      <c r="W31" s="775">
        <f t="shared" si="12"/>
        <v>100</v>
      </c>
      <c r="X31" s="1816"/>
      <c r="Y31" s="3241"/>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1" t="s">
        <v>2568</v>
      </c>
      <c r="Q32" s="1813">
        <f t="shared" si="8"/>
        <v>111</v>
      </c>
      <c r="R32" s="774" t="s">
        <v>17</v>
      </c>
      <c r="S32" s="775">
        <f t="shared" si="10"/>
        <v>100</v>
      </c>
      <c r="T32" s="774" t="s">
        <v>17</v>
      </c>
      <c r="U32" s="775">
        <f t="shared" si="11"/>
        <v>100</v>
      </c>
      <c r="V32" s="774" t="s">
        <v>17</v>
      </c>
      <c r="W32" s="775">
        <f t="shared" si="12"/>
        <v>100</v>
      </c>
      <c r="X32" s="1816"/>
      <c r="Y32" s="3245"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5"/>
      <c r="Q33" s="1813">
        <f t="shared" si="8"/>
        <v>111</v>
      </c>
      <c r="R33" s="777" t="s">
        <v>17</v>
      </c>
      <c r="S33" s="778">
        <f t="shared" si="10"/>
        <v>100</v>
      </c>
      <c r="T33" s="777" t="s">
        <v>17</v>
      </c>
      <c r="U33" s="778">
        <f t="shared" si="11"/>
        <v>100</v>
      </c>
      <c r="V33" s="777" t="s">
        <v>17</v>
      </c>
      <c r="W33" s="778">
        <f t="shared" si="12"/>
        <v>100</v>
      </c>
      <c r="X33" s="779"/>
      <c r="Y33" s="3245"/>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5"/>
      <c r="Q34" s="1813" t="str">
        <f>B34</f>
        <v>宗地面积</v>
      </c>
      <c r="R34" s="774" t="s">
        <v>17</v>
      </c>
      <c r="S34" s="775" t="e">
        <f t="shared" si="10"/>
        <v>#N/A</v>
      </c>
      <c r="T34" s="774" t="s">
        <v>17</v>
      </c>
      <c r="U34" s="775" t="e">
        <f t="shared" si="11"/>
        <v>#N/A</v>
      </c>
      <c r="V34" s="774" t="s">
        <v>17</v>
      </c>
      <c r="W34" s="775" t="e">
        <f t="shared" si="12"/>
        <v>#N/A</v>
      </c>
      <c r="X34" s="1816"/>
      <c r="Y34" s="3245"/>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45"/>
      <c r="Q35" s="1813" t="str">
        <f t="shared" ref="Q35:Q40" si="14">B35</f>
        <v>宗地形状</v>
      </c>
      <c r="R35" s="774" t="s">
        <v>17</v>
      </c>
      <c r="S35" s="775">
        <f t="shared" si="10"/>
        <v>100</v>
      </c>
      <c r="T35" s="774" t="s">
        <v>17</v>
      </c>
      <c r="U35" s="775">
        <f t="shared" si="11"/>
        <v>100</v>
      </c>
      <c r="V35" s="774" t="s">
        <v>17</v>
      </c>
      <c r="W35" s="775">
        <f t="shared" si="12"/>
        <v>100</v>
      </c>
      <c r="X35" s="1816"/>
      <c r="Y35" s="3245"/>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45"/>
      <c r="Q36" s="1813" t="str">
        <f t="shared" si="14"/>
        <v>宗地开发程度</v>
      </c>
      <c r="R36" s="770" t="s">
        <v>17</v>
      </c>
      <c r="S36" s="771">
        <f t="shared" si="10"/>
        <v>100</v>
      </c>
      <c r="T36" s="770" t="s">
        <v>17</v>
      </c>
      <c r="U36" s="771">
        <f t="shared" si="11"/>
        <v>100</v>
      </c>
      <c r="V36" s="770" t="s">
        <v>17</v>
      </c>
      <c r="W36" s="771">
        <f t="shared" si="12"/>
        <v>100</v>
      </c>
      <c r="X36" s="772"/>
      <c r="Y36" s="3245"/>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45" t="s">
        <v>2568</v>
      </c>
      <c r="Q37" s="1813" t="str">
        <f t="shared" si="14"/>
        <v>工程地质条件</v>
      </c>
      <c r="R37" s="774" t="s">
        <v>17</v>
      </c>
      <c r="S37" s="775">
        <f t="shared" si="10"/>
        <v>100</v>
      </c>
      <c r="T37" s="774" t="s">
        <v>17</v>
      </c>
      <c r="U37" s="775">
        <f t="shared" si="11"/>
        <v>100</v>
      </c>
      <c r="V37" s="774" t="s">
        <v>17</v>
      </c>
      <c r="W37" s="775">
        <f t="shared" si="12"/>
        <v>100</v>
      </c>
      <c r="X37" s="1816"/>
      <c r="Y37" s="3245"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5"/>
      <c r="Q38" s="1813">
        <f t="shared" si="14"/>
        <v>111</v>
      </c>
      <c r="R38" s="774" t="s">
        <v>17</v>
      </c>
      <c r="S38" s="775">
        <f t="shared" si="10"/>
        <v>100</v>
      </c>
      <c r="T38" s="774" t="s">
        <v>17</v>
      </c>
      <c r="U38" s="775">
        <f t="shared" si="11"/>
        <v>100</v>
      </c>
      <c r="V38" s="774" t="s">
        <v>17</v>
      </c>
      <c r="W38" s="775">
        <f t="shared" si="12"/>
        <v>100</v>
      </c>
      <c r="X38" s="1816"/>
      <c r="Y38" s="324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5"/>
      <c r="Q39" s="1813">
        <f t="shared" si="14"/>
        <v>111</v>
      </c>
      <c r="R39" s="774" t="s">
        <v>17</v>
      </c>
      <c r="S39" s="775">
        <f t="shared" si="10"/>
        <v>100</v>
      </c>
      <c r="T39" s="774" t="s">
        <v>17</v>
      </c>
      <c r="U39" s="775">
        <f t="shared" si="11"/>
        <v>100</v>
      </c>
      <c r="V39" s="774" t="s">
        <v>17</v>
      </c>
      <c r="W39" s="775">
        <f t="shared" si="12"/>
        <v>100</v>
      </c>
      <c r="X39" s="1816"/>
      <c r="Y39" s="3245"/>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5"/>
      <c r="Q40" s="1813">
        <f t="shared" si="14"/>
        <v>111</v>
      </c>
      <c r="R40" s="777" t="s">
        <v>17</v>
      </c>
      <c r="S40" s="778">
        <f t="shared" si="10"/>
        <v>100</v>
      </c>
      <c r="T40" s="777" t="s">
        <v>17</v>
      </c>
      <c r="U40" s="778">
        <f t="shared" si="11"/>
        <v>100</v>
      </c>
      <c r="V40" s="777" t="s">
        <v>17</v>
      </c>
      <c r="W40" s="778">
        <f t="shared" si="12"/>
        <v>100</v>
      </c>
      <c r="X40" s="779"/>
      <c r="Y40" s="3245"/>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238" t="str">
        <f>A41</f>
        <v>成交单价</v>
      </c>
      <c r="Q41" s="3238"/>
      <c r="R41" s="3269">
        <f>E41</f>
        <v>0</v>
      </c>
      <c r="S41" s="3269"/>
      <c r="T41" s="3269">
        <f>G41</f>
        <v>0</v>
      </c>
      <c r="U41" s="3269"/>
      <c r="V41" s="3269">
        <f>I41</f>
        <v>0</v>
      </c>
      <c r="W41" s="326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38" t="str">
        <f>A42</f>
        <v>比较价值（元/平方米）</v>
      </c>
      <c r="Q42" s="3238"/>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35" t="str">
        <f>A43</f>
        <v>估价对象XX用房的比较价值（楼面单价，元/平方米）</v>
      </c>
      <c r="Q43" s="3236"/>
      <c r="R43" s="3323" t="e">
        <f>ROUND(AVERAGE(R42:V42),0)</f>
        <v>#DIV/0!</v>
      </c>
      <c r="S43" s="3323"/>
      <c r="T43" s="3323"/>
      <c r="U43" s="3323"/>
      <c r="V43" s="3323"/>
      <c r="W43" s="332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53" t="s">
        <v>2767</v>
      </c>
      <c r="H50" s="3324"/>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22291.280000000002</v>
      </c>
      <c r="F51" s="691" t="e">
        <f t="shared" ref="F51:F60" si="15">ROUND(B51*E51/10000,0)</f>
        <v>#DIV/0!</v>
      </c>
      <c r="G51" s="3249"/>
      <c r="H51" s="3238"/>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325" t="s">
        <v>2772</v>
      </c>
      <c r="H52" s="1107" t="str">
        <f>项目基本情况!B37</f>
        <v>五级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325"/>
      <c r="H53" s="1107" t="str">
        <f>项目基本情况!B37</f>
        <v>五级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325"/>
      <c r="H54" s="1107" t="str">
        <f>项目基本情况!B37</f>
        <v>五级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325"/>
      <c r="H55" s="1107" t="str">
        <f>项目基本情况!B37</f>
        <v>五级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6" t="s">
        <v>2772</v>
      </c>
      <c r="H59" s="1107" t="str">
        <f>项目基本情况!B37</f>
        <v>五级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8931.74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5" priority="14" stopIfTrue="1" operator="containsText" text="超过">
      <formula>NOT(ISERROR(SEARCH("超过",F46)))</formula>
    </cfRule>
  </conditionalFormatting>
  <conditionalFormatting sqref="J48">
    <cfRule type="containsText" dxfId="14" priority="13" stopIfTrue="1" operator="containsText" text="超过">
      <formula>NOT(ISERROR(SEARCH("超过",J48)))</formula>
    </cfRule>
  </conditionalFormatting>
  <conditionalFormatting sqref="H48">
    <cfRule type="containsText" dxfId="13" priority="12" stopIfTrue="1" operator="containsText" text="超过">
      <formula>NOT(ISERROR(SEARCH("超过",H48)))</formula>
    </cfRule>
  </conditionalFormatting>
  <conditionalFormatting sqref="F48">
    <cfRule type="containsText" dxfId="12" priority="11" stopIfTrue="1" operator="containsText" text="超过">
      <formula>NOT(ISERROR(SEARCH("超过",F48)))</formula>
    </cfRule>
  </conditionalFormatting>
  <conditionalFormatting sqref="F47 H47 J47">
    <cfRule type="containsText" dxfId="11" priority="10" stopIfTrue="1" operator="containsText" text="超过">
      <formula>NOT(ISERROR(SEARCH("超过",F47)))</formula>
    </cfRule>
  </conditionalFormatting>
  <conditionalFormatting sqref="E46">
    <cfRule type="expression" dxfId="10" priority="9" stopIfTrue="1">
      <formula>$F$46="超过30%"</formula>
    </cfRule>
  </conditionalFormatting>
  <conditionalFormatting sqref="G48">
    <cfRule type="expression" dxfId="9" priority="8" stopIfTrue="1">
      <formula>$H$48="超过30%"</formula>
    </cfRule>
  </conditionalFormatting>
  <conditionalFormatting sqref="E48">
    <cfRule type="expression" dxfId="8" priority="6" stopIfTrue="1">
      <formula>$F$48="超过30%"</formula>
    </cfRule>
  </conditionalFormatting>
  <conditionalFormatting sqref="G46">
    <cfRule type="expression" dxfId="7" priority="5" stopIfTrue="1">
      <formula>$H$46="超过30%"</formula>
    </cfRule>
  </conditionalFormatting>
  <conditionalFormatting sqref="G47">
    <cfRule type="expression" dxfId="6" priority="4" stopIfTrue="1">
      <formula>$H$47="超过20%"</formula>
    </cfRule>
  </conditionalFormatting>
  <conditionalFormatting sqref="I46">
    <cfRule type="expression" dxfId="5" priority="3" stopIfTrue="1">
      <formula>$J$46="超过30%"</formula>
    </cfRule>
  </conditionalFormatting>
  <conditionalFormatting sqref="I47">
    <cfRule type="expression" dxfId="4" priority="2" stopIfTrue="1">
      <formula>$J$47="超过20%"</formula>
    </cfRule>
  </conditionalFormatting>
  <conditionalFormatting sqref="I48">
    <cfRule type="expression" dxfId="3" priority="1" stopIfTrue="1">
      <formula>$J$48="超过30%"</formula>
    </cfRule>
  </conditionalFormatting>
  <conditionalFormatting sqref="E47">
    <cfRule type="expression" dxfId="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0" t="s">
        <v>183</v>
      </c>
      <c r="B18" s="882" t="s">
        <v>560</v>
      </c>
      <c r="C18" s="883" t="s">
        <v>561</v>
      </c>
      <c r="D18" s="884"/>
      <c r="E18" s="882">
        <v>1</v>
      </c>
      <c r="F18" s="885" t="s">
        <v>562</v>
      </c>
      <c r="G18" s="886"/>
      <c r="H18" s="878"/>
      <c r="I18" s="878"/>
    </row>
    <row r="19" spans="1:9" s="887" customFormat="1" ht="19.5" customHeight="1">
      <c r="A19" s="3330"/>
      <c r="B19" s="3330" t="s">
        <v>563</v>
      </c>
      <c r="C19" s="883" t="s">
        <v>564</v>
      </c>
      <c r="D19" s="884"/>
      <c r="E19" s="882">
        <v>0.9</v>
      </c>
      <c r="F19" s="885" t="s">
        <v>565</v>
      </c>
      <c r="G19" s="886"/>
      <c r="H19" s="878"/>
      <c r="I19" s="878"/>
    </row>
    <row r="20" spans="1:9" s="887" customFormat="1" ht="19.5" customHeight="1">
      <c r="A20" s="3330"/>
      <c r="B20" s="3330"/>
      <c r="C20" s="883" t="s">
        <v>566</v>
      </c>
      <c r="D20" s="884"/>
      <c r="E20" s="882">
        <v>1.1000000000000001</v>
      </c>
      <c r="F20" s="885" t="s">
        <v>567</v>
      </c>
      <c r="G20" s="886"/>
      <c r="H20" s="878"/>
      <c r="I20" s="878"/>
    </row>
    <row r="21" spans="1:9" s="887" customFormat="1" ht="19.5" customHeight="1">
      <c r="A21" s="3330"/>
      <c r="B21" s="3330"/>
      <c r="C21" s="883" t="s">
        <v>568</v>
      </c>
      <c r="D21" s="884"/>
      <c r="E21" s="882">
        <v>0.8</v>
      </c>
      <c r="F21" s="885" t="s">
        <v>569</v>
      </c>
      <c r="G21" s="886"/>
      <c r="H21" s="878"/>
      <c r="I21" s="878"/>
    </row>
    <row r="22" spans="1:9" s="887" customFormat="1" ht="19.5" customHeight="1">
      <c r="A22" s="3330"/>
      <c r="B22" s="3330"/>
      <c r="C22" s="883" t="s">
        <v>570</v>
      </c>
      <c r="D22" s="884"/>
      <c r="E22" s="882">
        <v>0.5</v>
      </c>
      <c r="F22" s="885"/>
      <c r="G22" s="886"/>
      <c r="H22" s="878"/>
      <c r="I22" s="878"/>
    </row>
    <row r="23" spans="1:9" s="887" customFormat="1" ht="19.5" customHeight="1">
      <c r="A23" s="3330" t="s">
        <v>184</v>
      </c>
      <c r="B23" s="882" t="s">
        <v>560</v>
      </c>
      <c r="C23" s="883" t="s">
        <v>571</v>
      </c>
      <c r="D23" s="884"/>
      <c r="E23" s="882">
        <v>1</v>
      </c>
      <c r="F23" s="885" t="s">
        <v>572</v>
      </c>
      <c r="G23" s="886"/>
      <c r="H23" s="878"/>
      <c r="I23" s="878"/>
    </row>
    <row r="24" spans="1:9" s="887" customFormat="1" ht="19.5" customHeight="1">
      <c r="A24" s="3330"/>
      <c r="B24" s="3330" t="s">
        <v>563</v>
      </c>
      <c r="C24" s="883" t="s">
        <v>573</v>
      </c>
      <c r="D24" s="884"/>
      <c r="E24" s="882">
        <v>0.5</v>
      </c>
      <c r="F24" s="885"/>
      <c r="G24" s="886"/>
      <c r="H24" s="878"/>
      <c r="I24" s="878"/>
    </row>
    <row r="25" spans="1:9" s="887" customFormat="1" ht="19.5" customHeight="1">
      <c r="A25" s="3330"/>
      <c r="B25" s="3330"/>
      <c r="C25" s="883" t="s">
        <v>574</v>
      </c>
      <c r="D25" s="884"/>
      <c r="E25" s="882">
        <v>1.1000000000000001</v>
      </c>
      <c r="F25" s="885"/>
      <c r="G25" s="886"/>
      <c r="H25" s="878"/>
      <c r="I25" s="878"/>
    </row>
    <row r="26" spans="1:9" s="887" customFormat="1" ht="19.5" customHeight="1">
      <c r="A26" s="3330"/>
      <c r="B26" s="3330"/>
      <c r="C26" s="883" t="s">
        <v>575</v>
      </c>
      <c r="D26" s="884"/>
      <c r="E26" s="882">
        <v>1.1000000000000001</v>
      </c>
      <c r="F26" s="885"/>
      <c r="G26" s="886"/>
      <c r="H26" s="878"/>
      <c r="I26" s="878"/>
    </row>
    <row r="27" spans="1:9" s="887" customFormat="1" ht="19.5" customHeight="1">
      <c r="A27" s="3330"/>
      <c r="B27" s="3330"/>
      <c r="C27" s="883" t="s">
        <v>576</v>
      </c>
      <c r="D27" s="884"/>
      <c r="E27" s="882">
        <v>0.9</v>
      </c>
      <c r="F27" s="885" t="s">
        <v>577</v>
      </c>
      <c r="G27" s="886"/>
      <c r="H27" s="878"/>
      <c r="I27" s="878"/>
    </row>
    <row r="28" spans="1:9" s="887" customFormat="1" ht="19.5" customHeight="1">
      <c r="A28" s="3330"/>
      <c r="B28" s="3330"/>
      <c r="C28" s="883" t="s">
        <v>578</v>
      </c>
      <c r="D28" s="884"/>
      <c r="E28" s="882">
        <v>0.9</v>
      </c>
      <c r="F28" s="885" t="s">
        <v>579</v>
      </c>
      <c r="G28" s="886"/>
      <c r="H28" s="878"/>
      <c r="I28" s="878"/>
    </row>
    <row r="29" spans="1:9" s="887" customFormat="1" ht="19.5" customHeight="1">
      <c r="A29" s="3330"/>
      <c r="B29" s="3330"/>
      <c r="C29" s="883" t="s">
        <v>580</v>
      </c>
      <c r="D29" s="884"/>
      <c r="E29" s="882">
        <v>0.9</v>
      </c>
      <c r="F29" s="885" t="s">
        <v>581</v>
      </c>
      <c r="G29" s="886"/>
      <c r="H29" s="878"/>
      <c r="I29" s="878"/>
    </row>
    <row r="30" spans="1:9" s="887" customFormat="1" ht="19.5" customHeight="1">
      <c r="A30" s="3330"/>
      <c r="B30" s="3330"/>
      <c r="C30" s="883" t="s">
        <v>582</v>
      </c>
      <c r="D30" s="884"/>
      <c r="E30" s="882">
        <v>0.9</v>
      </c>
      <c r="F30" s="885" t="s">
        <v>583</v>
      </c>
      <c r="G30" s="886"/>
      <c r="H30" s="878"/>
      <c r="I30" s="878"/>
    </row>
    <row r="31" spans="1:9" s="887" customFormat="1" ht="19.5" customHeight="1">
      <c r="A31" s="3330"/>
      <c r="B31" s="3330"/>
      <c r="C31" s="883" t="s">
        <v>584</v>
      </c>
      <c r="D31" s="884"/>
      <c r="E31" s="882">
        <v>0.8</v>
      </c>
      <c r="F31" s="885" t="s">
        <v>585</v>
      </c>
      <c r="G31" s="886"/>
      <c r="H31" s="878"/>
      <c r="I31" s="878"/>
    </row>
    <row r="32" spans="1:9" s="887" customFormat="1" ht="19.5" customHeight="1">
      <c r="A32" s="3330"/>
      <c r="B32" s="3330"/>
      <c r="C32" s="883" t="s">
        <v>586</v>
      </c>
      <c r="D32" s="884"/>
      <c r="E32" s="882">
        <v>0.8</v>
      </c>
      <c r="F32" s="885" t="s">
        <v>587</v>
      </c>
      <c r="G32" s="886"/>
      <c r="H32" s="878"/>
      <c r="I32" s="878"/>
    </row>
    <row r="33" spans="1:9" s="887" customFormat="1" ht="19.5" customHeight="1">
      <c r="A33" s="3330" t="s">
        <v>185</v>
      </c>
      <c r="B33" s="882" t="s">
        <v>560</v>
      </c>
      <c r="C33" s="883" t="s">
        <v>588</v>
      </c>
      <c r="D33" s="884"/>
      <c r="E33" s="882">
        <v>1</v>
      </c>
      <c r="F33" s="885" t="s">
        <v>589</v>
      </c>
      <c r="G33" s="886"/>
      <c r="H33" s="878"/>
      <c r="I33" s="878"/>
    </row>
    <row r="34" spans="1:9" s="887" customFormat="1" ht="19.5" customHeight="1">
      <c r="A34" s="3330"/>
      <c r="B34" s="882" t="s">
        <v>563</v>
      </c>
      <c r="C34" s="883" t="s">
        <v>590</v>
      </c>
      <c r="D34" s="884"/>
      <c r="E34" s="882">
        <v>1.5</v>
      </c>
      <c r="F34" s="885" t="s">
        <v>591</v>
      </c>
      <c r="G34" s="886"/>
      <c r="H34" s="878"/>
      <c r="I34" s="878"/>
    </row>
    <row r="35" spans="1:9" s="887" customFormat="1" ht="19.5" customHeight="1">
      <c r="A35" s="3330" t="s">
        <v>186</v>
      </c>
      <c r="B35" s="882" t="s">
        <v>560</v>
      </c>
      <c r="C35" s="883" t="s">
        <v>592</v>
      </c>
      <c r="D35" s="884"/>
      <c r="E35" s="882">
        <v>1</v>
      </c>
      <c r="F35" s="885" t="s">
        <v>593</v>
      </c>
      <c r="G35" s="886"/>
      <c r="H35" s="878"/>
      <c r="I35" s="878"/>
    </row>
    <row r="36" spans="1:9" s="887" customFormat="1" ht="19.5" customHeight="1">
      <c r="A36" s="3330"/>
      <c r="B36" s="3330" t="s">
        <v>563</v>
      </c>
      <c r="C36" s="883" t="s">
        <v>594</v>
      </c>
      <c r="D36" s="884"/>
      <c r="E36" s="882">
        <v>1</v>
      </c>
      <c r="F36" s="885" t="s">
        <v>595</v>
      </c>
      <c r="G36" s="886"/>
      <c r="H36" s="878"/>
      <c r="I36" s="878"/>
    </row>
    <row r="37" spans="1:9" s="887" customFormat="1" ht="19.5" customHeight="1">
      <c r="A37" s="3330"/>
      <c r="B37" s="3330"/>
      <c r="C37" s="883" t="s">
        <v>596</v>
      </c>
      <c r="D37" s="884"/>
      <c r="E37" s="882">
        <v>1.5</v>
      </c>
      <c r="F37" s="885" t="s">
        <v>597</v>
      </c>
      <c r="G37" s="886"/>
      <c r="H37" s="878"/>
      <c r="I37" s="878"/>
    </row>
    <row r="38" spans="1:9" s="887" customFormat="1" ht="19.5" customHeight="1">
      <c r="A38" s="3330"/>
      <c r="B38" s="3330"/>
      <c r="C38" s="883" t="s">
        <v>598</v>
      </c>
      <c r="D38" s="884"/>
      <c r="E38" s="882">
        <v>1</v>
      </c>
      <c r="F38" s="885" t="s">
        <v>599</v>
      </c>
      <c r="G38" s="886"/>
      <c r="H38" s="878"/>
      <c r="I38" s="878"/>
    </row>
    <row r="39" spans="1:9" s="887" customFormat="1" ht="19.5" customHeight="1">
      <c r="A39" s="3330"/>
      <c r="B39" s="333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0" t="s">
        <v>614</v>
      </c>
      <c r="C61" s="818" t="s">
        <v>615</v>
      </c>
      <c r="D61" s="818" t="s">
        <v>616</v>
      </c>
      <c r="E61" s="895">
        <v>0.5</v>
      </c>
      <c r="F61" s="882">
        <v>80</v>
      </c>
    </row>
    <row r="62" spans="1:8" s="878" customFormat="1" ht="24">
      <c r="A62" s="882">
        <v>2</v>
      </c>
      <c r="B62" s="3330"/>
      <c r="C62" s="818" t="s">
        <v>617</v>
      </c>
      <c r="D62" s="818" t="s">
        <v>618</v>
      </c>
      <c r="E62" s="895">
        <v>0.5</v>
      </c>
      <c r="F62" s="882">
        <v>80</v>
      </c>
    </row>
    <row r="63" spans="1:8" s="878" customFormat="1" ht="36">
      <c r="A63" s="882">
        <v>3</v>
      </c>
      <c r="B63" s="3330"/>
      <c r="C63" s="818" t="s">
        <v>619</v>
      </c>
      <c r="D63" s="818" t="s">
        <v>620</v>
      </c>
      <c r="E63" s="895">
        <v>0.5</v>
      </c>
      <c r="F63" s="882">
        <v>80</v>
      </c>
    </row>
    <row r="64" spans="1:8" s="878" customFormat="1" ht="36">
      <c r="A64" s="882">
        <v>4</v>
      </c>
      <c r="B64" s="3330"/>
      <c r="C64" s="818" t="s">
        <v>621</v>
      </c>
      <c r="D64" s="818" t="s">
        <v>622</v>
      </c>
      <c r="E64" s="895">
        <v>0.4</v>
      </c>
      <c r="F64" s="882">
        <v>60</v>
      </c>
    </row>
    <row r="65" spans="1:6" s="878" customFormat="1" ht="36">
      <c r="A65" s="882">
        <v>5</v>
      </c>
      <c r="B65" s="3330"/>
      <c r="C65" s="818" t="s">
        <v>623</v>
      </c>
      <c r="D65" s="818" t="s">
        <v>624</v>
      </c>
      <c r="E65" s="895">
        <v>0.2</v>
      </c>
      <c r="F65" s="882">
        <v>30</v>
      </c>
    </row>
    <row r="66" spans="1:6" s="878" customFormat="1" ht="36">
      <c r="A66" s="882">
        <v>6</v>
      </c>
      <c r="B66" s="3330"/>
      <c r="C66" s="818" t="s">
        <v>625</v>
      </c>
      <c r="D66" s="818" t="s">
        <v>626</v>
      </c>
      <c r="E66" s="895">
        <v>0.3</v>
      </c>
      <c r="F66" s="882">
        <v>50</v>
      </c>
    </row>
    <row r="67" spans="1:6" s="878" customFormat="1" ht="36">
      <c r="A67" s="882">
        <v>7</v>
      </c>
      <c r="B67" s="3330"/>
      <c r="C67" s="818" t="s">
        <v>627</v>
      </c>
      <c r="D67" s="818" t="s">
        <v>628</v>
      </c>
      <c r="E67" s="895">
        <v>0.2</v>
      </c>
      <c r="F67" s="882">
        <v>30</v>
      </c>
    </row>
    <row r="68" spans="1:6" s="878" customFormat="1" ht="36">
      <c r="A68" s="882">
        <v>8</v>
      </c>
      <c r="B68" s="3330"/>
      <c r="C68" s="818" t="s">
        <v>629</v>
      </c>
      <c r="D68" s="818" t="s">
        <v>630</v>
      </c>
      <c r="E68" s="895">
        <v>0.2</v>
      </c>
      <c r="F68" s="882">
        <v>30</v>
      </c>
    </row>
    <row r="69" spans="1:6" s="878" customFormat="1" ht="36">
      <c r="A69" s="882">
        <v>9</v>
      </c>
      <c r="B69" s="3330"/>
      <c r="C69" s="818" t="s">
        <v>631</v>
      </c>
      <c r="D69" s="818" t="s">
        <v>632</v>
      </c>
      <c r="E69" s="895">
        <v>0.2</v>
      </c>
      <c r="F69" s="882">
        <v>30</v>
      </c>
    </row>
    <row r="70" spans="1:6" s="878" customFormat="1" ht="48">
      <c r="A70" s="882">
        <v>10</v>
      </c>
      <c r="B70" s="3330"/>
      <c r="C70" s="818" t="s">
        <v>633</v>
      </c>
      <c r="D70" s="818" t="s">
        <v>634</v>
      </c>
      <c r="E70" s="895">
        <v>0.2</v>
      </c>
      <c r="F70" s="882">
        <v>30</v>
      </c>
    </row>
    <row r="71" spans="1:6" s="878" customFormat="1" ht="48">
      <c r="A71" s="882">
        <v>11</v>
      </c>
      <c r="B71" s="3330"/>
      <c r="C71" s="818" t="s">
        <v>635</v>
      </c>
      <c r="D71" s="818" t="s">
        <v>636</v>
      </c>
      <c r="E71" s="895">
        <v>0.2</v>
      </c>
      <c r="F71" s="882">
        <v>30</v>
      </c>
    </row>
    <row r="72" spans="1:6" s="878" customFormat="1" ht="36">
      <c r="A72" s="882">
        <v>12</v>
      </c>
      <c r="B72" s="3330"/>
      <c r="C72" s="818" t="s">
        <v>637</v>
      </c>
      <c r="D72" s="818" t="s">
        <v>638</v>
      </c>
      <c r="E72" s="895">
        <v>0.5</v>
      </c>
      <c r="F72" s="882">
        <v>80</v>
      </c>
    </row>
    <row r="73" spans="1:6" s="878" customFormat="1" ht="24">
      <c r="A73" s="882">
        <v>13</v>
      </c>
      <c r="B73" s="3330"/>
      <c r="C73" s="818" t="s">
        <v>639</v>
      </c>
      <c r="D73" s="818" t="s">
        <v>640</v>
      </c>
      <c r="E73" s="895">
        <v>0.4</v>
      </c>
      <c r="F73" s="882">
        <v>60</v>
      </c>
    </row>
    <row r="74" spans="1:6" s="878" customFormat="1" ht="24">
      <c r="A74" s="882">
        <v>14</v>
      </c>
      <c r="B74" s="3330"/>
      <c r="C74" s="818" t="s">
        <v>641</v>
      </c>
      <c r="D74" s="818" t="s">
        <v>642</v>
      </c>
      <c r="E74" s="895">
        <v>0.2</v>
      </c>
      <c r="F74" s="882">
        <v>30</v>
      </c>
    </row>
    <row r="75" spans="1:6" s="878" customFormat="1" ht="24">
      <c r="A75" s="882">
        <v>15</v>
      </c>
      <c r="B75" s="3330"/>
      <c r="C75" s="818" t="s">
        <v>643</v>
      </c>
      <c r="D75" s="818" t="s">
        <v>644</v>
      </c>
      <c r="E75" s="895">
        <v>0.2</v>
      </c>
      <c r="F75" s="882">
        <v>30</v>
      </c>
    </row>
    <row r="76" spans="1:6" s="878" customFormat="1" ht="24">
      <c r="A76" s="882">
        <v>16</v>
      </c>
      <c r="B76" s="3330" t="s">
        <v>645</v>
      </c>
      <c r="C76" s="818" t="s">
        <v>646</v>
      </c>
      <c r="D76" s="818" t="s">
        <v>647</v>
      </c>
      <c r="E76" s="895">
        <v>0.5</v>
      </c>
      <c r="F76" s="882">
        <v>80</v>
      </c>
    </row>
    <row r="77" spans="1:6" s="878" customFormat="1" ht="24">
      <c r="A77" s="882">
        <v>17</v>
      </c>
      <c r="B77" s="3330"/>
      <c r="C77" s="818" t="s">
        <v>648</v>
      </c>
      <c r="D77" s="818" t="s">
        <v>649</v>
      </c>
      <c r="E77" s="895">
        <v>0.5</v>
      </c>
      <c r="F77" s="882">
        <v>80</v>
      </c>
    </row>
    <row r="78" spans="1:6" s="878" customFormat="1" ht="24">
      <c r="A78" s="882">
        <v>18</v>
      </c>
      <c r="B78" s="3330"/>
      <c r="C78" s="818" t="s">
        <v>650</v>
      </c>
      <c r="D78" s="818" t="s">
        <v>651</v>
      </c>
      <c r="E78" s="895">
        <v>0.2</v>
      </c>
      <c r="F78" s="882">
        <v>30</v>
      </c>
    </row>
    <row r="79" spans="1:6" s="878" customFormat="1" ht="24">
      <c r="A79" s="882">
        <v>19</v>
      </c>
      <c r="B79" s="3330"/>
      <c r="C79" s="818" t="s">
        <v>652</v>
      </c>
      <c r="D79" s="818" t="s">
        <v>653</v>
      </c>
      <c r="E79" s="895">
        <v>0.5</v>
      </c>
      <c r="F79" s="882">
        <v>80</v>
      </c>
    </row>
    <row r="80" spans="1:6" s="878" customFormat="1" ht="36">
      <c r="A80" s="882">
        <v>20</v>
      </c>
      <c r="B80" s="3330"/>
      <c r="C80" s="818" t="s">
        <v>654</v>
      </c>
      <c r="D80" s="818" t="s">
        <v>655</v>
      </c>
      <c r="E80" s="895">
        <v>0.2</v>
      </c>
      <c r="F80" s="882">
        <v>30</v>
      </c>
    </row>
    <row r="81" spans="1:6" s="878" customFormat="1" ht="36">
      <c r="A81" s="882">
        <v>21</v>
      </c>
      <c r="B81" s="3330"/>
      <c r="C81" s="818" t="s">
        <v>656</v>
      </c>
      <c r="D81" s="818" t="s">
        <v>657</v>
      </c>
      <c r="E81" s="895">
        <v>0.2</v>
      </c>
      <c r="F81" s="882">
        <v>30</v>
      </c>
    </row>
    <row r="82" spans="1:6" s="878" customFormat="1" ht="48">
      <c r="A82" s="882">
        <v>22</v>
      </c>
      <c r="B82" s="3330"/>
      <c r="C82" s="818" t="s">
        <v>658</v>
      </c>
      <c r="D82" s="818" t="s">
        <v>659</v>
      </c>
      <c r="E82" s="895">
        <v>0.2</v>
      </c>
      <c r="F82" s="882">
        <v>30</v>
      </c>
    </row>
    <row r="83" spans="1:6" s="878" customFormat="1" ht="48">
      <c r="A83" s="882">
        <v>23</v>
      </c>
      <c r="B83" s="3330"/>
      <c r="C83" s="818" t="s">
        <v>660</v>
      </c>
      <c r="D83" s="818" t="s">
        <v>661</v>
      </c>
      <c r="E83" s="895">
        <v>0.2</v>
      </c>
      <c r="F83" s="882">
        <v>30</v>
      </c>
    </row>
    <row r="84" spans="1:6" s="878" customFormat="1" ht="36">
      <c r="A84" s="882">
        <v>24</v>
      </c>
      <c r="B84" s="3330"/>
      <c r="C84" s="818" t="s">
        <v>662</v>
      </c>
      <c r="D84" s="818" t="s">
        <v>663</v>
      </c>
      <c r="E84" s="895">
        <v>0.2</v>
      </c>
      <c r="F84" s="882">
        <v>30</v>
      </c>
    </row>
    <row r="85" spans="1:6" s="878" customFormat="1" ht="36">
      <c r="A85" s="882">
        <v>25</v>
      </c>
      <c r="B85" s="3330"/>
      <c r="C85" s="818" t="s">
        <v>664</v>
      </c>
      <c r="D85" s="818" t="s">
        <v>665</v>
      </c>
      <c r="E85" s="895">
        <v>0.5</v>
      </c>
      <c r="F85" s="882">
        <v>80</v>
      </c>
    </row>
    <row r="86" spans="1:6" s="878" customFormat="1" ht="36">
      <c r="A86" s="882">
        <v>26</v>
      </c>
      <c r="B86" s="3330"/>
      <c r="C86" s="818" t="s">
        <v>666</v>
      </c>
      <c r="D86" s="818" t="s">
        <v>667</v>
      </c>
      <c r="E86" s="895">
        <v>0.2</v>
      </c>
      <c r="F86" s="882">
        <v>30</v>
      </c>
    </row>
    <row r="87" spans="1:6" s="878" customFormat="1" ht="36">
      <c r="A87" s="882">
        <v>27</v>
      </c>
      <c r="B87" s="3330"/>
      <c r="C87" s="818" t="s">
        <v>668</v>
      </c>
      <c r="D87" s="818" t="s">
        <v>669</v>
      </c>
      <c r="E87" s="895">
        <v>0.2</v>
      </c>
      <c r="F87" s="882">
        <v>30</v>
      </c>
    </row>
    <row r="88" spans="1:6" s="878" customFormat="1" ht="36">
      <c r="A88" s="882">
        <v>28</v>
      </c>
      <c r="B88" s="3330"/>
      <c r="C88" s="818" t="s">
        <v>670</v>
      </c>
      <c r="D88" s="818" t="s">
        <v>671</v>
      </c>
      <c r="E88" s="895">
        <v>0.2</v>
      </c>
      <c r="F88" s="882">
        <v>30</v>
      </c>
    </row>
    <row r="89" spans="1:6" s="878" customFormat="1" ht="24">
      <c r="A89" s="882">
        <v>29</v>
      </c>
      <c r="B89" s="3330"/>
      <c r="C89" s="818" t="s">
        <v>672</v>
      </c>
      <c r="D89" s="818" t="s">
        <v>673</v>
      </c>
      <c r="E89" s="895">
        <v>0.2</v>
      </c>
      <c r="F89" s="882">
        <v>30</v>
      </c>
    </row>
    <row r="90" spans="1:6" s="878" customFormat="1" ht="24">
      <c r="A90" s="882">
        <v>30</v>
      </c>
      <c r="B90" s="3330"/>
      <c r="C90" s="818" t="s">
        <v>674</v>
      </c>
      <c r="D90" s="818" t="s">
        <v>675</v>
      </c>
      <c r="E90" s="895">
        <v>0.2</v>
      </c>
      <c r="F90" s="882">
        <v>30</v>
      </c>
    </row>
    <row r="91" spans="1:6" s="878" customFormat="1" ht="36">
      <c r="A91" s="882">
        <v>31</v>
      </c>
      <c r="B91" s="3330"/>
      <c r="C91" s="818" t="s">
        <v>676</v>
      </c>
      <c r="D91" s="818" t="s">
        <v>677</v>
      </c>
      <c r="E91" s="895">
        <v>0.2</v>
      </c>
      <c r="F91" s="882">
        <v>30</v>
      </c>
    </row>
    <row r="92" spans="1:6" s="878" customFormat="1" ht="24">
      <c r="A92" s="882">
        <v>32</v>
      </c>
      <c r="B92" s="3330" t="s">
        <v>678</v>
      </c>
      <c r="C92" s="882" t="s">
        <v>679</v>
      </c>
      <c r="D92" s="818" t="s">
        <v>680</v>
      </c>
      <c r="E92" s="895">
        <v>0.2</v>
      </c>
      <c r="F92" s="882">
        <v>30</v>
      </c>
    </row>
    <row r="93" spans="1:6" s="878" customFormat="1" ht="36">
      <c r="A93" s="882">
        <v>33</v>
      </c>
      <c r="B93" s="3330"/>
      <c r="C93" s="882" t="s">
        <v>681</v>
      </c>
      <c r="D93" s="818" t="s">
        <v>682</v>
      </c>
      <c r="E93" s="895">
        <v>0.2</v>
      </c>
      <c r="F93" s="882">
        <v>30</v>
      </c>
    </row>
    <row r="94" spans="1:6" s="878" customFormat="1" ht="48">
      <c r="A94" s="882">
        <v>34</v>
      </c>
      <c r="B94" s="3330"/>
      <c r="C94" s="882" t="s">
        <v>683</v>
      </c>
      <c r="D94" s="818" t="s">
        <v>684</v>
      </c>
      <c r="E94" s="895">
        <v>0.2</v>
      </c>
      <c r="F94" s="882">
        <v>30</v>
      </c>
    </row>
    <row r="95" spans="1:6" s="878" customFormat="1" ht="36">
      <c r="A95" s="882">
        <v>35</v>
      </c>
      <c r="B95" s="3330"/>
      <c r="C95" s="882" t="s">
        <v>685</v>
      </c>
      <c r="D95" s="818" t="s">
        <v>686</v>
      </c>
      <c r="E95" s="895">
        <v>0.2</v>
      </c>
      <c r="F95" s="882">
        <v>30</v>
      </c>
    </row>
    <row r="96" spans="1:6" s="878" customFormat="1" ht="48">
      <c r="A96" s="882">
        <v>36</v>
      </c>
      <c r="B96" s="3330"/>
      <c r="C96" s="818" t="s">
        <v>687</v>
      </c>
      <c r="D96" s="818" t="s">
        <v>688</v>
      </c>
      <c r="E96" s="895">
        <v>0.2</v>
      </c>
      <c r="F96" s="882">
        <v>30</v>
      </c>
    </row>
    <row r="97" spans="1:6" s="878" customFormat="1" ht="36">
      <c r="A97" s="882">
        <v>37</v>
      </c>
      <c r="B97" s="3330"/>
      <c r="C97" s="882" t="s">
        <v>689</v>
      </c>
      <c r="D97" s="818" t="s">
        <v>690</v>
      </c>
      <c r="E97" s="895">
        <v>0.2</v>
      </c>
      <c r="F97" s="882">
        <v>30</v>
      </c>
    </row>
    <row r="98" spans="1:6" s="878" customFormat="1" ht="36">
      <c r="A98" s="882">
        <v>38</v>
      </c>
      <c r="B98" s="3330"/>
      <c r="C98" s="882" t="s">
        <v>691</v>
      </c>
      <c r="D98" s="818" t="s">
        <v>692</v>
      </c>
      <c r="E98" s="895">
        <v>0.2</v>
      </c>
      <c r="F98" s="882">
        <v>30</v>
      </c>
    </row>
    <row r="99" spans="1:6" s="878" customFormat="1" ht="36">
      <c r="A99" s="882">
        <v>39</v>
      </c>
      <c r="B99" s="3330" t="s">
        <v>693</v>
      </c>
      <c r="C99" s="882" t="s">
        <v>694</v>
      </c>
      <c r="D99" s="818" t="s">
        <v>695</v>
      </c>
      <c r="E99" s="895">
        <v>0.3</v>
      </c>
      <c r="F99" s="882">
        <v>50</v>
      </c>
    </row>
    <row r="100" spans="1:6" s="878" customFormat="1" ht="24">
      <c r="A100" s="882">
        <v>40</v>
      </c>
      <c r="B100" s="3330"/>
      <c r="C100" s="882" t="s">
        <v>696</v>
      </c>
      <c r="D100" s="818" t="s">
        <v>697</v>
      </c>
      <c r="E100" s="895">
        <v>0.2</v>
      </c>
      <c r="F100" s="882">
        <v>30</v>
      </c>
    </row>
    <row r="101" spans="1:6" s="878" customFormat="1" ht="36">
      <c r="A101" s="882">
        <v>41</v>
      </c>
      <c r="B101" s="333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0" t="s">
        <v>708</v>
      </c>
      <c r="C105" s="882" t="s">
        <v>709</v>
      </c>
      <c r="D105" s="818" t="s">
        <v>710</v>
      </c>
      <c r="E105" s="895">
        <v>0.2</v>
      </c>
      <c r="F105" s="882">
        <v>30</v>
      </c>
    </row>
    <row r="106" spans="1:6" s="878" customFormat="1" ht="36">
      <c r="A106" s="882">
        <v>46</v>
      </c>
      <c r="B106" s="3330"/>
      <c r="C106" s="882" t="s">
        <v>711</v>
      </c>
      <c r="D106" s="818" t="s">
        <v>712</v>
      </c>
      <c r="E106" s="895">
        <v>0.2</v>
      </c>
      <c r="F106" s="882">
        <v>30</v>
      </c>
    </row>
    <row r="107" spans="1:6" s="878" customFormat="1" ht="36">
      <c r="A107" s="882">
        <v>47</v>
      </c>
      <c r="B107" s="3330" t="s">
        <v>713</v>
      </c>
      <c r="C107" s="882" t="s">
        <v>714</v>
      </c>
      <c r="D107" s="818" t="s">
        <v>715</v>
      </c>
      <c r="E107" s="895">
        <v>0.3</v>
      </c>
      <c r="F107" s="882">
        <v>50</v>
      </c>
    </row>
    <row r="108" spans="1:6" s="878" customFormat="1" ht="36">
      <c r="A108" s="882">
        <v>48</v>
      </c>
      <c r="B108" s="333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0" t="s">
        <v>724</v>
      </c>
      <c r="C111" s="882" t="s">
        <v>725</v>
      </c>
      <c r="D111" s="818" t="s">
        <v>726</v>
      </c>
      <c r="E111" s="895">
        <v>0.2</v>
      </c>
      <c r="F111" s="882">
        <v>30</v>
      </c>
    </row>
    <row r="112" spans="1:6" s="878" customFormat="1" ht="24">
      <c r="A112" s="882">
        <v>52</v>
      </c>
      <c r="B112" s="3330"/>
      <c r="C112" s="882" t="s">
        <v>727</v>
      </c>
      <c r="D112" s="818" t="s">
        <v>728</v>
      </c>
      <c r="E112" s="895">
        <v>0.2</v>
      </c>
      <c r="F112" s="882">
        <v>30</v>
      </c>
    </row>
    <row r="113" spans="1:6" s="878" customFormat="1" ht="24">
      <c r="A113" s="882">
        <v>53</v>
      </c>
      <c r="B113" s="333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0" t="s">
        <v>737</v>
      </c>
      <c r="C116" s="882" t="s">
        <v>738</v>
      </c>
      <c r="D116" s="818" t="s">
        <v>739</v>
      </c>
      <c r="E116" s="895">
        <v>0.2</v>
      </c>
      <c r="F116" s="882">
        <v>30</v>
      </c>
    </row>
    <row r="117" spans="1:6" ht="36">
      <c r="A117" s="882">
        <v>57</v>
      </c>
      <c r="B117" s="333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4"/>
      <c r="B4" s="3019" t="s">
        <v>1630</v>
      </c>
      <c r="C4" s="3019"/>
      <c r="D4" s="3019"/>
      <c r="E4" s="1964"/>
    </row>
    <row r="5" spans="1:5" ht="16.5" thickTop="1">
      <c r="A5" s="1962"/>
      <c r="B5" s="3017" t="s">
        <v>1622</v>
      </c>
      <c r="C5" s="1965" t="s">
        <v>1623</v>
      </c>
      <c r="D5" s="1043">
        <f ca="1">结果表!H101</f>
        <v>67356</v>
      </c>
      <c r="E5" s="1962"/>
    </row>
    <row r="6" spans="1:5" ht="15.75">
      <c r="A6" s="1962"/>
      <c r="B6" s="3017"/>
      <c r="C6" s="1965" t="s">
        <v>1624</v>
      </c>
      <c r="D6" s="1043" t="str">
        <f ca="1">NUMBERSTRING(INT(D5*10000),2)&amp;"元整"</f>
        <v>陆亿柒仟叁佰伍拾陆万元整</v>
      </c>
      <c r="E6" s="1962"/>
    </row>
    <row r="7" spans="1:5" ht="15.75">
      <c r="A7" s="1962"/>
      <c r="B7" s="3022"/>
      <c r="C7" s="1966" t="s">
        <v>1625</v>
      </c>
      <c r="D7" s="1044">
        <f ca="1">结果表!H102</f>
        <v>25711</v>
      </c>
      <c r="E7" s="1962"/>
    </row>
    <row r="8" spans="1:5" ht="15.75">
      <c r="A8" s="1962"/>
      <c r="B8" s="3023" t="str">
        <f>结果表!E103</f>
        <v>2.估价师知悉的法定优先受偿款</v>
      </c>
      <c r="C8" s="1967" t="s">
        <v>1626</v>
      </c>
      <c r="D8" s="1044">
        <f>结果表!H103</f>
        <v>0</v>
      </c>
      <c r="E8" s="1962"/>
    </row>
    <row r="9" spans="1:5" ht="15.75">
      <c r="A9" s="1962"/>
      <c r="B9" s="302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6" t="str">
        <f>结果表!E107</f>
        <v>3.房地产抵押价值</v>
      </c>
      <c r="C13" s="1970" t="s">
        <v>1623</v>
      </c>
      <c r="D13" s="1046">
        <f ca="1">结果表!H107</f>
        <v>67356</v>
      </c>
      <c r="E13" s="1962"/>
    </row>
    <row r="14" spans="1:5" ht="15.75">
      <c r="A14" s="1962"/>
      <c r="B14" s="3017"/>
      <c r="C14" s="1965" t="s">
        <v>1624</v>
      </c>
      <c r="D14" s="1043" t="str">
        <f ca="1">NUMBERSTRING(INT(D13*10000),2)&amp;"元整"</f>
        <v>陆亿柒仟叁佰伍拾陆万元整</v>
      </c>
      <c r="E14" s="1962"/>
    </row>
    <row r="15" spans="1:5" ht="15">
      <c r="A15" s="1962"/>
      <c r="B15" s="3022"/>
      <c r="C15" s="1966" t="s">
        <v>1634</v>
      </c>
      <c r="D15" s="1055">
        <f ca="1">结果表!H108</f>
        <v>25711</v>
      </c>
      <c r="E15" s="1962"/>
    </row>
    <row r="16" spans="1:5" ht="15">
      <c r="A16" s="1962"/>
      <c r="B16" s="3023" t="str">
        <f>结果表!E109</f>
        <v>4.抵押担保权已注销时的房地产抵押价值</v>
      </c>
      <c r="C16" s="1970" t="s">
        <v>1635</v>
      </c>
      <c r="D16" s="1971">
        <f ca="1">结果表!H109</f>
        <v>67356</v>
      </c>
      <c r="E16" s="1962"/>
    </row>
    <row r="17" spans="1:5" ht="15.75">
      <c r="A17" s="1962"/>
      <c r="B17" s="3024"/>
      <c r="C17" s="1965" t="s">
        <v>1636</v>
      </c>
      <c r="D17" s="1043" t="str">
        <f ca="1">NUMBERSTRING(INT(D16*10000),2)&amp;"元整"</f>
        <v>陆亿柒仟叁佰伍拾陆万元整</v>
      </c>
      <c r="E17" s="1962"/>
    </row>
    <row r="18" spans="1:5" ht="15">
      <c r="A18" s="1962"/>
      <c r="B18" s="3025"/>
      <c r="C18" s="1966" t="s">
        <v>1625</v>
      </c>
      <c r="D18" s="1055">
        <f ca="1">结果表!H110</f>
        <v>25711</v>
      </c>
      <c r="E18" s="1962"/>
    </row>
    <row r="19" spans="1:5" ht="15.75">
      <c r="A19" s="1962"/>
      <c r="B19" s="3016" t="str">
        <f>结果表!E111</f>
        <v>——</v>
      </c>
      <c r="C19" s="1970" t="s">
        <v>1623</v>
      </c>
      <c r="D19" s="1044" t="str">
        <f>结果表!H111</f>
        <v>——</v>
      </c>
      <c r="E19" s="1962"/>
    </row>
    <row r="20" spans="1:5" ht="15.75">
      <c r="A20" s="1962"/>
      <c r="B20" s="3017"/>
      <c r="C20" s="1965" t="s">
        <v>1636</v>
      </c>
      <c r="D20" s="1043" t="e">
        <f>NUMBERSTRING(INT(D19*10000),2)&amp;"元整"</f>
        <v>#VALUE!</v>
      </c>
      <c r="E20" s="1962"/>
    </row>
    <row r="21" spans="1:5" ht="15.75" thickBot="1">
      <c r="A21" s="1962"/>
      <c r="B21" s="301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6" t="s">
        <v>1150</v>
      </c>
      <c r="C1" s="3336"/>
      <c r="D1" s="3336"/>
      <c r="E1" s="3336"/>
      <c r="F1" s="3336"/>
      <c r="G1" s="3335" t="s">
        <v>1151</v>
      </c>
      <c r="H1" s="3335"/>
      <c r="I1" s="3335"/>
      <c r="J1" s="3335"/>
      <c r="K1" s="3335"/>
      <c r="L1" s="3335"/>
      <c r="N1" s="3335" t="s">
        <v>1152</v>
      </c>
      <c r="O1" s="3335"/>
      <c r="P1" s="3335"/>
      <c r="Q1" s="3335"/>
      <c r="R1" s="1449"/>
      <c r="S1" s="3335" t="s">
        <v>1153</v>
      </c>
      <c r="T1" s="3335"/>
      <c r="U1" s="3335"/>
      <c r="V1" s="3335"/>
      <c r="X1" s="3334" t="s">
        <v>1154</v>
      </c>
      <c r="Y1" s="3335"/>
      <c r="Z1" s="3335"/>
      <c r="AA1" s="3335"/>
      <c r="AB1" s="3335"/>
      <c r="AD1" s="3334" t="s">
        <v>1155</v>
      </c>
      <c r="AE1" s="3335"/>
      <c r="AF1" s="3335"/>
      <c r="AG1" s="3335"/>
      <c r="AH1" s="333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3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32"/>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32"/>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33"/>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31">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32"/>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32"/>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33"/>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31">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32"/>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32"/>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33"/>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3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3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3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4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31">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32"/>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32"/>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33"/>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31">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32">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32">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33">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31">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32">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32">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33">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31">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32">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32">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33">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31">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32">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32">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33">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31">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32">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32">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33">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31">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32">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32">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33">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31">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32">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32">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33">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31">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32">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32">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33">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3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32">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32">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3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3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32">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32">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33">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40748</v>
      </c>
      <c r="C2" s="2" t="s">
        <v>133</v>
      </c>
      <c r="D2" s="243"/>
      <c r="E2" s="243"/>
      <c r="F2" s="243"/>
      <c r="G2" s="243"/>
    </row>
    <row r="3" spans="1:7" s="244" customFormat="1" ht="18" customHeight="1" thickBot="1">
      <c r="A3" s="247" t="s">
        <v>85</v>
      </c>
      <c r="B3" s="248">
        <f ca="1">ROUND(B2*10000/'数据-汇总表'!E3,0)</f>
        <v>15555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524</v>
      </c>
      <c r="D10" s="1035">
        <f>'数据-汇总表'!E6</f>
        <v>26196.840000000004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524</v>
      </c>
      <c r="D19" s="1039">
        <f>'数据-汇总表'!E3</f>
        <v>26196.840000000004</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6811</v>
      </c>
      <c r="D34" s="261"/>
      <c r="E34" s="264"/>
      <c r="F34" s="301">
        <f>IF('数据-取费表'!B24=0,1,'数据-取费表'!N16)</f>
        <v>1</v>
      </c>
      <c r="G34" s="263" t="s">
        <v>116</v>
      </c>
    </row>
    <row r="35" spans="1:7" ht="13.5" customHeight="1">
      <c r="A35" s="954" t="s">
        <v>796</v>
      </c>
      <c r="B35" s="259" t="s">
        <v>60</v>
      </c>
      <c r="C35" s="264">
        <f>ROUND(C34*F35,0)</f>
        <v>272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524</v>
      </c>
      <c r="D37" s="261">
        <f>'数据-汇总表'!E3</f>
        <v>26196.840000000004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366</v>
      </c>
      <c r="D42" s="282"/>
      <c r="E42" s="282"/>
      <c r="F42" s="283"/>
      <c r="G42" s="3206" t="s">
        <v>121</v>
      </c>
    </row>
    <row r="43" spans="1:7" ht="13.5" customHeight="1">
      <c r="A43" s="954" t="s">
        <v>792</v>
      </c>
      <c r="B43" s="259" t="s">
        <v>1064</v>
      </c>
      <c r="C43" s="282">
        <f ca="1">ROUND(IF('数据-取费表'!B22&lt;=1,C39*F22*'数据-取费表'!B21/2,C39*(POWER((1+F22),'数据-取费表'!B21/2)-1)),0)</f>
        <v>7</v>
      </c>
      <c r="D43" s="282"/>
      <c r="E43" s="282"/>
      <c r="F43" s="283"/>
      <c r="G43" s="3207"/>
    </row>
    <row r="44" spans="1:7" ht="13.5" customHeight="1">
      <c r="A44" s="954" t="s">
        <v>793</v>
      </c>
      <c r="B44" s="259" t="s">
        <v>1066</v>
      </c>
      <c r="C44" s="282">
        <f ca="1">ROUND(IF('数据-取费表'!B22&lt;=1,C40*F22*'数据-取费表'!B21/2,C40*(POWER((1+F22),'数据-取费表'!B21/2)-1)),4)</f>
        <v>1E-3</v>
      </c>
      <c r="D44" s="282"/>
      <c r="E44" s="282"/>
      <c r="F44" s="283"/>
      <c r="G44" s="3208"/>
    </row>
    <row r="45" spans="1:7" s="258" customFormat="1" ht="13.5" customHeight="1">
      <c r="A45" s="951" t="s">
        <v>786</v>
      </c>
      <c r="B45" s="288" t="s">
        <v>112</v>
      </c>
      <c r="C45" s="289">
        <f>C46</f>
        <v>1573</v>
      </c>
      <c r="D45" s="279">
        <f>C47</f>
        <v>4.0000000000000001E-3</v>
      </c>
      <c r="E45" s="280" t="s">
        <v>129</v>
      </c>
      <c r="F45" s="290"/>
      <c r="G45" s="291" t="s">
        <v>1072</v>
      </c>
    </row>
    <row r="46" spans="1:7" s="258" customFormat="1" ht="13.5" customHeight="1">
      <c r="A46" s="954" t="s">
        <v>794</v>
      </c>
      <c r="B46" s="292" t="s">
        <v>1065</v>
      </c>
      <c r="C46" s="293">
        <f>ROUND((C33+C39)*F27,0)</f>
        <v>1573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10643</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10430</v>
      </c>
      <c r="D51" s="276"/>
      <c r="E51" s="276"/>
      <c r="F51" s="308"/>
      <c r="G51" s="278" t="s">
        <v>64</v>
      </c>
    </row>
    <row r="52" spans="1:7" s="252" customFormat="1" ht="16.5" thickBot="1">
      <c r="A52" s="309" t="s">
        <v>65</v>
      </c>
      <c r="B52" s="310"/>
      <c r="C52" s="311">
        <f ca="1">C31+C51</f>
        <v>40748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871</v>
      </c>
      <c r="B1" s="334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03" t="s">
        <v>3009</v>
      </c>
      <c r="D1" s="3204"/>
      <c r="E1" s="3204"/>
      <c r="F1" s="3204"/>
      <c r="G1" s="3204"/>
      <c r="H1" s="3204"/>
      <c r="I1" s="3204"/>
      <c r="J1" s="3204"/>
      <c r="K1" s="3204"/>
      <c r="L1" s="3204"/>
      <c r="M1" s="3204"/>
      <c r="N1" s="3204"/>
      <c r="O1" s="3204"/>
      <c r="P1" s="3204"/>
      <c r="Q1" s="3204"/>
      <c r="R1" s="3204"/>
      <c r="S1" s="3205"/>
      <c r="T1" s="1207" t="s">
        <v>2880</v>
      </c>
    </row>
    <row r="2" spans="1:45" s="707" customFormat="1">
      <c r="A2" s="1208"/>
      <c r="B2" s="703" t="s">
        <v>1897</v>
      </c>
      <c r="C2" s="704" t="str">
        <f t="shared" ref="C2:R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97" t="s">
        <v>33</v>
      </c>
      <c r="D22" s="3198"/>
      <c r="E22" s="3198"/>
      <c r="F22" s="3198"/>
      <c r="G22" s="3198"/>
      <c r="H22" s="3198"/>
      <c r="I22" s="3198"/>
      <c r="J22" s="3198"/>
      <c r="K22" s="3198"/>
      <c r="L22" s="3198"/>
      <c r="M22" s="3198"/>
      <c r="N22" s="3198"/>
      <c r="O22" s="3198"/>
      <c r="P22" s="3198"/>
      <c r="Q22" s="320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87" si="5">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5"/>
        <v>0</v>
      </c>
    </row>
    <row r="26" spans="1:45">
      <c r="A26" s="159"/>
      <c r="B26" s="59"/>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7"/>
  <sheetViews>
    <sheetView topLeftCell="A112" workbookViewId="0">
      <selection activeCell="AC2" sqref="AC2:AC15"/>
    </sheetView>
  </sheetViews>
  <sheetFormatPr defaultRowHeight="20.100000000000001" customHeight="1"/>
  <cols>
    <col min="1" max="1" width="14.25" customWidth="1"/>
    <col min="2" max="2" width="8.5" customWidth="1"/>
    <col min="3" max="3" width="9" style="2973" hidden="1" customWidth="1"/>
    <col min="4" max="4" width="10.375" style="2974" hidden="1" customWidth="1"/>
    <col min="5" max="5" width="10.125" style="2975" customWidth="1"/>
    <col min="6" max="6" width="12.75" style="2975" hidden="1" customWidth="1"/>
    <col min="7" max="7" width="9.375" hidden="1" customWidth="1"/>
    <col min="8" max="8" width="9.75" customWidth="1"/>
    <col min="9" max="9" width="15" hidden="1" customWidth="1"/>
    <col min="10" max="10" width="17.5" hidden="1" customWidth="1"/>
    <col min="11" max="11" width="11" customWidth="1"/>
    <col min="12" max="12" width="10.25" customWidth="1"/>
    <col min="13" max="13" width="15.875" customWidth="1"/>
    <col min="14" max="14" width="16.5" customWidth="1"/>
    <col min="15" max="15" width="9" hidden="1" customWidth="1"/>
    <col min="16" max="16" width="12" hidden="1" customWidth="1"/>
    <col min="17" max="18" width="9" hidden="1" customWidth="1"/>
    <col min="19" max="19" width="11.5" customWidth="1"/>
    <col min="20" max="20" width="11.375" customWidth="1"/>
    <col min="21" max="24" width="9" hidden="1" customWidth="1"/>
    <col min="25" max="25" width="12.125" hidden="1" customWidth="1"/>
    <col min="26" max="28" width="0" hidden="1" customWidth="1"/>
  </cols>
  <sheetData>
    <row r="1" spans="1:29" ht="20.100000000000001" customHeight="1">
      <c r="A1" s="2958" t="s">
        <v>3065</v>
      </c>
      <c r="B1" s="2958" t="s">
        <v>3509</v>
      </c>
      <c r="C1" s="2967" t="s">
        <v>3510</v>
      </c>
      <c r="D1" s="2968" t="s">
        <v>3511</v>
      </c>
      <c r="E1" s="2969" t="s">
        <v>3512</v>
      </c>
      <c r="F1" s="2969" t="s">
        <v>3513</v>
      </c>
      <c r="G1" s="2958" t="s">
        <v>3066</v>
      </c>
      <c r="H1" s="2958" t="s">
        <v>3067</v>
      </c>
      <c r="I1" s="2958" t="s">
        <v>3514</v>
      </c>
      <c r="J1" s="2958" t="s">
        <v>3515</v>
      </c>
      <c r="K1" s="2958" t="s">
        <v>3068</v>
      </c>
      <c r="L1" s="2958" t="s">
        <v>3069</v>
      </c>
      <c r="M1" s="2958" t="s">
        <v>3070</v>
      </c>
      <c r="N1" s="2958" t="s">
        <v>3071</v>
      </c>
      <c r="O1" s="2958" t="s">
        <v>3072</v>
      </c>
      <c r="P1" s="2958" t="s">
        <v>3073</v>
      </c>
      <c r="Q1" s="2958" t="s">
        <v>3074</v>
      </c>
      <c r="R1" s="2958" t="s">
        <v>3075</v>
      </c>
      <c r="S1" s="2958" t="s">
        <v>3076</v>
      </c>
      <c r="T1" s="2958" t="s">
        <v>3077</v>
      </c>
      <c r="U1" s="2958" t="s">
        <v>3078</v>
      </c>
      <c r="V1" s="2958" t="s">
        <v>3079</v>
      </c>
      <c r="W1" s="2958" t="s">
        <v>3080</v>
      </c>
      <c r="X1" s="2958" t="s">
        <v>3081</v>
      </c>
      <c r="Y1" s="2958" t="s">
        <v>3082</v>
      </c>
      <c r="Z1" s="2958" t="s">
        <v>3083</v>
      </c>
      <c r="AA1" s="2958" t="s">
        <v>3084</v>
      </c>
      <c r="AB1" s="2958" t="s">
        <v>3085</v>
      </c>
    </row>
    <row r="2" spans="1:29" ht="20.100000000000001" customHeight="1">
      <c r="A2" s="2959" t="s">
        <v>3438</v>
      </c>
      <c r="B2" s="2959" t="s">
        <v>3516</v>
      </c>
      <c r="C2" s="2970" t="str">
        <f t="shared" ref="C2:C65" si="0">LEFT(B2)</f>
        <v>2</v>
      </c>
      <c r="D2" s="2959">
        <v>224</v>
      </c>
      <c r="E2" s="2971">
        <f>VLOOKUP(D2,[2]Sheet1!$A$2:$B$330,2,0)</f>
        <v>12.76</v>
      </c>
      <c r="F2" s="2971">
        <f>VLOOKUP(D2,[2]房屋建筑面积分户计算明晰表!$A$2:$C$330,3,0)</f>
        <v>9.5299999999999994</v>
      </c>
      <c r="G2" s="2959" t="s">
        <v>3439</v>
      </c>
      <c r="H2" s="2959" t="s">
        <v>3344</v>
      </c>
      <c r="I2" s="2960">
        <v>12.49</v>
      </c>
      <c r="J2" s="2960">
        <v>9.3800000000000008</v>
      </c>
      <c r="K2" s="2961" t="s">
        <v>3344</v>
      </c>
      <c r="L2" s="2959" t="s">
        <v>3344</v>
      </c>
      <c r="M2" s="2960">
        <v>1219423</v>
      </c>
      <c r="N2" s="2959" t="s">
        <v>3090</v>
      </c>
      <c r="O2" s="2959" t="s">
        <v>3091</v>
      </c>
      <c r="P2" s="2962" t="s">
        <v>3092</v>
      </c>
      <c r="Q2" s="2962" t="s">
        <v>3092</v>
      </c>
      <c r="R2" s="2963"/>
      <c r="S2" s="2962" t="s">
        <v>3385</v>
      </c>
      <c r="T2" s="2960">
        <v>19500</v>
      </c>
      <c r="U2" s="2963"/>
      <c r="V2" s="2964"/>
      <c r="W2" s="2965"/>
      <c r="X2" s="2963"/>
      <c r="Y2" s="2965"/>
      <c r="Z2" s="2964"/>
      <c r="AA2" s="2964"/>
      <c r="AB2" s="2964"/>
      <c r="AC2">
        <f>ROUND(M2/E2,0)</f>
        <v>95566</v>
      </c>
    </row>
    <row r="3" spans="1:29" ht="20.100000000000001" customHeight="1">
      <c r="A3" s="2959" t="s">
        <v>3440</v>
      </c>
      <c r="B3" s="2959" t="s">
        <v>3517</v>
      </c>
      <c r="C3" s="2970" t="str">
        <f t="shared" si="0"/>
        <v>2</v>
      </c>
      <c r="D3" s="2959">
        <v>225</v>
      </c>
      <c r="E3" s="2971">
        <f>VLOOKUP(D3,[2]Sheet1!$A$2:$B$330,2,0)</f>
        <v>16.97</v>
      </c>
      <c r="F3" s="2971">
        <f>VLOOKUP(D3,[2]房屋建筑面积分户计算明晰表!$A$2:$C$330,3,0)</f>
        <v>12.68</v>
      </c>
      <c r="G3" s="2959" t="s">
        <v>3441</v>
      </c>
      <c r="H3" s="2959" t="s">
        <v>3344</v>
      </c>
      <c r="I3" s="2960">
        <v>16.579999999999998</v>
      </c>
      <c r="J3" s="2960">
        <v>12.45</v>
      </c>
      <c r="K3" s="2961" t="s">
        <v>3344</v>
      </c>
      <c r="L3" s="2959" t="s">
        <v>3344</v>
      </c>
      <c r="M3" s="2960">
        <v>1519862</v>
      </c>
      <c r="N3" s="2959" t="s">
        <v>3090</v>
      </c>
      <c r="O3" s="2959" t="s">
        <v>3091</v>
      </c>
      <c r="P3" s="2962" t="s">
        <v>3092</v>
      </c>
      <c r="Q3" s="2962" t="s">
        <v>3092</v>
      </c>
      <c r="R3" s="2963"/>
      <c r="S3" s="2962" t="s">
        <v>3385</v>
      </c>
      <c r="T3" s="2960">
        <v>28078</v>
      </c>
      <c r="U3" s="2963"/>
      <c r="V3" s="2964"/>
      <c r="W3" s="2965"/>
      <c r="X3" s="2963"/>
      <c r="Y3" s="2965"/>
      <c r="Z3" s="2964"/>
      <c r="AA3" s="2964"/>
      <c r="AB3" s="2964"/>
      <c r="AC3">
        <f t="shared" ref="AC3:AC66" si="1">ROUND(M3/E3,0)</f>
        <v>89562</v>
      </c>
    </row>
    <row r="4" spans="1:29" ht="20.100000000000001" customHeight="1">
      <c r="A4" s="2959" t="s">
        <v>3432</v>
      </c>
      <c r="B4" s="2959" t="s">
        <v>3518</v>
      </c>
      <c r="C4" s="2970" t="str">
        <f t="shared" si="0"/>
        <v>2</v>
      </c>
      <c r="D4" s="2959">
        <v>101</v>
      </c>
      <c r="E4" s="2971">
        <f>VLOOKUP(D4,[2]Sheet1!$A$2:$B$330,2,0)</f>
        <v>18.38</v>
      </c>
      <c r="F4" s="2971">
        <f>VLOOKUP(D4,[2]房屋建筑面积分户计算明晰表!$A$2:$C$330,3,0)</f>
        <v>15.75</v>
      </c>
      <c r="G4" s="2959" t="s">
        <v>3433</v>
      </c>
      <c r="H4" s="2959" t="s">
        <v>3344</v>
      </c>
      <c r="I4" s="2960">
        <v>18.28</v>
      </c>
      <c r="J4" s="2960">
        <v>15.79</v>
      </c>
      <c r="K4" s="2961" t="s">
        <v>3344</v>
      </c>
      <c r="L4" s="2959" t="s">
        <v>3344</v>
      </c>
      <c r="M4" s="2960">
        <v>2324650</v>
      </c>
      <c r="N4" s="2959" t="s">
        <v>3090</v>
      </c>
      <c r="O4" s="2959" t="s">
        <v>3091</v>
      </c>
      <c r="P4" s="2962" t="s">
        <v>3092</v>
      </c>
      <c r="Q4" s="2962" t="s">
        <v>3092</v>
      </c>
      <c r="R4" s="2963"/>
      <c r="S4" s="2962" t="s">
        <v>3385</v>
      </c>
      <c r="T4" s="2960">
        <v>-5889</v>
      </c>
      <c r="U4" s="2963"/>
      <c r="V4" s="2964"/>
      <c r="W4" s="2965"/>
      <c r="X4" s="2963"/>
      <c r="Y4" s="2965"/>
      <c r="Z4" s="2964"/>
      <c r="AA4" s="2964"/>
      <c r="AB4" s="2964"/>
      <c r="AC4">
        <f t="shared" si="1"/>
        <v>126477</v>
      </c>
    </row>
    <row r="5" spans="1:29" ht="20.100000000000001" customHeight="1">
      <c r="A5" s="2959" t="s">
        <v>3495</v>
      </c>
      <c r="B5" s="2959" t="s">
        <v>3519</v>
      </c>
      <c r="C5" s="2970" t="str">
        <f t="shared" si="0"/>
        <v>2</v>
      </c>
      <c r="D5" s="2959">
        <v>132</v>
      </c>
      <c r="E5" s="2971">
        <f>VLOOKUP(D5,[2]Sheet1!$A$2:$B$330,2,0)</f>
        <v>19.989999999999998</v>
      </c>
      <c r="F5" s="2971">
        <f>VLOOKUP(D5,[2]房屋建筑面积分户计算明晰表!$A$2:$C$330,3,0)</f>
        <v>17.13</v>
      </c>
      <c r="G5" s="2959" t="s">
        <v>3496</v>
      </c>
      <c r="H5" s="2959" t="s">
        <v>3354</v>
      </c>
      <c r="I5" s="2960">
        <v>19.95</v>
      </c>
      <c r="J5" s="2960">
        <v>17.239999999999998</v>
      </c>
      <c r="K5" s="2961" t="s">
        <v>3354</v>
      </c>
      <c r="L5" s="2959" t="s">
        <v>3354</v>
      </c>
      <c r="M5" s="2960">
        <v>2409343</v>
      </c>
      <c r="N5" s="2959" t="s">
        <v>3090</v>
      </c>
      <c r="O5" s="2959" t="s">
        <v>3111</v>
      </c>
      <c r="P5" s="2962" t="s">
        <v>3092</v>
      </c>
      <c r="Q5" s="2962" t="s">
        <v>3092</v>
      </c>
      <c r="R5" s="2963"/>
      <c r="S5" s="2962" t="s">
        <v>3193</v>
      </c>
      <c r="T5" s="2960">
        <v>-15373</v>
      </c>
      <c r="U5" s="2963"/>
      <c r="V5" s="2964"/>
      <c r="W5" s="2965"/>
      <c r="X5" s="2963"/>
      <c r="Y5" s="2965"/>
      <c r="Z5" s="2964"/>
      <c r="AA5" s="2964"/>
      <c r="AB5" s="2964"/>
      <c r="AC5">
        <f t="shared" si="1"/>
        <v>120527</v>
      </c>
    </row>
    <row r="6" spans="1:29" ht="20.100000000000001" customHeight="1">
      <c r="A6" s="2959" t="s">
        <v>3455</v>
      </c>
      <c r="B6" s="2959" t="s">
        <v>3520</v>
      </c>
      <c r="C6" s="2970" t="str">
        <f t="shared" si="0"/>
        <v>2</v>
      </c>
      <c r="D6" s="2959">
        <v>119</v>
      </c>
      <c r="E6" s="2971">
        <f>VLOOKUP(D6,[2]Sheet1!$A$2:$B$330,2,0)</f>
        <v>21.55</v>
      </c>
      <c r="F6" s="2971">
        <f>VLOOKUP(D6,[2]房屋建筑面积分户计算明晰表!$A$2:$C$330,3,0)</f>
        <v>18.46</v>
      </c>
      <c r="G6" s="2959" t="s">
        <v>3456</v>
      </c>
      <c r="H6" s="2959" t="s">
        <v>3344</v>
      </c>
      <c r="I6" s="2960">
        <v>21.27</v>
      </c>
      <c r="J6" s="2960">
        <v>18.38</v>
      </c>
      <c r="K6" s="2961" t="s">
        <v>3344</v>
      </c>
      <c r="L6" s="2959" t="s">
        <v>3344</v>
      </c>
      <c r="M6" s="2960">
        <v>1879928</v>
      </c>
      <c r="N6" s="2959" t="s">
        <v>3406</v>
      </c>
      <c r="O6" s="2959" t="s">
        <v>3457</v>
      </c>
      <c r="P6" s="2962" t="s">
        <v>3092</v>
      </c>
      <c r="Q6" s="2962" t="s">
        <v>3092</v>
      </c>
      <c r="R6" s="2963"/>
      <c r="S6" s="2962" t="s">
        <v>3385</v>
      </c>
      <c r="T6" s="2960">
        <v>8182</v>
      </c>
      <c r="U6" s="2963"/>
      <c r="V6" s="2964"/>
      <c r="W6" s="2965"/>
      <c r="X6" s="2963"/>
      <c r="Y6" s="2965"/>
      <c r="Z6" s="2964"/>
      <c r="AA6" s="2964"/>
      <c r="AB6" s="2964"/>
      <c r="AC6">
        <f t="shared" si="1"/>
        <v>87236</v>
      </c>
    </row>
    <row r="7" spans="1:29" ht="20.100000000000001" customHeight="1">
      <c r="A7" s="2959" t="s">
        <v>3215</v>
      </c>
      <c r="B7" s="2959" t="s">
        <v>3521</v>
      </c>
      <c r="C7" s="2970" t="str">
        <f t="shared" si="0"/>
        <v>2</v>
      </c>
      <c r="D7" s="2959">
        <v>-108</v>
      </c>
      <c r="E7" s="2971">
        <f>VLOOKUP(D7,[2]Sheet1!$A$2:$B$330,2,0)</f>
        <v>22.3</v>
      </c>
      <c r="F7" s="2971">
        <f>VLOOKUP(D7,[2]房屋建筑面积分户计算明晰表!$A$2:$C$330,3,0)</f>
        <v>16.55</v>
      </c>
      <c r="G7" s="2959" t="s">
        <v>3216</v>
      </c>
      <c r="H7" s="2959" t="s">
        <v>3207</v>
      </c>
      <c r="I7" s="2960">
        <v>21.95</v>
      </c>
      <c r="J7" s="2960">
        <v>16.28</v>
      </c>
      <c r="K7" s="2961" t="s">
        <v>3207</v>
      </c>
      <c r="L7" s="2959" t="s">
        <v>3207</v>
      </c>
      <c r="M7" s="2960">
        <v>1126120</v>
      </c>
      <c r="N7" s="2959" t="s">
        <v>3194</v>
      </c>
      <c r="O7" s="2959" t="s">
        <v>3217</v>
      </c>
      <c r="P7" s="2962" t="s">
        <v>3092</v>
      </c>
      <c r="Q7" s="2962" t="s">
        <v>3092</v>
      </c>
      <c r="R7" s="2963"/>
      <c r="S7" s="2962" t="s">
        <v>3198</v>
      </c>
      <c r="T7" s="2960">
        <v>18676</v>
      </c>
      <c r="U7" s="2963"/>
      <c r="V7" s="2964"/>
      <c r="W7" s="2965"/>
      <c r="X7" s="2963"/>
      <c r="Y7" s="2965"/>
      <c r="Z7" s="2964"/>
      <c r="AA7" s="2964"/>
      <c r="AB7" s="2964"/>
      <c r="AC7">
        <f t="shared" si="1"/>
        <v>50499</v>
      </c>
    </row>
    <row r="8" spans="1:29" ht="20.100000000000001" customHeight="1">
      <c r="A8" s="2959" t="s">
        <v>3218</v>
      </c>
      <c r="B8" s="2959" t="s">
        <v>3522</v>
      </c>
      <c r="C8" s="2970" t="str">
        <f t="shared" si="0"/>
        <v>2</v>
      </c>
      <c r="D8" s="2959">
        <v>-109</v>
      </c>
      <c r="E8" s="2971">
        <f>VLOOKUP(D8,[2]Sheet1!$A$2:$B$330,2,0)</f>
        <v>30.4</v>
      </c>
      <c r="F8" s="2971">
        <f>VLOOKUP(D8,[2]房屋建筑面积分户计算明晰表!$A$2:$C$330,3,0)</f>
        <v>22.56</v>
      </c>
      <c r="G8" s="2959" t="s">
        <v>3219</v>
      </c>
      <c r="H8" s="2959" t="s">
        <v>3207</v>
      </c>
      <c r="I8" s="2960">
        <v>29.95</v>
      </c>
      <c r="J8" s="2960">
        <v>22.21</v>
      </c>
      <c r="K8" s="2961" t="s">
        <v>3207</v>
      </c>
      <c r="L8" s="2959" t="s">
        <v>3207</v>
      </c>
      <c r="M8" s="2960">
        <v>1558200</v>
      </c>
      <c r="N8" s="2959" t="s">
        <v>3194</v>
      </c>
      <c r="O8" s="2959" t="s">
        <v>3217</v>
      </c>
      <c r="P8" s="2962" t="s">
        <v>3092</v>
      </c>
      <c r="Q8" s="2962" t="s">
        <v>3092</v>
      </c>
      <c r="R8" s="2963"/>
      <c r="S8" s="2962" t="s">
        <v>3207</v>
      </c>
      <c r="T8" s="2960">
        <v>24555</v>
      </c>
      <c r="U8" s="2963"/>
      <c r="V8" s="2964"/>
      <c r="W8" s="2965"/>
      <c r="X8" s="2963"/>
      <c r="Y8" s="2965"/>
      <c r="Z8" s="2964"/>
      <c r="AA8" s="2964"/>
      <c r="AB8" s="2964"/>
      <c r="AC8">
        <f t="shared" si="1"/>
        <v>51257</v>
      </c>
    </row>
    <row r="9" spans="1:29" ht="20.100000000000001" customHeight="1">
      <c r="A9" s="2959" t="s">
        <v>3477</v>
      </c>
      <c r="B9" s="2959" t="s">
        <v>3523</v>
      </c>
      <c r="C9" s="2970" t="str">
        <f t="shared" si="0"/>
        <v>2</v>
      </c>
      <c r="D9" s="2959">
        <v>215</v>
      </c>
      <c r="E9" s="2971">
        <f>VLOOKUP(D9,[2]Sheet1!$A$2:$B$330,2,0)</f>
        <v>36.090000000000003</v>
      </c>
      <c r="F9" s="2971">
        <f>VLOOKUP(D9,[2]房屋建筑面积分户计算明晰表!$A$2:$C$330,3,0)</f>
        <v>26.96</v>
      </c>
      <c r="G9" s="2959" t="s">
        <v>3478</v>
      </c>
      <c r="H9" s="2959" t="s">
        <v>3344</v>
      </c>
      <c r="I9" s="2960">
        <v>35.950000000000003</v>
      </c>
      <c r="J9" s="2960">
        <v>27</v>
      </c>
      <c r="K9" s="2961" t="s">
        <v>3344</v>
      </c>
      <c r="L9" s="2959" t="s">
        <v>3344</v>
      </c>
      <c r="M9" s="2960">
        <v>2048519</v>
      </c>
      <c r="N9" s="2959" t="s">
        <v>3406</v>
      </c>
      <c r="O9" s="2959" t="s">
        <v>3349</v>
      </c>
      <c r="P9" s="2962" t="s">
        <v>3092</v>
      </c>
      <c r="Q9" s="2962" t="s">
        <v>3092</v>
      </c>
      <c r="R9" s="2963"/>
      <c r="S9" s="2962" t="s">
        <v>3162</v>
      </c>
      <c r="T9" s="2960">
        <v>-3035</v>
      </c>
      <c r="U9" s="2963"/>
      <c r="V9" s="2964"/>
      <c r="W9" s="2965"/>
      <c r="X9" s="2963"/>
      <c r="Y9" s="2965"/>
      <c r="Z9" s="2964"/>
      <c r="AA9" s="2964"/>
      <c r="AB9" s="2964"/>
      <c r="AC9">
        <f t="shared" si="1"/>
        <v>56761</v>
      </c>
    </row>
    <row r="10" spans="1:29" ht="20.100000000000001" customHeight="1">
      <c r="A10" s="2959" t="s">
        <v>3170</v>
      </c>
      <c r="B10" s="2959" t="s">
        <v>3524</v>
      </c>
      <c r="C10" s="2970" t="str">
        <f t="shared" si="0"/>
        <v>2</v>
      </c>
      <c r="D10" s="2959">
        <v>336</v>
      </c>
      <c r="E10" s="2971">
        <f>VLOOKUP(D10,[2]Sheet1!$A$2:$B$330,2,0)</f>
        <v>36.64</v>
      </c>
      <c r="F10" s="2971">
        <f>VLOOKUP(D10,[2]房屋建筑面积分户计算明晰表!$A$2:$C$330,3,0)</f>
        <v>23.14</v>
      </c>
      <c r="G10" s="2959" t="s">
        <v>3171</v>
      </c>
      <c r="H10" s="2959" t="s">
        <v>3162</v>
      </c>
      <c r="I10" s="2960">
        <v>36.11</v>
      </c>
      <c r="J10" s="2960">
        <v>22.86</v>
      </c>
      <c r="K10" s="2961" t="s">
        <v>3159</v>
      </c>
      <c r="L10" s="2959" t="s">
        <v>3159</v>
      </c>
      <c r="M10" s="2960">
        <v>1989967</v>
      </c>
      <c r="N10" s="2959" t="s">
        <v>3090</v>
      </c>
      <c r="O10" s="2959" t="s">
        <v>3095</v>
      </c>
      <c r="P10" s="2962" t="s">
        <v>3092</v>
      </c>
      <c r="Q10" s="2962" t="s">
        <v>3092</v>
      </c>
      <c r="R10" s="2963"/>
      <c r="S10" s="2962" t="s">
        <v>3163</v>
      </c>
      <c r="T10" s="2960">
        <v>24374</v>
      </c>
      <c r="U10" s="2963"/>
      <c r="V10" s="2964"/>
      <c r="W10" s="2965"/>
      <c r="X10" s="2963"/>
      <c r="Y10" s="2965"/>
      <c r="Z10" s="2964"/>
      <c r="AA10" s="2964"/>
      <c r="AB10" s="2964"/>
      <c r="AC10">
        <f t="shared" si="1"/>
        <v>54311</v>
      </c>
    </row>
    <row r="11" spans="1:29" ht="20.100000000000001" customHeight="1">
      <c r="A11" s="2959" t="s">
        <v>3256</v>
      </c>
      <c r="B11" s="2959" t="s">
        <v>3525</v>
      </c>
      <c r="C11" s="2970" t="str">
        <f t="shared" si="0"/>
        <v>2</v>
      </c>
      <c r="D11" s="2959">
        <v>310</v>
      </c>
      <c r="E11" s="2971">
        <f>VLOOKUP(D11,[2]Sheet1!$A$2:$B$330,2,0)</f>
        <v>37.06</v>
      </c>
      <c r="F11" s="2971">
        <f>VLOOKUP(D11,[2]房屋建筑面积分户计算明晰表!$A$2:$C$330,3,0)</f>
        <v>23.41</v>
      </c>
      <c r="G11" s="2959" t="s">
        <v>3257</v>
      </c>
      <c r="H11" s="2959" t="s">
        <v>3234</v>
      </c>
      <c r="I11" s="2960">
        <v>36.53</v>
      </c>
      <c r="J11" s="2960">
        <v>23.13</v>
      </c>
      <c r="K11" s="2961" t="s">
        <v>3234</v>
      </c>
      <c r="L11" s="2959" t="s">
        <v>3203</v>
      </c>
      <c r="M11" s="2960">
        <v>2006224</v>
      </c>
      <c r="N11" s="2959" t="s">
        <v>3090</v>
      </c>
      <c r="O11" s="2959" t="s">
        <v>3152</v>
      </c>
      <c r="P11" s="2962" t="s">
        <v>3092</v>
      </c>
      <c r="Q11" s="2962" t="s">
        <v>3092</v>
      </c>
      <c r="R11" s="2963"/>
      <c r="S11" s="2962" t="s">
        <v>3234</v>
      </c>
      <c r="T11" s="2960">
        <v>24286</v>
      </c>
      <c r="U11" s="2963"/>
      <c r="V11" s="2964"/>
      <c r="W11" s="2965"/>
      <c r="X11" s="2963"/>
      <c r="Y11" s="2965"/>
      <c r="Z11" s="2964"/>
      <c r="AA11" s="2964"/>
      <c r="AB11" s="2964"/>
      <c r="AC11">
        <f t="shared" si="1"/>
        <v>54134</v>
      </c>
    </row>
    <row r="12" spans="1:29" ht="20.100000000000001" customHeight="1">
      <c r="A12" s="2959" t="s">
        <v>3123</v>
      </c>
      <c r="B12" s="2959" t="s">
        <v>3526</v>
      </c>
      <c r="C12" s="2972" t="str">
        <f t="shared" si="0"/>
        <v>3</v>
      </c>
      <c r="D12" s="2959">
        <v>236</v>
      </c>
      <c r="E12" s="2971">
        <f>VLOOKUP(D12,[3]房屋建筑面积分户计算明晰表!$A$7:$B$105,2,0)</f>
        <v>183.95</v>
      </c>
      <c r="F12" s="2971">
        <f>VLOOKUP(D12,[3]房屋建筑面积分户计算明晰表!$A$7:$C$105,3,0)</f>
        <v>137.41</v>
      </c>
      <c r="G12" s="2959" t="s">
        <v>3124</v>
      </c>
      <c r="H12" s="2959" t="s">
        <v>3125</v>
      </c>
      <c r="I12" s="2960">
        <v>183.07</v>
      </c>
      <c r="J12" s="2960">
        <v>137.51</v>
      </c>
      <c r="K12" s="2961" t="s">
        <v>3125</v>
      </c>
      <c r="L12" s="2959" t="s">
        <v>3125</v>
      </c>
      <c r="M12" s="2960">
        <v>8423508</v>
      </c>
      <c r="N12" s="2959" t="s">
        <v>3090</v>
      </c>
      <c r="O12" s="2959" t="s">
        <v>3091</v>
      </c>
      <c r="P12" s="2962" t="s">
        <v>3092</v>
      </c>
      <c r="Q12" s="2962" t="s">
        <v>3092</v>
      </c>
      <c r="R12" s="2963"/>
      <c r="S12" s="2962" t="s">
        <v>3126</v>
      </c>
      <c r="T12" s="2960">
        <v>-6126</v>
      </c>
      <c r="U12" s="2963"/>
      <c r="V12" s="2964"/>
      <c r="W12" s="2965"/>
      <c r="X12" s="2963"/>
      <c r="Y12" s="2965"/>
      <c r="Z12" s="2964"/>
      <c r="AA12" s="2964"/>
      <c r="AB12" s="2964"/>
      <c r="AC12">
        <f t="shared" si="1"/>
        <v>45792</v>
      </c>
    </row>
    <row r="13" spans="1:29" ht="20.100000000000001" customHeight="1">
      <c r="A13" s="2959" t="s">
        <v>3127</v>
      </c>
      <c r="B13" s="2959" t="s">
        <v>3527</v>
      </c>
      <c r="C13" s="2972" t="str">
        <f t="shared" si="0"/>
        <v>3</v>
      </c>
      <c r="D13" s="2959">
        <v>239</v>
      </c>
      <c r="E13" s="2971">
        <f>VLOOKUP(D13,[3]房屋建筑面积分户计算明晰表!$A$7:$B$105,2,0)</f>
        <v>154.55000000000001</v>
      </c>
      <c r="F13" s="2971">
        <f>VLOOKUP(D13,[3]房屋建筑面积分户计算明晰表!$A$7:$C$105,3,0)</f>
        <v>115.45</v>
      </c>
      <c r="G13" s="2959" t="s">
        <v>3128</v>
      </c>
      <c r="H13" s="2959" t="s">
        <v>3125</v>
      </c>
      <c r="I13" s="2960">
        <v>154.51</v>
      </c>
      <c r="J13" s="2960">
        <v>116.06</v>
      </c>
      <c r="K13" s="2961" t="s">
        <v>3125</v>
      </c>
      <c r="L13" s="2959" t="s">
        <v>3125</v>
      </c>
      <c r="M13" s="2960">
        <v>7289774</v>
      </c>
      <c r="N13" s="2959" t="s">
        <v>3090</v>
      </c>
      <c r="O13" s="2959" t="s">
        <v>3095</v>
      </c>
      <c r="P13" s="2962" t="s">
        <v>3092</v>
      </c>
      <c r="Q13" s="2962" t="s">
        <v>3092</v>
      </c>
      <c r="R13" s="2963"/>
      <c r="S13" s="2962" t="s">
        <v>3129</v>
      </c>
      <c r="T13" s="2960">
        <v>-38314</v>
      </c>
      <c r="U13" s="2963"/>
      <c r="V13" s="2964"/>
      <c r="W13" s="2965"/>
      <c r="X13" s="2963"/>
      <c r="Y13" s="2965"/>
      <c r="Z13" s="2964"/>
      <c r="AA13" s="2964"/>
      <c r="AB13" s="2964"/>
      <c r="AC13">
        <f t="shared" si="1"/>
        <v>47168</v>
      </c>
    </row>
    <row r="14" spans="1:29" ht="20.100000000000001" customHeight="1">
      <c r="A14" s="2959" t="s">
        <v>3130</v>
      </c>
      <c r="B14" s="2959" t="s">
        <v>3528</v>
      </c>
      <c r="C14" s="2972" t="str">
        <f t="shared" si="0"/>
        <v>3</v>
      </c>
      <c r="D14" s="2959">
        <v>238</v>
      </c>
      <c r="E14" s="2971">
        <f>VLOOKUP(D14,[3]房屋建筑面积分户计算明晰表!$A$7:$B$105,2,0)</f>
        <v>152.78</v>
      </c>
      <c r="F14" s="2971">
        <f>VLOOKUP(D14,[3]房屋建筑面积分户计算明晰表!$A$7:$C$105,3,0)</f>
        <v>114.13</v>
      </c>
      <c r="G14" s="2959" t="s">
        <v>3131</v>
      </c>
      <c r="H14" s="2959" t="s">
        <v>3125</v>
      </c>
      <c r="I14" s="2960">
        <v>152.44</v>
      </c>
      <c r="J14" s="2960">
        <v>114.5</v>
      </c>
      <c r="K14" s="2961" t="s">
        <v>3125</v>
      </c>
      <c r="L14" s="2959" t="s">
        <v>3125</v>
      </c>
      <c r="M14" s="2960">
        <v>7043537</v>
      </c>
      <c r="N14" s="2959" t="s">
        <v>3132</v>
      </c>
      <c r="O14" s="2959" t="s">
        <v>3106</v>
      </c>
      <c r="P14" s="2962" t="s">
        <v>3092</v>
      </c>
      <c r="Q14" s="2962" t="s">
        <v>3092</v>
      </c>
      <c r="R14" s="2963"/>
      <c r="S14" s="2963"/>
      <c r="T14" s="2960">
        <v>-22761</v>
      </c>
      <c r="U14" s="2963"/>
      <c r="V14" s="2964"/>
      <c r="W14" s="2965"/>
      <c r="X14" s="2963"/>
      <c r="Y14" s="2965"/>
      <c r="Z14" s="2964"/>
      <c r="AA14" s="2964"/>
      <c r="AB14" s="2964"/>
      <c r="AC14">
        <f t="shared" si="1"/>
        <v>46102</v>
      </c>
    </row>
    <row r="15" spans="1:29" ht="20.100000000000001" customHeight="1">
      <c r="A15" s="2959" t="s">
        <v>3164</v>
      </c>
      <c r="B15" s="2959" t="s">
        <v>3529</v>
      </c>
      <c r="C15" s="2970" t="str">
        <f t="shared" si="0"/>
        <v>2</v>
      </c>
      <c r="D15" s="2959">
        <v>333</v>
      </c>
      <c r="E15" s="2971">
        <f>VLOOKUP(D15,[2]Sheet1!$A$2:$B$330,2,0)</f>
        <v>37.06</v>
      </c>
      <c r="F15" s="2971">
        <f>VLOOKUP(D15,[2]房屋建筑面积分户计算明晰表!$A$2:$C$330,3,0)</f>
        <v>23.41</v>
      </c>
      <c r="G15" s="2959" t="s">
        <v>3165</v>
      </c>
      <c r="H15" s="2959" t="s">
        <v>3162</v>
      </c>
      <c r="I15" s="2960">
        <v>36.53</v>
      </c>
      <c r="J15" s="2960">
        <v>23.13</v>
      </c>
      <c r="K15" s="2961" t="s">
        <v>3159</v>
      </c>
      <c r="L15" s="2959" t="s">
        <v>3159</v>
      </c>
      <c r="M15" s="2960">
        <v>2013797</v>
      </c>
      <c r="N15" s="2959" t="s">
        <v>3090</v>
      </c>
      <c r="O15" s="2959" t="s">
        <v>3095</v>
      </c>
      <c r="P15" s="2962" t="s">
        <v>3092</v>
      </c>
      <c r="Q15" s="2962" t="s">
        <v>3092</v>
      </c>
      <c r="R15" s="2963"/>
      <c r="S15" s="2962" t="s">
        <v>3163</v>
      </c>
      <c r="T15" s="2960">
        <v>24378</v>
      </c>
      <c r="U15" s="2963"/>
      <c r="V15" s="2964"/>
      <c r="W15" s="2965"/>
      <c r="X15" s="2963"/>
      <c r="Y15" s="2965"/>
      <c r="Z15" s="2964"/>
      <c r="AA15" s="2964"/>
      <c r="AB15" s="2964"/>
      <c r="AC15">
        <f t="shared" si="1"/>
        <v>54339</v>
      </c>
    </row>
    <row r="16" spans="1:29" ht="20.100000000000001" customHeight="1">
      <c r="A16" s="2959" t="s">
        <v>3166</v>
      </c>
      <c r="B16" s="2959" t="s">
        <v>3530</v>
      </c>
      <c r="C16" s="2970" t="str">
        <f t="shared" si="0"/>
        <v>2</v>
      </c>
      <c r="D16" s="2959">
        <v>334</v>
      </c>
      <c r="E16" s="2971">
        <f>VLOOKUP(D16,[2]Sheet1!$A$2:$B$330,2,0)</f>
        <v>37.06</v>
      </c>
      <c r="F16" s="2971">
        <f>VLOOKUP(D16,[2]房屋建筑面积分户计算明晰表!$A$2:$C$330,3,0)</f>
        <v>23.41</v>
      </c>
      <c r="G16" s="2959" t="s">
        <v>3167</v>
      </c>
      <c r="H16" s="2959" t="s">
        <v>3162</v>
      </c>
      <c r="I16" s="2960">
        <v>36.53</v>
      </c>
      <c r="J16" s="2960">
        <v>23.13</v>
      </c>
      <c r="K16" s="2961" t="s">
        <v>3159</v>
      </c>
      <c r="L16" s="2959" t="s">
        <v>3159</v>
      </c>
      <c r="M16" s="2960">
        <v>2013797</v>
      </c>
      <c r="N16" s="2959" t="s">
        <v>3090</v>
      </c>
      <c r="O16" s="2959" t="s">
        <v>3095</v>
      </c>
      <c r="P16" s="2962" t="s">
        <v>3092</v>
      </c>
      <c r="Q16" s="2962" t="s">
        <v>3092</v>
      </c>
      <c r="R16" s="2963"/>
      <c r="S16" s="2962" t="s">
        <v>3163</v>
      </c>
      <c r="T16" s="2960">
        <v>24378</v>
      </c>
      <c r="U16" s="2963"/>
      <c r="V16" s="2964"/>
      <c r="W16" s="2965"/>
      <c r="X16" s="2963"/>
      <c r="Y16" s="2965"/>
      <c r="Z16" s="2964"/>
      <c r="AA16" s="2964"/>
      <c r="AB16" s="2964"/>
      <c r="AC16">
        <f t="shared" si="1"/>
        <v>54339</v>
      </c>
    </row>
    <row r="17" spans="1:29" ht="20.100000000000001" customHeight="1">
      <c r="A17" s="2959" t="s">
        <v>3376</v>
      </c>
      <c r="B17" s="2959" t="s">
        <v>3531</v>
      </c>
      <c r="C17" s="2970" t="str">
        <f t="shared" si="0"/>
        <v>2</v>
      </c>
      <c r="D17" s="2959">
        <v>-122</v>
      </c>
      <c r="E17" s="2971">
        <f>VLOOKUP(D17,[2]Sheet1!$A$2:$B$330,2,0)</f>
        <v>37.450000000000003</v>
      </c>
      <c r="F17" s="2971">
        <f>VLOOKUP(D17,[2]房屋建筑面积分户计算明晰表!$A$2:$C$330,3,0)</f>
        <v>27.79</v>
      </c>
      <c r="G17" s="2959" t="s">
        <v>3377</v>
      </c>
      <c r="H17" s="2959" t="s">
        <v>3347</v>
      </c>
      <c r="I17" s="2960">
        <v>37.03</v>
      </c>
      <c r="J17" s="2960">
        <v>27.46</v>
      </c>
      <c r="K17" s="2961" t="s">
        <v>3347</v>
      </c>
      <c r="L17" s="2959" t="s">
        <v>3347</v>
      </c>
      <c r="M17" s="2960">
        <v>2345569</v>
      </c>
      <c r="N17" s="2959" t="s">
        <v>3090</v>
      </c>
      <c r="O17" s="2959" t="s">
        <v>3152</v>
      </c>
      <c r="P17" s="2962" t="s">
        <v>3092</v>
      </c>
      <c r="Q17" s="2962" t="s">
        <v>3092</v>
      </c>
      <c r="R17" s="2963"/>
      <c r="S17" s="2962" t="s">
        <v>3162</v>
      </c>
      <c r="T17" s="2960">
        <v>28188</v>
      </c>
      <c r="U17" s="2963"/>
      <c r="V17" s="2964"/>
      <c r="W17" s="2965"/>
      <c r="X17" s="2963"/>
      <c r="Y17" s="2965"/>
      <c r="Z17" s="2959" t="s">
        <v>3378</v>
      </c>
      <c r="AA17" s="2959" t="s">
        <v>3379</v>
      </c>
      <c r="AB17" s="2964"/>
      <c r="AC17">
        <f t="shared" si="1"/>
        <v>62632</v>
      </c>
    </row>
    <row r="18" spans="1:29" ht="20.100000000000001" customHeight="1">
      <c r="A18" s="2959" t="s">
        <v>3168</v>
      </c>
      <c r="B18" s="2959" t="s">
        <v>3532</v>
      </c>
      <c r="C18" s="2970" t="str">
        <f t="shared" si="0"/>
        <v>2</v>
      </c>
      <c r="D18" s="2959">
        <v>335</v>
      </c>
      <c r="E18" s="2971">
        <f>VLOOKUP(D18,[2]Sheet1!$A$2:$B$330,2,0)</f>
        <v>37.479999999999997</v>
      </c>
      <c r="F18" s="2971">
        <f>VLOOKUP(D18,[2]房屋建筑面积分户计算明晰表!$A$2:$C$330,3,0)</f>
        <v>23.67</v>
      </c>
      <c r="G18" s="2959" t="s">
        <v>3169</v>
      </c>
      <c r="H18" s="2959" t="s">
        <v>3162</v>
      </c>
      <c r="I18" s="2960">
        <v>36.94</v>
      </c>
      <c r="J18" s="2960">
        <v>23.39</v>
      </c>
      <c r="K18" s="2961" t="s">
        <v>3159</v>
      </c>
      <c r="L18" s="2959" t="s">
        <v>3159</v>
      </c>
      <c r="M18" s="2960">
        <v>2037059</v>
      </c>
      <c r="N18" s="2959" t="s">
        <v>3090</v>
      </c>
      <c r="O18" s="2959" t="s">
        <v>3095</v>
      </c>
      <c r="P18" s="2962" t="s">
        <v>3092</v>
      </c>
      <c r="Q18" s="2962" t="s">
        <v>3092</v>
      </c>
      <c r="R18" s="2963"/>
      <c r="S18" s="2962" t="s">
        <v>3163</v>
      </c>
      <c r="T18" s="2960">
        <v>24385</v>
      </c>
      <c r="U18" s="2963"/>
      <c r="V18" s="2964"/>
      <c r="W18" s="2965"/>
      <c r="X18" s="2963"/>
      <c r="Y18" s="2965"/>
      <c r="Z18" s="2964"/>
      <c r="AA18" s="2964"/>
      <c r="AB18" s="2964"/>
      <c r="AC18">
        <f t="shared" si="1"/>
        <v>54351</v>
      </c>
    </row>
    <row r="19" spans="1:29" ht="20.100000000000001" customHeight="1">
      <c r="A19" s="2959" t="s">
        <v>3501</v>
      </c>
      <c r="B19" s="2959" t="s">
        <v>3533</v>
      </c>
      <c r="C19" s="2970" t="str">
        <f t="shared" si="0"/>
        <v>2</v>
      </c>
      <c r="D19" s="2959">
        <v>114</v>
      </c>
      <c r="E19" s="2971">
        <f>VLOOKUP(D19,[2]Sheet1!$A$2:$B$330,2,0)</f>
        <v>39.43</v>
      </c>
      <c r="F19" s="2971">
        <f>VLOOKUP(D19,[2]房屋建筑面积分户计算明晰表!$A$2:$C$330,3,0)</f>
        <v>33.78</v>
      </c>
      <c r="G19" s="2959" t="s">
        <v>3502</v>
      </c>
      <c r="H19" s="2959" t="s">
        <v>3354</v>
      </c>
      <c r="I19" s="2960">
        <v>39.020000000000003</v>
      </c>
      <c r="J19" s="2960">
        <v>33.71</v>
      </c>
      <c r="K19" s="2961" t="s">
        <v>3354</v>
      </c>
      <c r="L19" s="2959" t="s">
        <v>3354</v>
      </c>
      <c r="M19" s="2960">
        <v>3482519</v>
      </c>
      <c r="N19" s="2959" t="s">
        <v>3090</v>
      </c>
      <c r="O19" s="2959" t="s">
        <v>3111</v>
      </c>
      <c r="P19" s="2962" t="s">
        <v>3092</v>
      </c>
      <c r="Q19" s="2962" t="s">
        <v>3092</v>
      </c>
      <c r="R19" s="2963"/>
      <c r="S19" s="2962" t="s">
        <v>3431</v>
      </c>
      <c r="T19" s="2960">
        <v>7232</v>
      </c>
      <c r="U19" s="2963"/>
      <c r="V19" s="2964"/>
      <c r="W19" s="2965"/>
      <c r="X19" s="2963"/>
      <c r="Y19" s="2965"/>
      <c r="Z19" s="2964"/>
      <c r="AA19" s="2964"/>
      <c r="AB19" s="2964"/>
      <c r="AC19">
        <f t="shared" si="1"/>
        <v>88322</v>
      </c>
    </row>
    <row r="20" spans="1:29" ht="20.100000000000001" customHeight="1">
      <c r="A20" s="2959" t="s">
        <v>3493</v>
      </c>
      <c r="B20" s="2959" t="s">
        <v>3534</v>
      </c>
      <c r="C20" s="2970" t="str">
        <f t="shared" si="0"/>
        <v>2</v>
      </c>
      <c r="D20" s="2959">
        <v>131</v>
      </c>
      <c r="E20" s="2971">
        <f>VLOOKUP(D20,[2]Sheet1!$A$2:$B$330,2,0)</f>
        <v>40.340000000000003</v>
      </c>
      <c r="F20" s="2971">
        <f>VLOOKUP(D20,[2]房屋建筑面积分户计算明晰表!$A$2:$C$330,3,0)</f>
        <v>34.56</v>
      </c>
      <c r="G20" s="2959" t="s">
        <v>3494</v>
      </c>
      <c r="H20" s="2959" t="s">
        <v>3354</v>
      </c>
      <c r="I20" s="2960">
        <v>40.11</v>
      </c>
      <c r="J20" s="2960">
        <v>34.65</v>
      </c>
      <c r="K20" s="2961" t="s">
        <v>3354</v>
      </c>
      <c r="L20" s="2959" t="s">
        <v>3354</v>
      </c>
      <c r="M20" s="2960">
        <v>3852585</v>
      </c>
      <c r="N20" s="2959" t="s">
        <v>3090</v>
      </c>
      <c r="O20" s="2959" t="s">
        <v>3111</v>
      </c>
      <c r="P20" s="2962" t="s">
        <v>3092</v>
      </c>
      <c r="Q20" s="2962" t="s">
        <v>3092</v>
      </c>
      <c r="R20" s="2963"/>
      <c r="S20" s="2962" t="s">
        <v>3193</v>
      </c>
      <c r="T20" s="2960">
        <v>-10007</v>
      </c>
      <c r="U20" s="2963"/>
      <c r="V20" s="2964"/>
      <c r="W20" s="2965"/>
      <c r="X20" s="2963"/>
      <c r="Y20" s="2965"/>
      <c r="Z20" s="2964"/>
      <c r="AA20" s="2964"/>
      <c r="AB20" s="2964"/>
      <c r="AC20">
        <f t="shared" si="1"/>
        <v>95503</v>
      </c>
    </row>
    <row r="21" spans="1:29" ht="20.100000000000001" customHeight="1">
      <c r="A21" s="2959" t="s">
        <v>3340</v>
      </c>
      <c r="B21" s="2959" t="s">
        <v>3535</v>
      </c>
      <c r="C21" s="2970" t="str">
        <f t="shared" si="0"/>
        <v>2</v>
      </c>
      <c r="D21" s="2959">
        <v>124</v>
      </c>
      <c r="E21" s="2971">
        <f>VLOOKUP(D21,[2]Sheet1!$A$2:$B$330,2,0)</f>
        <v>40.35</v>
      </c>
      <c r="F21" s="2971">
        <f>VLOOKUP(D21,[2]房屋建筑面积分户计算明晰表!$A$2:$C$330,3,0)</f>
        <v>34.57</v>
      </c>
      <c r="G21" s="2959" t="s">
        <v>3341</v>
      </c>
      <c r="H21" s="2959" t="s">
        <v>3337</v>
      </c>
      <c r="I21" s="2960">
        <v>39.81</v>
      </c>
      <c r="J21" s="2960">
        <v>34.39</v>
      </c>
      <c r="K21" s="2961" t="s">
        <v>3338</v>
      </c>
      <c r="L21" s="2959" t="s">
        <v>3285</v>
      </c>
      <c r="M21" s="2960">
        <v>2980365</v>
      </c>
      <c r="N21" s="2959" t="s">
        <v>3330</v>
      </c>
      <c r="O21" s="2959" t="s">
        <v>3111</v>
      </c>
      <c r="P21" s="2962" t="s">
        <v>3092</v>
      </c>
      <c r="Q21" s="2962" t="s">
        <v>3092</v>
      </c>
      <c r="R21" s="2963"/>
      <c r="S21" s="2963"/>
      <c r="T21" s="2960">
        <v>15599</v>
      </c>
      <c r="U21" s="2963"/>
      <c r="V21" s="2964"/>
      <c r="W21" s="2965"/>
      <c r="X21" s="2963"/>
      <c r="Y21" s="2965"/>
      <c r="Z21" s="2964"/>
      <c r="AA21" s="2964"/>
      <c r="AB21" s="2964"/>
      <c r="AC21">
        <f t="shared" si="1"/>
        <v>73863</v>
      </c>
    </row>
    <row r="22" spans="1:29" ht="20.100000000000001" customHeight="1">
      <c r="A22" s="2959" t="s">
        <v>3392</v>
      </c>
      <c r="B22" s="2959" t="s">
        <v>3536</v>
      </c>
      <c r="C22" s="2970" t="str">
        <f t="shared" si="0"/>
        <v>2</v>
      </c>
      <c r="D22" s="2959">
        <v>-117</v>
      </c>
      <c r="E22" s="2971">
        <f>VLOOKUP(D22,[2]Sheet1!$A$2:$B$330,2,0)</f>
        <v>40.94</v>
      </c>
      <c r="F22" s="2971">
        <f>VLOOKUP(D22,[2]房屋建筑面积分户计算明晰表!$A$2:$C$330,3,0)</f>
        <v>30.38</v>
      </c>
      <c r="G22" s="2959" t="s">
        <v>3393</v>
      </c>
      <c r="H22" s="2959" t="s">
        <v>3347</v>
      </c>
      <c r="I22" s="2960">
        <v>40.72</v>
      </c>
      <c r="J22" s="2960">
        <v>30.2</v>
      </c>
      <c r="K22" s="2961" t="s">
        <v>3347</v>
      </c>
      <c r="L22" s="2959" t="s">
        <v>3347</v>
      </c>
      <c r="M22" s="2960">
        <v>2592336</v>
      </c>
      <c r="N22" s="2959" t="s">
        <v>3090</v>
      </c>
      <c r="O22" s="2959" t="s">
        <v>3111</v>
      </c>
      <c r="P22" s="2962" t="s">
        <v>3092</v>
      </c>
      <c r="Q22" s="2962" t="s">
        <v>3092</v>
      </c>
      <c r="R22" s="2963"/>
      <c r="S22" s="2962" t="s">
        <v>3125</v>
      </c>
      <c r="T22" s="2960">
        <v>15451</v>
      </c>
      <c r="U22" s="2963"/>
      <c r="V22" s="2964"/>
      <c r="W22" s="2965"/>
      <c r="X22" s="2963"/>
      <c r="Y22" s="2965"/>
      <c r="Z22" s="2964"/>
      <c r="AA22" s="2964"/>
      <c r="AB22" s="2964"/>
      <c r="AC22">
        <f t="shared" si="1"/>
        <v>63320</v>
      </c>
    </row>
    <row r="23" spans="1:29" ht="20.100000000000001" customHeight="1">
      <c r="A23" s="2959" t="s">
        <v>3331</v>
      </c>
      <c r="B23" s="2959" t="s">
        <v>3537</v>
      </c>
      <c r="C23" s="2970" t="str">
        <f t="shared" si="0"/>
        <v>2</v>
      </c>
      <c r="D23" s="2959">
        <v>-123</v>
      </c>
      <c r="E23" s="2971">
        <f>VLOOKUP(D23,[2]Sheet1!$A$2:$B$330,2,0)</f>
        <v>45.88</v>
      </c>
      <c r="F23" s="2971">
        <f>VLOOKUP(D23,[2]房屋建筑面积分户计算明晰表!$A$2:$C$330,3,0)</f>
        <v>34.04</v>
      </c>
      <c r="G23" s="2959" t="s">
        <v>3332</v>
      </c>
      <c r="H23" s="2959" t="s">
        <v>3333</v>
      </c>
      <c r="I23" s="2960">
        <v>45.51</v>
      </c>
      <c r="J23" s="2960">
        <v>33.75</v>
      </c>
      <c r="K23" s="2961" t="s">
        <v>3334</v>
      </c>
      <c r="L23" s="2959" t="s">
        <v>3334</v>
      </c>
      <c r="M23" s="2960">
        <v>2978399</v>
      </c>
      <c r="N23" s="2959" t="s">
        <v>3330</v>
      </c>
      <c r="O23" s="2959" t="s">
        <v>3091</v>
      </c>
      <c r="P23" s="2962" t="s">
        <v>3092</v>
      </c>
      <c r="Q23" s="2962" t="s">
        <v>3092</v>
      </c>
      <c r="R23" s="2963"/>
      <c r="S23" s="2962" t="s">
        <v>3213</v>
      </c>
      <c r="T23" s="2960">
        <v>25592</v>
      </c>
      <c r="U23" s="2963"/>
      <c r="V23" s="2964"/>
      <c r="W23" s="2965"/>
      <c r="X23" s="2963"/>
      <c r="Y23" s="2965"/>
      <c r="Z23" s="2964"/>
      <c r="AA23" s="2964"/>
      <c r="AB23" s="2964"/>
      <c r="AC23">
        <f t="shared" si="1"/>
        <v>64917</v>
      </c>
    </row>
    <row r="24" spans="1:29" ht="20.100000000000001" customHeight="1">
      <c r="A24" s="2959" t="s">
        <v>3093</v>
      </c>
      <c r="B24" s="2959" t="s">
        <v>3538</v>
      </c>
      <c r="C24" s="2970" t="str">
        <f t="shared" si="0"/>
        <v>2</v>
      </c>
      <c r="D24" s="2959">
        <v>-121</v>
      </c>
      <c r="E24" s="2971">
        <f>VLOOKUP(D24,[2]Sheet1!$A$2:$B$330,2,0)</f>
        <v>47.79</v>
      </c>
      <c r="F24" s="2971">
        <f>VLOOKUP(D24,[2]房屋建筑面积分户计算明晰表!$A$2:$C$330,3,0)</f>
        <v>35.46</v>
      </c>
      <c r="G24" s="2959" t="s">
        <v>3094</v>
      </c>
      <c r="H24" s="2959" t="s">
        <v>3088</v>
      </c>
      <c r="I24" s="2960">
        <v>47.4</v>
      </c>
      <c r="J24" s="2960">
        <v>35.15</v>
      </c>
      <c r="K24" s="2961" t="s">
        <v>3089</v>
      </c>
      <c r="L24" s="2959" t="s">
        <v>3089</v>
      </c>
      <c r="M24" s="2960">
        <v>2996630</v>
      </c>
      <c r="N24" s="2959" t="s">
        <v>3090</v>
      </c>
      <c r="O24" s="2959" t="s">
        <v>3095</v>
      </c>
      <c r="P24" s="2962" t="s">
        <v>3092</v>
      </c>
      <c r="Q24" s="2962" t="s">
        <v>3092</v>
      </c>
      <c r="R24" s="2963"/>
      <c r="S24" s="2962" t="s">
        <v>3089</v>
      </c>
      <c r="T24" s="2960">
        <v>26428</v>
      </c>
      <c r="U24" s="2963"/>
      <c r="V24" s="2964"/>
      <c r="W24" s="2965"/>
      <c r="X24" s="2963"/>
      <c r="Y24" s="2965"/>
      <c r="Z24" s="2964"/>
      <c r="AA24" s="2964"/>
      <c r="AB24" s="2964"/>
      <c r="AC24">
        <f t="shared" si="1"/>
        <v>62704</v>
      </c>
    </row>
    <row r="25" spans="1:29" ht="20.100000000000001" customHeight="1">
      <c r="A25" s="2959" t="s">
        <v>3157</v>
      </c>
      <c r="B25" s="2959" t="s">
        <v>3539</v>
      </c>
      <c r="C25" s="2972" t="str">
        <f t="shared" si="0"/>
        <v>3</v>
      </c>
      <c r="D25" s="2959">
        <v>237</v>
      </c>
      <c r="E25" s="2971">
        <f>VLOOKUP(D25,[3]房屋建筑面积分户计算明晰表!$A$7:$B$105,2,0)</f>
        <v>181.85</v>
      </c>
      <c r="F25" s="2971">
        <f>VLOOKUP(D25,[3]房屋建筑面积分户计算明晰表!$A$7:$C$105,3,0)</f>
        <v>135.84</v>
      </c>
      <c r="G25" s="2959" t="s">
        <v>3158</v>
      </c>
      <c r="H25" s="2959" t="s">
        <v>3159</v>
      </c>
      <c r="I25" s="2960">
        <v>181.08</v>
      </c>
      <c r="J25" s="2960">
        <v>136.01</v>
      </c>
      <c r="K25" s="2961" t="s">
        <v>3159</v>
      </c>
      <c r="L25" s="2959" t="s">
        <v>3159</v>
      </c>
      <c r="M25" s="2960">
        <v>7213448</v>
      </c>
      <c r="N25" s="2959" t="s">
        <v>3090</v>
      </c>
      <c r="O25" s="2959" t="s">
        <v>3095</v>
      </c>
      <c r="P25" s="2962" t="s">
        <v>3092</v>
      </c>
      <c r="Q25" s="2962" t="s">
        <v>3092</v>
      </c>
      <c r="R25" s="2963"/>
      <c r="S25" s="2962" t="s">
        <v>3159</v>
      </c>
      <c r="T25" s="2960">
        <v>-9016</v>
      </c>
      <c r="U25" s="2963"/>
      <c r="V25" s="2964"/>
      <c r="W25" s="2965"/>
      <c r="X25" s="2963"/>
      <c r="Y25" s="2965"/>
      <c r="Z25" s="2964"/>
      <c r="AA25" s="2964"/>
      <c r="AB25" s="2964"/>
      <c r="AC25">
        <f t="shared" si="1"/>
        <v>39667</v>
      </c>
    </row>
    <row r="26" spans="1:29" ht="20.100000000000001" customHeight="1">
      <c r="A26" s="2959" t="s">
        <v>3383</v>
      </c>
      <c r="B26" s="2959" t="s">
        <v>3540</v>
      </c>
      <c r="C26" s="2970" t="str">
        <f t="shared" si="0"/>
        <v>2</v>
      </c>
      <c r="D26" s="2959">
        <v>-118</v>
      </c>
      <c r="E26" s="2971">
        <f>VLOOKUP(D26,[2]Sheet1!$A$2:$B$330,2,0)</f>
        <v>51.54</v>
      </c>
      <c r="F26" s="2971">
        <f>VLOOKUP(D26,[2]房屋建筑面积分户计算明晰表!$A$2:$C$330,3,0)</f>
        <v>38.24</v>
      </c>
      <c r="G26" s="2959" t="s">
        <v>3384</v>
      </c>
      <c r="H26" s="2959" t="s">
        <v>3347</v>
      </c>
      <c r="I26" s="2960">
        <v>51.42</v>
      </c>
      <c r="J26" s="2960">
        <v>38.130000000000003</v>
      </c>
      <c r="K26" s="2961" t="s">
        <v>3347</v>
      </c>
      <c r="L26" s="2959" t="s">
        <v>3347</v>
      </c>
      <c r="M26" s="2960">
        <v>3048530</v>
      </c>
      <c r="N26" s="2959" t="s">
        <v>3090</v>
      </c>
      <c r="O26" s="2959" t="s">
        <v>3111</v>
      </c>
      <c r="P26" s="2962" t="s">
        <v>3092</v>
      </c>
      <c r="Q26" s="2962" t="s">
        <v>3092</v>
      </c>
      <c r="R26" s="2963"/>
      <c r="S26" s="2962" t="s">
        <v>3385</v>
      </c>
      <c r="T26" s="2960">
        <v>8795</v>
      </c>
      <c r="U26" s="2963"/>
      <c r="V26" s="2964"/>
      <c r="W26" s="2965"/>
      <c r="X26" s="2963"/>
      <c r="Y26" s="2965"/>
      <c r="Z26" s="2964"/>
      <c r="AA26" s="2964"/>
      <c r="AB26" s="2964"/>
      <c r="AC26">
        <f t="shared" si="1"/>
        <v>59149</v>
      </c>
    </row>
    <row r="27" spans="1:29" ht="20.100000000000001" customHeight="1">
      <c r="A27" s="2959" t="s">
        <v>3211</v>
      </c>
      <c r="B27" s="2959" t="s">
        <v>3541</v>
      </c>
      <c r="C27" s="2970" t="str">
        <f t="shared" si="0"/>
        <v>2</v>
      </c>
      <c r="D27" s="2959">
        <v>-103</v>
      </c>
      <c r="E27" s="2971">
        <f>VLOOKUP(D27,[2]Sheet1!$A$2:$B$330,2,0)</f>
        <v>51.86</v>
      </c>
      <c r="F27" s="2971">
        <f>VLOOKUP(D27,[2]房屋建筑面积分户计算明晰表!$A$2:$C$330,3,0)</f>
        <v>38.479999999999997</v>
      </c>
      <c r="G27" s="2959" t="s">
        <v>3212</v>
      </c>
      <c r="H27" s="2959" t="s">
        <v>3213</v>
      </c>
      <c r="I27" s="2960">
        <v>51.71</v>
      </c>
      <c r="J27" s="2960">
        <v>38.35</v>
      </c>
      <c r="K27" s="2961" t="s">
        <v>3207</v>
      </c>
      <c r="L27" s="2959" t="s">
        <v>3214</v>
      </c>
      <c r="M27" s="2960">
        <v>2705847</v>
      </c>
      <c r="N27" s="2959" t="s">
        <v>3090</v>
      </c>
      <c r="O27" s="2959" t="s">
        <v>3095</v>
      </c>
      <c r="P27" s="2962" t="s">
        <v>3092</v>
      </c>
      <c r="Q27" s="2962" t="s">
        <v>3092</v>
      </c>
      <c r="R27" s="2963"/>
      <c r="S27" s="2962" t="s">
        <v>3207</v>
      </c>
      <c r="T27" s="2960">
        <v>9172</v>
      </c>
      <c r="U27" s="2963"/>
      <c r="V27" s="2964"/>
      <c r="W27" s="2965"/>
      <c r="X27" s="2963"/>
      <c r="Y27" s="2965"/>
      <c r="Z27" s="2964"/>
      <c r="AA27" s="2964"/>
      <c r="AB27" s="2964"/>
      <c r="AC27">
        <f t="shared" si="1"/>
        <v>52176</v>
      </c>
    </row>
    <row r="28" spans="1:29" ht="20.100000000000001" customHeight="1">
      <c r="A28" s="2959" t="s">
        <v>3429</v>
      </c>
      <c r="B28" s="2959" t="s">
        <v>3542</v>
      </c>
      <c r="C28" s="2970" t="str">
        <f t="shared" si="0"/>
        <v>2</v>
      </c>
      <c r="D28" s="2959">
        <v>118</v>
      </c>
      <c r="E28" s="2971">
        <f>VLOOKUP(D28,[2]Sheet1!$A$2:$B$330,2,0)</f>
        <v>52.58</v>
      </c>
      <c r="F28" s="2971">
        <f>VLOOKUP(D28,[2]房屋建筑面积分户计算明晰表!$A$2:$C$330,3,0)</f>
        <v>45.05</v>
      </c>
      <c r="G28" s="2959" t="s">
        <v>3430</v>
      </c>
      <c r="H28" s="2959" t="s">
        <v>3344</v>
      </c>
      <c r="I28" s="2960">
        <v>52.14</v>
      </c>
      <c r="J28" s="2960">
        <v>45.05</v>
      </c>
      <c r="K28" s="2961" t="s">
        <v>3344</v>
      </c>
      <c r="L28" s="2959" t="s">
        <v>3344</v>
      </c>
      <c r="M28" s="2960">
        <v>3533974</v>
      </c>
      <c r="N28" s="2959" t="s">
        <v>3090</v>
      </c>
      <c r="O28" s="2959" t="s">
        <v>3111</v>
      </c>
      <c r="P28" s="2962" t="s">
        <v>3092</v>
      </c>
      <c r="Q28" s="2962" t="s">
        <v>3092</v>
      </c>
      <c r="R28" s="2963"/>
      <c r="S28" s="2962" t="s">
        <v>3431</v>
      </c>
      <c r="T28" s="2966"/>
      <c r="U28" s="2963"/>
      <c r="V28" s="2964"/>
      <c r="W28" s="2965"/>
      <c r="X28" s="2963"/>
      <c r="Y28" s="2965"/>
      <c r="Z28" s="2964"/>
      <c r="AA28" s="2964"/>
      <c r="AB28" s="2964"/>
      <c r="AC28">
        <f t="shared" si="1"/>
        <v>67211</v>
      </c>
    </row>
    <row r="29" spans="1:29" ht="20.100000000000001" customHeight="1">
      <c r="A29" s="2959" t="s">
        <v>3190</v>
      </c>
      <c r="B29" s="2959" t="s">
        <v>3543</v>
      </c>
      <c r="C29" s="2970" t="str">
        <f t="shared" si="0"/>
        <v>2</v>
      </c>
      <c r="D29" s="2959">
        <v>-104</v>
      </c>
      <c r="E29" s="2971">
        <f>VLOOKUP(D29,[2]Sheet1!$A$2:$B$330,2,0)</f>
        <v>55.4</v>
      </c>
      <c r="F29" s="2971">
        <f>VLOOKUP(D29,[2]房屋建筑面积分户计算明晰表!$A$2:$C$330,3,0)</f>
        <v>41.11</v>
      </c>
      <c r="G29" s="2959" t="s">
        <v>3191</v>
      </c>
      <c r="H29" s="2959" t="s">
        <v>3192</v>
      </c>
      <c r="I29" s="2960">
        <v>55.23</v>
      </c>
      <c r="J29" s="2960">
        <v>40.96</v>
      </c>
      <c r="K29" s="2961" t="s">
        <v>3192</v>
      </c>
      <c r="L29" s="2959" t="s">
        <v>3193</v>
      </c>
      <c r="M29" s="2960">
        <v>2923573</v>
      </c>
      <c r="N29" s="2959" t="s">
        <v>3194</v>
      </c>
      <c r="O29" s="2959" t="s">
        <v>3152</v>
      </c>
      <c r="P29" s="2962" t="s">
        <v>3092</v>
      </c>
      <c r="Q29" s="2962" t="s">
        <v>3092</v>
      </c>
      <c r="R29" s="2963"/>
      <c r="S29" s="2962" t="s">
        <v>3162</v>
      </c>
      <c r="T29" s="2960">
        <v>10706</v>
      </c>
      <c r="U29" s="2963"/>
      <c r="V29" s="2964"/>
      <c r="W29" s="2965"/>
      <c r="X29" s="2963"/>
      <c r="Y29" s="2965"/>
      <c r="Z29" s="2964"/>
      <c r="AA29" s="2964"/>
      <c r="AB29" s="2964"/>
      <c r="AC29">
        <f t="shared" si="1"/>
        <v>52772</v>
      </c>
    </row>
    <row r="30" spans="1:29" ht="20.100000000000001" customHeight="1">
      <c r="A30" s="2959" t="s">
        <v>3160</v>
      </c>
      <c r="B30" s="2959" t="s">
        <v>3544</v>
      </c>
      <c r="C30" s="2970" t="str">
        <f t="shared" si="0"/>
        <v>2</v>
      </c>
      <c r="D30" s="2959">
        <v>332</v>
      </c>
      <c r="E30" s="2971">
        <f>VLOOKUP(D30,[2]Sheet1!$A$2:$B$330,2,0)</f>
        <v>59.37</v>
      </c>
      <c r="F30" s="2971">
        <f>VLOOKUP(D30,[2]房屋建筑面积分户计算明晰表!$A$2:$C$330,3,0)</f>
        <v>37.5</v>
      </c>
      <c r="G30" s="2959" t="s">
        <v>3161</v>
      </c>
      <c r="H30" s="2959" t="s">
        <v>3162</v>
      </c>
      <c r="I30" s="2960">
        <v>58.83</v>
      </c>
      <c r="J30" s="2960">
        <v>37.25</v>
      </c>
      <c r="K30" s="2961" t="s">
        <v>3159</v>
      </c>
      <c r="L30" s="2959" t="s">
        <v>3159</v>
      </c>
      <c r="M30" s="2960">
        <v>3279029</v>
      </c>
      <c r="N30" s="2959" t="s">
        <v>3090</v>
      </c>
      <c r="O30" s="2959" t="s">
        <v>3095</v>
      </c>
      <c r="P30" s="2962" t="s">
        <v>3092</v>
      </c>
      <c r="Q30" s="2962" t="s">
        <v>3092</v>
      </c>
      <c r="R30" s="2963"/>
      <c r="S30" s="2962" t="s">
        <v>3163</v>
      </c>
      <c r="T30" s="2960">
        <v>22007</v>
      </c>
      <c r="U30" s="2963"/>
      <c r="V30" s="2964"/>
      <c r="W30" s="2965"/>
      <c r="X30" s="2963"/>
      <c r="Y30" s="2965"/>
      <c r="Z30" s="2964"/>
      <c r="AA30" s="2964"/>
      <c r="AB30" s="2964"/>
      <c r="AC30">
        <f t="shared" si="1"/>
        <v>55230</v>
      </c>
    </row>
    <row r="31" spans="1:29" ht="20.100000000000001" customHeight="1">
      <c r="A31" s="2959" t="s">
        <v>3390</v>
      </c>
      <c r="B31" s="2959" t="s">
        <v>3545</v>
      </c>
      <c r="C31" s="2970" t="str">
        <f t="shared" si="0"/>
        <v>2</v>
      </c>
      <c r="D31" s="2959">
        <v>-116</v>
      </c>
      <c r="E31" s="2971">
        <f>VLOOKUP(D31,[2]Sheet1!$A$2:$B$330,2,0)</f>
        <v>59.41</v>
      </c>
      <c r="F31" s="2971">
        <f>VLOOKUP(D31,[2]房屋建筑面积分户计算明晰表!$A$2:$C$330,3,0)</f>
        <v>44.08</v>
      </c>
      <c r="G31" s="2959" t="s">
        <v>3391</v>
      </c>
      <c r="H31" s="2959" t="s">
        <v>3347</v>
      </c>
      <c r="I31" s="2960">
        <v>59.2</v>
      </c>
      <c r="J31" s="2960">
        <v>43.9</v>
      </c>
      <c r="K31" s="2961" t="s">
        <v>3347</v>
      </c>
      <c r="L31" s="2959" t="s">
        <v>3347</v>
      </c>
      <c r="M31" s="2960">
        <v>3517320</v>
      </c>
      <c r="N31" s="2959" t="s">
        <v>3090</v>
      </c>
      <c r="O31" s="2959" t="s">
        <v>3111</v>
      </c>
      <c r="P31" s="2962" t="s">
        <v>3092</v>
      </c>
      <c r="Q31" s="2962" t="s">
        <v>3092</v>
      </c>
      <c r="R31" s="2963"/>
      <c r="S31" s="2962" t="s">
        <v>3125</v>
      </c>
      <c r="T31" s="2960">
        <v>14422</v>
      </c>
      <c r="U31" s="2963"/>
      <c r="V31" s="2964"/>
      <c r="W31" s="2965"/>
      <c r="X31" s="2963"/>
      <c r="Y31" s="2965"/>
      <c r="Z31" s="2964"/>
      <c r="AA31" s="2964"/>
      <c r="AB31" s="2964"/>
      <c r="AC31">
        <f t="shared" si="1"/>
        <v>59204</v>
      </c>
    </row>
    <row r="32" spans="1:29" ht="20.100000000000001" customHeight="1">
      <c r="A32" s="2959" t="s">
        <v>3174</v>
      </c>
      <c r="B32" s="2959" t="s">
        <v>3546</v>
      </c>
      <c r="C32" s="2972" t="str">
        <f t="shared" si="0"/>
        <v>3</v>
      </c>
      <c r="D32" s="2959">
        <v>235</v>
      </c>
      <c r="E32" s="2971">
        <f>VLOOKUP(D32,[3]房屋建筑面积分户计算明晰表!$A$7:$B$105,2,0)</f>
        <v>100.32</v>
      </c>
      <c r="F32" s="2971">
        <f>VLOOKUP(D32,[3]房屋建筑面积分户计算明晰表!$A$7:$C$105,3,0)</f>
        <v>74.94</v>
      </c>
      <c r="G32" s="2959" t="s">
        <v>3175</v>
      </c>
      <c r="H32" s="2959" t="s">
        <v>3162</v>
      </c>
      <c r="I32" s="2960">
        <v>99.81</v>
      </c>
      <c r="J32" s="2960">
        <v>74.97</v>
      </c>
      <c r="K32" s="2961" t="s">
        <v>3162</v>
      </c>
      <c r="L32" s="2959" t="s">
        <v>3162</v>
      </c>
      <c r="M32" s="2960">
        <v>5316457</v>
      </c>
      <c r="N32" s="2959" t="s">
        <v>3132</v>
      </c>
      <c r="O32" s="2959" t="s">
        <v>3095</v>
      </c>
      <c r="P32" s="2962" t="s">
        <v>3092</v>
      </c>
      <c r="Q32" s="2962" t="s">
        <v>3092</v>
      </c>
      <c r="R32" s="2963"/>
      <c r="S32" s="2963"/>
      <c r="T32" s="2960">
        <v>-2127</v>
      </c>
      <c r="U32" s="2963"/>
      <c r="V32" s="2964"/>
      <c r="W32" s="2965"/>
      <c r="X32" s="2963"/>
      <c r="Y32" s="2965"/>
      <c r="Z32" s="2964"/>
      <c r="AA32" s="2964"/>
      <c r="AB32" s="2964"/>
      <c r="AC32">
        <f t="shared" si="1"/>
        <v>52995</v>
      </c>
    </row>
    <row r="33" spans="1:29" ht="20.100000000000001" customHeight="1">
      <c r="A33" s="2959" t="s">
        <v>3176</v>
      </c>
      <c r="B33" s="2959" t="s">
        <v>3547</v>
      </c>
      <c r="C33" s="2972" t="str">
        <f t="shared" si="0"/>
        <v>3</v>
      </c>
      <c r="D33" s="2959">
        <v>141</v>
      </c>
      <c r="E33" s="2971">
        <f>VLOOKUP(D33,[3]房屋建筑面积分户计算明晰表!$A$7:$B$105,2,0)</f>
        <v>108.17</v>
      </c>
      <c r="F33" s="2971">
        <f>VLOOKUP(D33,[3]房屋建筑面积分户计算明晰表!$A$7:$C$105,3,0)</f>
        <v>92.67</v>
      </c>
      <c r="G33" s="2959" t="s">
        <v>3177</v>
      </c>
      <c r="H33" s="2959" t="s">
        <v>3162</v>
      </c>
      <c r="I33" s="2960">
        <v>107.4</v>
      </c>
      <c r="J33" s="2960">
        <v>92.79</v>
      </c>
      <c r="K33" s="2961" t="s">
        <v>3162</v>
      </c>
      <c r="L33" s="2959" t="s">
        <v>3162</v>
      </c>
      <c r="M33" s="2960">
        <v>6734376</v>
      </c>
      <c r="N33" s="2959" t="s">
        <v>3132</v>
      </c>
      <c r="O33" s="2959" t="s">
        <v>3095</v>
      </c>
      <c r="P33" s="2962" t="s">
        <v>3092</v>
      </c>
      <c r="Q33" s="2962" t="s">
        <v>3092</v>
      </c>
      <c r="R33" s="2963"/>
      <c r="S33" s="2963"/>
      <c r="T33" s="2960">
        <v>-8709</v>
      </c>
      <c r="U33" s="2963"/>
      <c r="V33" s="2964"/>
      <c r="W33" s="2965"/>
      <c r="X33" s="2963"/>
      <c r="Y33" s="2965"/>
      <c r="Z33" s="2964"/>
      <c r="AA33" s="2964"/>
      <c r="AB33" s="2964"/>
      <c r="AC33">
        <f t="shared" si="1"/>
        <v>62257</v>
      </c>
    </row>
    <row r="34" spans="1:29" ht="20.100000000000001" customHeight="1">
      <c r="A34" s="2959" t="s">
        <v>3086</v>
      </c>
      <c r="B34" s="2959" t="s">
        <v>3548</v>
      </c>
      <c r="C34" s="2970" t="str">
        <f t="shared" si="0"/>
        <v>2</v>
      </c>
      <c r="D34" s="2959">
        <v>-110</v>
      </c>
      <c r="E34" s="2971">
        <f>VLOOKUP(D34,[2]Sheet1!$A$2:$B$330,2,0)</f>
        <v>61.9</v>
      </c>
      <c r="F34" s="2971">
        <f>VLOOKUP(D34,[2]房屋建筑面积分户计算明晰表!$A$2:$C$330,3,0)</f>
        <v>45.93</v>
      </c>
      <c r="G34" s="2959" t="s">
        <v>3087</v>
      </c>
      <c r="H34" s="2959" t="s">
        <v>3088</v>
      </c>
      <c r="I34" s="2960">
        <v>61.54</v>
      </c>
      <c r="J34" s="2960">
        <v>45.64</v>
      </c>
      <c r="K34" s="2961" t="s">
        <v>3089</v>
      </c>
      <c r="L34" s="2959" t="s">
        <v>3089</v>
      </c>
      <c r="M34" s="2960">
        <v>3786514</v>
      </c>
      <c r="N34" s="2959" t="s">
        <v>3090</v>
      </c>
      <c r="O34" s="2959" t="s">
        <v>3091</v>
      </c>
      <c r="P34" s="2962" t="s">
        <v>3092</v>
      </c>
      <c r="Q34" s="2962" t="s">
        <v>3092</v>
      </c>
      <c r="R34" s="2963"/>
      <c r="S34" s="2962" t="s">
        <v>3089</v>
      </c>
      <c r="T34" s="2960">
        <v>24060</v>
      </c>
      <c r="U34" s="2963"/>
      <c r="V34" s="2964"/>
      <c r="W34" s="2965"/>
      <c r="X34" s="2963"/>
      <c r="Y34" s="2965"/>
      <c r="Z34" s="2964"/>
      <c r="AA34" s="2964"/>
      <c r="AB34" s="2964"/>
      <c r="AC34">
        <f t="shared" si="1"/>
        <v>61171</v>
      </c>
    </row>
    <row r="35" spans="1:29" ht="20.100000000000001" customHeight="1">
      <c r="A35" s="2959" t="s">
        <v>3238</v>
      </c>
      <c r="B35" s="2959" t="s">
        <v>3549</v>
      </c>
      <c r="C35" s="2970" t="str">
        <f t="shared" si="0"/>
        <v>2</v>
      </c>
      <c r="D35" s="2959">
        <v>301</v>
      </c>
      <c r="E35" s="2971">
        <f>VLOOKUP(D35,[2]Sheet1!$A$2:$B$330,2,0)</f>
        <v>63.74</v>
      </c>
      <c r="F35" s="2971">
        <f>VLOOKUP(D35,[2]房屋建筑面积分户计算明晰表!$A$2:$C$330,3,0)</f>
        <v>40.26</v>
      </c>
      <c r="G35" s="2959" t="s">
        <v>3239</v>
      </c>
      <c r="H35" s="2959" t="s">
        <v>3234</v>
      </c>
      <c r="I35" s="2960">
        <v>63.18</v>
      </c>
      <c r="J35" s="2960">
        <v>40</v>
      </c>
      <c r="K35" s="2961" t="s">
        <v>3234</v>
      </c>
      <c r="L35" s="2959" t="s">
        <v>3207</v>
      </c>
      <c r="M35" s="2960">
        <v>3229389</v>
      </c>
      <c r="N35" s="2959" t="s">
        <v>3090</v>
      </c>
      <c r="O35" s="2959" t="s">
        <v>3111</v>
      </c>
      <c r="P35" s="2962" t="s">
        <v>3092</v>
      </c>
      <c r="Q35" s="2962" t="s">
        <v>3092</v>
      </c>
      <c r="R35" s="2963"/>
      <c r="S35" s="2962" t="s">
        <v>3126</v>
      </c>
      <c r="T35" s="2960">
        <v>20991</v>
      </c>
      <c r="U35" s="2963"/>
      <c r="V35" s="2964"/>
      <c r="W35" s="2965"/>
      <c r="X35" s="2963"/>
      <c r="Y35" s="2965"/>
      <c r="Z35" s="2964"/>
      <c r="AA35" s="2964"/>
      <c r="AB35" s="2964"/>
      <c r="AC35">
        <f t="shared" si="1"/>
        <v>50665</v>
      </c>
    </row>
    <row r="36" spans="1:29" ht="20.100000000000001" customHeight="1">
      <c r="A36" s="2959" t="s">
        <v>3172</v>
      </c>
      <c r="B36" s="2959" t="s">
        <v>3550</v>
      </c>
      <c r="C36" s="2970" t="str">
        <f t="shared" si="0"/>
        <v>2</v>
      </c>
      <c r="D36" s="2959">
        <v>337</v>
      </c>
      <c r="E36" s="2971">
        <f>VLOOKUP(D36,[2]Sheet1!$A$2:$B$330,2,0)</f>
        <v>63.77</v>
      </c>
      <c r="F36" s="2971">
        <f>VLOOKUP(D36,[2]房屋建筑面积分户计算明晰表!$A$2:$C$330,3,0)</f>
        <v>40.28</v>
      </c>
      <c r="G36" s="2959" t="s">
        <v>3173</v>
      </c>
      <c r="H36" s="2959" t="s">
        <v>3162</v>
      </c>
      <c r="I36" s="2960">
        <v>62.43</v>
      </c>
      <c r="J36" s="2960">
        <v>39.53</v>
      </c>
      <c r="K36" s="2961" t="s">
        <v>3159</v>
      </c>
      <c r="L36" s="2959" t="s">
        <v>3159</v>
      </c>
      <c r="M36" s="2960">
        <v>3483281</v>
      </c>
      <c r="N36" s="2959" t="s">
        <v>3090</v>
      </c>
      <c r="O36" s="2959" t="s">
        <v>3095</v>
      </c>
      <c r="P36" s="2962" t="s">
        <v>3092</v>
      </c>
      <c r="Q36" s="2962" t="s">
        <v>3092</v>
      </c>
      <c r="R36" s="2963"/>
      <c r="S36" s="2962" t="s">
        <v>3163</v>
      </c>
      <c r="T36" s="2960">
        <v>66088</v>
      </c>
      <c r="U36" s="2963"/>
      <c r="V36" s="2964"/>
      <c r="W36" s="2965"/>
      <c r="X36" s="2963"/>
      <c r="Y36" s="2965"/>
      <c r="Z36" s="2964"/>
      <c r="AA36" s="2964"/>
      <c r="AB36" s="2964"/>
      <c r="AC36">
        <f t="shared" si="1"/>
        <v>54623</v>
      </c>
    </row>
    <row r="37" spans="1:29" ht="20.100000000000001" customHeight="1">
      <c r="A37" s="2959" t="s">
        <v>3240</v>
      </c>
      <c r="B37" s="2959" t="s">
        <v>3551</v>
      </c>
      <c r="C37" s="2970" t="str">
        <f t="shared" si="0"/>
        <v>2</v>
      </c>
      <c r="D37" s="2959">
        <v>302</v>
      </c>
      <c r="E37" s="2971">
        <f>VLOOKUP(D37,[2]Sheet1!$A$2:$B$330,2,0)</f>
        <v>64.599999999999994</v>
      </c>
      <c r="F37" s="2971">
        <f>VLOOKUP(D37,[2]房屋建筑面积分户计算明晰表!$A$2:$C$330,3,0)</f>
        <v>40.799999999999997</v>
      </c>
      <c r="G37" s="2959" t="s">
        <v>3241</v>
      </c>
      <c r="H37" s="2959" t="s">
        <v>3234</v>
      </c>
      <c r="I37" s="2960">
        <v>64.03</v>
      </c>
      <c r="J37" s="2960">
        <v>40.54</v>
      </c>
      <c r="K37" s="2961" t="s">
        <v>3234</v>
      </c>
      <c r="L37" s="2959" t="s">
        <v>3207</v>
      </c>
      <c r="M37" s="2960">
        <v>3273596</v>
      </c>
      <c r="N37" s="2959" t="s">
        <v>3090</v>
      </c>
      <c r="O37" s="2959" t="s">
        <v>3111</v>
      </c>
      <c r="P37" s="2962" t="s">
        <v>3092</v>
      </c>
      <c r="Q37" s="2962" t="s">
        <v>3092</v>
      </c>
      <c r="R37" s="2963"/>
      <c r="S37" s="2962" t="s">
        <v>3126</v>
      </c>
      <c r="T37" s="2960">
        <v>20995</v>
      </c>
      <c r="U37" s="2963"/>
      <c r="V37" s="2964"/>
      <c r="W37" s="2965"/>
      <c r="X37" s="2963"/>
      <c r="Y37" s="2965"/>
      <c r="Z37" s="2964"/>
      <c r="AA37" s="2964"/>
      <c r="AB37" s="2964"/>
      <c r="AC37">
        <f t="shared" si="1"/>
        <v>50675</v>
      </c>
    </row>
    <row r="38" spans="1:29" ht="20.100000000000001" customHeight="1">
      <c r="A38" s="2959" t="s">
        <v>3201</v>
      </c>
      <c r="B38" s="2959" t="s">
        <v>3552</v>
      </c>
      <c r="C38" s="2970" t="str">
        <f t="shared" si="0"/>
        <v>2</v>
      </c>
      <c r="D38" s="2959">
        <v>344</v>
      </c>
      <c r="E38" s="2971">
        <f>VLOOKUP(D38,[2]Sheet1!$A$2:$B$330,2,0)</f>
        <v>64.599999999999994</v>
      </c>
      <c r="F38" s="2971">
        <f>VLOOKUP(D38,[2]房屋建筑面积分户计算明晰表!$A$2:$C$330,3,0)</f>
        <v>40.799999999999997</v>
      </c>
      <c r="G38" s="2959" t="s">
        <v>3202</v>
      </c>
      <c r="H38" s="2959" t="s">
        <v>3203</v>
      </c>
      <c r="I38" s="2960">
        <v>64.03</v>
      </c>
      <c r="J38" s="2960">
        <v>40.54</v>
      </c>
      <c r="K38" s="2961" t="s">
        <v>3204</v>
      </c>
      <c r="L38" s="2959" t="s">
        <v>3204</v>
      </c>
      <c r="M38" s="2960">
        <v>3399656</v>
      </c>
      <c r="N38" s="2959" t="s">
        <v>3090</v>
      </c>
      <c r="O38" s="2959" t="s">
        <v>3200</v>
      </c>
      <c r="P38" s="2962" t="s">
        <v>3092</v>
      </c>
      <c r="Q38" s="2962" t="s">
        <v>3092</v>
      </c>
      <c r="R38" s="2963"/>
      <c r="S38" s="2962" t="s">
        <v>3204</v>
      </c>
      <c r="T38" s="2960">
        <v>21803</v>
      </c>
      <c r="U38" s="2963"/>
      <c r="V38" s="2964"/>
      <c r="W38" s="2965"/>
      <c r="X38" s="2963"/>
      <c r="Y38" s="2965"/>
      <c r="Z38" s="2964"/>
      <c r="AA38" s="2964"/>
      <c r="AB38" s="2964"/>
      <c r="AC38">
        <f t="shared" si="1"/>
        <v>52626</v>
      </c>
    </row>
    <row r="39" spans="1:29" ht="20.100000000000001" customHeight="1">
      <c r="A39" s="2959" t="s">
        <v>3366</v>
      </c>
      <c r="B39" s="2959" t="s">
        <v>3553</v>
      </c>
      <c r="C39" s="2970" t="str">
        <f t="shared" si="0"/>
        <v>2</v>
      </c>
      <c r="D39" s="2959">
        <v>129</v>
      </c>
      <c r="E39" s="2971">
        <f>VLOOKUP(D39,[2]Sheet1!$A$2:$B$330,2,0)</f>
        <v>69.7</v>
      </c>
      <c r="F39" s="2971">
        <f>VLOOKUP(D39,[2]房屋建筑面积分户计算明晰表!$A$2:$C$330,3,0)</f>
        <v>59.71</v>
      </c>
      <c r="G39" s="2959" t="s">
        <v>3367</v>
      </c>
      <c r="H39" s="2959" t="s">
        <v>3354</v>
      </c>
      <c r="I39" s="2960">
        <v>69.260000000000005</v>
      </c>
      <c r="J39" s="2960">
        <v>59.84</v>
      </c>
      <c r="K39" s="2961" t="s">
        <v>3347</v>
      </c>
      <c r="L39" s="2959" t="s">
        <v>3347</v>
      </c>
      <c r="M39" s="2960">
        <v>7974771</v>
      </c>
      <c r="N39" s="2959" t="s">
        <v>3090</v>
      </c>
      <c r="O39" s="2959" t="s">
        <v>3095</v>
      </c>
      <c r="P39" s="2962" t="s">
        <v>3092</v>
      </c>
      <c r="Q39" s="2962" t="s">
        <v>3092</v>
      </c>
      <c r="R39" s="2963"/>
      <c r="S39" s="2962" t="s">
        <v>3098</v>
      </c>
      <c r="T39" s="2960">
        <v>-17325</v>
      </c>
      <c r="U39" s="2963"/>
      <c r="V39" s="2964"/>
      <c r="W39" s="2965"/>
      <c r="X39" s="2963"/>
      <c r="Y39" s="2965"/>
      <c r="Z39" s="2964"/>
      <c r="AA39" s="2964"/>
      <c r="AB39" s="2964"/>
      <c r="AC39">
        <f t="shared" si="1"/>
        <v>114416</v>
      </c>
    </row>
    <row r="40" spans="1:29" ht="20.100000000000001" customHeight="1">
      <c r="A40" s="2959" t="s">
        <v>3258</v>
      </c>
      <c r="B40" s="2959" t="s">
        <v>3554</v>
      </c>
      <c r="C40" s="2970" t="str">
        <f t="shared" si="0"/>
        <v>2</v>
      </c>
      <c r="D40" s="2959">
        <v>303</v>
      </c>
      <c r="E40" s="2971">
        <f>VLOOKUP(D40,[2]Sheet1!$A$2:$B$330,2,0)</f>
        <v>69.760000000000005</v>
      </c>
      <c r="F40" s="2971">
        <f>VLOOKUP(D40,[2]房屋建筑面积分户计算明晰表!$A$2:$C$330,3,0)</f>
        <v>44.06</v>
      </c>
      <c r="G40" s="2959" t="s">
        <v>3259</v>
      </c>
      <c r="H40" s="2959" t="s">
        <v>3234</v>
      </c>
      <c r="I40" s="2960">
        <v>69.150000000000006</v>
      </c>
      <c r="J40" s="2960">
        <v>43.78</v>
      </c>
      <c r="K40" s="2961" t="s">
        <v>3234</v>
      </c>
      <c r="L40" s="2959" t="s">
        <v>3223</v>
      </c>
      <c r="M40" s="2960">
        <v>3503755</v>
      </c>
      <c r="N40" s="2959" t="s">
        <v>3090</v>
      </c>
      <c r="O40" s="2959" t="s">
        <v>3152</v>
      </c>
      <c r="P40" s="2962" t="s">
        <v>3092</v>
      </c>
      <c r="Q40" s="2962" t="s">
        <v>3092</v>
      </c>
      <c r="R40" s="2963"/>
      <c r="S40" s="2962" t="s">
        <v>3234</v>
      </c>
      <c r="T40" s="2960">
        <v>22409</v>
      </c>
      <c r="U40" s="2963"/>
      <c r="V40" s="2964"/>
      <c r="W40" s="2965"/>
      <c r="X40" s="2963"/>
      <c r="Y40" s="2965"/>
      <c r="Z40" s="2964"/>
      <c r="AA40" s="2964"/>
      <c r="AB40" s="2964"/>
      <c r="AC40">
        <f t="shared" si="1"/>
        <v>50226</v>
      </c>
    </row>
    <row r="41" spans="1:29" ht="20.100000000000001" customHeight="1">
      <c r="A41" s="2959" t="s">
        <v>3260</v>
      </c>
      <c r="B41" s="2959" t="s">
        <v>3555</v>
      </c>
      <c r="C41" s="2970" t="str">
        <f t="shared" si="0"/>
        <v>2</v>
      </c>
      <c r="D41" s="2959">
        <v>304</v>
      </c>
      <c r="E41" s="2971">
        <f>VLOOKUP(D41,[2]Sheet1!$A$2:$B$330,2,0)</f>
        <v>69.760000000000005</v>
      </c>
      <c r="F41" s="2971">
        <f>VLOOKUP(D41,[2]房屋建筑面积分户计算明晰表!$A$2:$C$330,3,0)</f>
        <v>44.06</v>
      </c>
      <c r="G41" s="2959" t="s">
        <v>3261</v>
      </c>
      <c r="H41" s="2959" t="s">
        <v>3234</v>
      </c>
      <c r="I41" s="2960">
        <v>69.150000000000006</v>
      </c>
      <c r="J41" s="2960">
        <v>43.78</v>
      </c>
      <c r="K41" s="2961" t="s">
        <v>3234</v>
      </c>
      <c r="L41" s="2959" t="s">
        <v>3223</v>
      </c>
      <c r="M41" s="2960">
        <v>3503755</v>
      </c>
      <c r="N41" s="2959" t="s">
        <v>3090</v>
      </c>
      <c r="O41" s="2959" t="s">
        <v>3152</v>
      </c>
      <c r="P41" s="2962" t="s">
        <v>3092</v>
      </c>
      <c r="Q41" s="2962" t="s">
        <v>3092</v>
      </c>
      <c r="R41" s="2963"/>
      <c r="S41" s="2962" t="s">
        <v>3234</v>
      </c>
      <c r="T41" s="2960">
        <v>22409</v>
      </c>
      <c r="U41" s="2963"/>
      <c r="V41" s="2964"/>
      <c r="W41" s="2965"/>
      <c r="X41" s="2963"/>
      <c r="Y41" s="2965"/>
      <c r="Z41" s="2964"/>
      <c r="AA41" s="2964"/>
      <c r="AB41" s="2964"/>
      <c r="AC41">
        <f t="shared" si="1"/>
        <v>50226</v>
      </c>
    </row>
    <row r="42" spans="1:29" ht="20.100000000000001" customHeight="1">
      <c r="A42" s="2959" t="s">
        <v>3248</v>
      </c>
      <c r="B42" s="2959" t="s">
        <v>3556</v>
      </c>
      <c r="C42" s="2970" t="str">
        <f t="shared" si="0"/>
        <v>2</v>
      </c>
      <c r="D42" s="2959">
        <v>305</v>
      </c>
      <c r="E42" s="2971">
        <f>VLOOKUP(D42,[2]Sheet1!$A$2:$B$330,2,0)</f>
        <v>69.760000000000005</v>
      </c>
      <c r="F42" s="2971">
        <f>VLOOKUP(D42,[2]房屋建筑面积分户计算明晰表!$A$2:$C$330,3,0)</f>
        <v>44.06</v>
      </c>
      <c r="G42" s="2959" t="s">
        <v>3249</v>
      </c>
      <c r="H42" s="2959" t="s">
        <v>3250</v>
      </c>
      <c r="I42" s="2960">
        <v>69.150000000000006</v>
      </c>
      <c r="J42" s="2960">
        <v>43.78</v>
      </c>
      <c r="K42" s="2961" t="s">
        <v>3234</v>
      </c>
      <c r="L42" s="2959" t="s">
        <v>3251</v>
      </c>
      <c r="M42" s="2960">
        <v>3437123</v>
      </c>
      <c r="N42" s="2959" t="s">
        <v>3194</v>
      </c>
      <c r="O42" s="2959" t="s">
        <v>3152</v>
      </c>
      <c r="P42" s="2962" t="s">
        <v>3092</v>
      </c>
      <c r="Q42" s="2962" t="s">
        <v>3092</v>
      </c>
      <c r="R42" s="2963"/>
      <c r="S42" s="2962" t="s">
        <v>3235</v>
      </c>
      <c r="T42" s="2960">
        <v>21983</v>
      </c>
      <c r="U42" s="2963"/>
      <c r="V42" s="2964"/>
      <c r="W42" s="2965"/>
      <c r="X42" s="2963"/>
      <c r="Y42" s="2965"/>
      <c r="Z42" s="2964"/>
      <c r="AA42" s="2964"/>
      <c r="AB42" s="2964"/>
      <c r="AC42">
        <f t="shared" si="1"/>
        <v>49271</v>
      </c>
    </row>
    <row r="43" spans="1:29" ht="20.100000000000001" customHeight="1">
      <c r="A43" s="2959" t="s">
        <v>3178</v>
      </c>
      <c r="B43" s="2959" t="s">
        <v>3557</v>
      </c>
      <c r="C43" s="2970" t="str">
        <f t="shared" si="0"/>
        <v>2</v>
      </c>
      <c r="D43" s="2959">
        <v>339</v>
      </c>
      <c r="E43" s="2971">
        <f>VLOOKUP(D43,[2]Sheet1!$A$2:$B$330,2,0)</f>
        <v>69.760000000000005</v>
      </c>
      <c r="F43" s="2971">
        <f>VLOOKUP(D43,[2]房屋建筑面积分户计算明晰表!$A$2:$C$330,3,0)</f>
        <v>44.06</v>
      </c>
      <c r="G43" s="2959" t="s">
        <v>3179</v>
      </c>
      <c r="H43" s="2959" t="s">
        <v>3180</v>
      </c>
      <c r="I43" s="2960">
        <v>69.150000000000006</v>
      </c>
      <c r="J43" s="2960">
        <v>43.78</v>
      </c>
      <c r="K43" s="2961" t="s">
        <v>3181</v>
      </c>
      <c r="L43" s="2959" t="s">
        <v>3182</v>
      </c>
      <c r="M43" s="2960">
        <v>3725052</v>
      </c>
      <c r="N43" s="2959" t="s">
        <v>3183</v>
      </c>
      <c r="O43" s="2959" t="s">
        <v>3095</v>
      </c>
      <c r="P43" s="2962" t="s">
        <v>3092</v>
      </c>
      <c r="Q43" s="2962" t="s">
        <v>3092</v>
      </c>
      <c r="R43" s="2963"/>
      <c r="S43" s="2962" t="s">
        <v>3104</v>
      </c>
      <c r="T43" s="2960">
        <v>23824</v>
      </c>
      <c r="U43" s="2963"/>
      <c r="V43" s="2964"/>
      <c r="W43" s="2965"/>
      <c r="X43" s="2963"/>
      <c r="Y43" s="2965"/>
      <c r="Z43" s="2964"/>
      <c r="AA43" s="2964"/>
      <c r="AB43" s="2964"/>
      <c r="AC43">
        <f t="shared" si="1"/>
        <v>53398</v>
      </c>
    </row>
    <row r="44" spans="1:29" ht="20.100000000000001" customHeight="1">
      <c r="A44" s="2959" t="s">
        <v>3184</v>
      </c>
      <c r="B44" s="2959" t="s">
        <v>3558</v>
      </c>
      <c r="C44" s="2970" t="str">
        <f t="shared" si="0"/>
        <v>2</v>
      </c>
      <c r="D44" s="2959">
        <v>340</v>
      </c>
      <c r="E44" s="2971">
        <f>VLOOKUP(D44,[2]Sheet1!$A$2:$B$330,2,0)</f>
        <v>69.760000000000005</v>
      </c>
      <c r="F44" s="2971">
        <f>VLOOKUP(D44,[2]房屋建筑面积分户计算明晰表!$A$2:$C$330,3,0)</f>
        <v>44.06</v>
      </c>
      <c r="G44" s="2959" t="s">
        <v>3185</v>
      </c>
      <c r="H44" s="2959" t="s">
        <v>3180</v>
      </c>
      <c r="I44" s="2960">
        <v>69.150000000000006</v>
      </c>
      <c r="J44" s="2960">
        <v>43.78</v>
      </c>
      <c r="K44" s="2961" t="s">
        <v>3181</v>
      </c>
      <c r="L44" s="2959" t="s">
        <v>3182</v>
      </c>
      <c r="M44" s="2960">
        <v>3725052</v>
      </c>
      <c r="N44" s="2959" t="s">
        <v>3183</v>
      </c>
      <c r="O44" s="2959" t="s">
        <v>3095</v>
      </c>
      <c r="P44" s="2962" t="s">
        <v>3092</v>
      </c>
      <c r="Q44" s="2962" t="s">
        <v>3092</v>
      </c>
      <c r="R44" s="2963"/>
      <c r="S44" s="2962" t="s">
        <v>3104</v>
      </c>
      <c r="T44" s="2960">
        <v>23824</v>
      </c>
      <c r="U44" s="2963"/>
      <c r="V44" s="2964"/>
      <c r="W44" s="2965"/>
      <c r="X44" s="2963"/>
      <c r="Y44" s="2965"/>
      <c r="Z44" s="2964"/>
      <c r="AA44" s="2964"/>
      <c r="AB44" s="2964"/>
      <c r="AC44">
        <f t="shared" si="1"/>
        <v>53398</v>
      </c>
    </row>
    <row r="45" spans="1:29" ht="20.100000000000001" customHeight="1">
      <c r="A45" s="2959" t="s">
        <v>3186</v>
      </c>
      <c r="B45" s="2959" t="s">
        <v>3559</v>
      </c>
      <c r="C45" s="2970" t="str">
        <f t="shared" si="0"/>
        <v>2</v>
      </c>
      <c r="D45" s="2959">
        <v>341</v>
      </c>
      <c r="E45" s="2971">
        <f>VLOOKUP(D45,[2]Sheet1!$A$2:$B$330,2,0)</f>
        <v>69.760000000000005</v>
      </c>
      <c r="F45" s="2971">
        <f>VLOOKUP(D45,[2]房屋建筑面积分户计算明晰表!$A$2:$C$330,3,0)</f>
        <v>44.06</v>
      </c>
      <c r="G45" s="2959" t="s">
        <v>3187</v>
      </c>
      <c r="H45" s="2959" t="s">
        <v>3180</v>
      </c>
      <c r="I45" s="2960">
        <v>69.150000000000006</v>
      </c>
      <c r="J45" s="2960">
        <v>43.78</v>
      </c>
      <c r="K45" s="2961" t="s">
        <v>3181</v>
      </c>
      <c r="L45" s="2959" t="s">
        <v>3182</v>
      </c>
      <c r="M45" s="2960">
        <v>3725052</v>
      </c>
      <c r="N45" s="2959" t="s">
        <v>3183</v>
      </c>
      <c r="O45" s="2959" t="s">
        <v>3095</v>
      </c>
      <c r="P45" s="2962" t="s">
        <v>3092</v>
      </c>
      <c r="Q45" s="2962" t="s">
        <v>3092</v>
      </c>
      <c r="R45" s="2963"/>
      <c r="S45" s="2962" t="s">
        <v>3104</v>
      </c>
      <c r="T45" s="2960">
        <v>23824</v>
      </c>
      <c r="U45" s="2963"/>
      <c r="V45" s="2964"/>
      <c r="W45" s="2965"/>
      <c r="X45" s="2963"/>
      <c r="Y45" s="2965"/>
      <c r="Z45" s="2964"/>
      <c r="AA45" s="2964"/>
      <c r="AB45" s="2964"/>
      <c r="AC45">
        <f t="shared" si="1"/>
        <v>53398</v>
      </c>
    </row>
    <row r="46" spans="1:29" ht="20.100000000000001" customHeight="1">
      <c r="A46" s="2959" t="s">
        <v>3188</v>
      </c>
      <c r="B46" s="2959" t="s">
        <v>3560</v>
      </c>
      <c r="C46" s="2970" t="str">
        <f t="shared" si="0"/>
        <v>2</v>
      </c>
      <c r="D46" s="2959">
        <v>342</v>
      </c>
      <c r="E46" s="2971">
        <f>VLOOKUP(D46,[2]Sheet1!$A$2:$B$330,2,0)</f>
        <v>69.760000000000005</v>
      </c>
      <c r="F46" s="2971">
        <f>VLOOKUP(D46,[2]房屋建筑面积分户计算明晰表!$A$2:$C$330,3,0)</f>
        <v>44.06</v>
      </c>
      <c r="G46" s="2959" t="s">
        <v>3189</v>
      </c>
      <c r="H46" s="2959" t="s">
        <v>3180</v>
      </c>
      <c r="I46" s="2960">
        <v>69.150000000000006</v>
      </c>
      <c r="J46" s="2960">
        <v>43.78</v>
      </c>
      <c r="K46" s="2961" t="s">
        <v>3181</v>
      </c>
      <c r="L46" s="2959" t="s">
        <v>3182</v>
      </c>
      <c r="M46" s="2960">
        <v>3725052</v>
      </c>
      <c r="N46" s="2959" t="s">
        <v>3183</v>
      </c>
      <c r="O46" s="2959" t="s">
        <v>3095</v>
      </c>
      <c r="P46" s="2962" t="s">
        <v>3092</v>
      </c>
      <c r="Q46" s="2962" t="s">
        <v>3092</v>
      </c>
      <c r="R46" s="2963"/>
      <c r="S46" s="2962" t="s">
        <v>3104</v>
      </c>
      <c r="T46" s="2960">
        <v>23824</v>
      </c>
      <c r="U46" s="2963"/>
      <c r="V46" s="2964"/>
      <c r="W46" s="2965"/>
      <c r="X46" s="2963"/>
      <c r="Y46" s="2965"/>
      <c r="Z46" s="2964"/>
      <c r="AA46" s="2964"/>
      <c r="AB46" s="2964"/>
      <c r="AC46">
        <f t="shared" si="1"/>
        <v>53398</v>
      </c>
    </row>
    <row r="47" spans="1:29" ht="20.100000000000001" customHeight="1">
      <c r="A47" s="2959" t="s">
        <v>3224</v>
      </c>
      <c r="B47" s="2959" t="s">
        <v>3561</v>
      </c>
      <c r="C47" s="2972" t="str">
        <f t="shared" si="0"/>
        <v>3</v>
      </c>
      <c r="D47" s="2959">
        <v>230</v>
      </c>
      <c r="E47" s="2971">
        <f>VLOOKUP(D47,[3]房屋建筑面积分户计算明晰表!$A$7:$B$105,2,0)</f>
        <v>255.37</v>
      </c>
      <c r="F47" s="2971">
        <f>VLOOKUP(D47,[3]房屋建筑面积分户计算明晰表!$A$7:$C$105,3,0)</f>
        <v>190.76</v>
      </c>
      <c r="G47" s="2959" t="s">
        <v>3225</v>
      </c>
      <c r="H47" s="2959" t="s">
        <v>3226</v>
      </c>
      <c r="I47" s="2960">
        <v>256.99</v>
      </c>
      <c r="J47" s="2960">
        <v>193.03</v>
      </c>
      <c r="K47" s="2961" t="s">
        <v>3222</v>
      </c>
      <c r="L47" s="2959" t="s">
        <v>3197</v>
      </c>
      <c r="M47" s="2960">
        <v>17049366</v>
      </c>
      <c r="N47" s="2959" t="s">
        <v>3090</v>
      </c>
      <c r="O47" s="2959" t="s">
        <v>3095</v>
      </c>
      <c r="P47" s="2962" t="s">
        <v>3092</v>
      </c>
      <c r="Q47" s="2962" t="s">
        <v>3092</v>
      </c>
      <c r="R47" s="2963"/>
      <c r="S47" s="2962" t="s">
        <v>3222</v>
      </c>
      <c r="T47" s="2960">
        <v>-200498</v>
      </c>
      <c r="U47" s="2963"/>
      <c r="V47" s="2964"/>
      <c r="W47" s="2965"/>
      <c r="X47" s="2963"/>
      <c r="Y47" s="2965"/>
      <c r="Z47" s="2964"/>
      <c r="AA47" s="2964"/>
      <c r="AB47" s="2964"/>
      <c r="AC47">
        <f t="shared" si="1"/>
        <v>66763</v>
      </c>
    </row>
    <row r="48" spans="1:29" ht="20.100000000000001" customHeight="1">
      <c r="A48" s="2959" t="s">
        <v>3481</v>
      </c>
      <c r="B48" s="2959" t="s">
        <v>3562</v>
      </c>
      <c r="C48" s="2970" t="str">
        <f t="shared" si="0"/>
        <v>2</v>
      </c>
      <c r="D48" s="2959">
        <v>-113</v>
      </c>
      <c r="E48" s="2971">
        <f>VLOOKUP(D48,[2]Sheet1!$A$2:$B$330,2,0)</f>
        <v>69.78</v>
      </c>
      <c r="F48" s="2971">
        <f>VLOOKUP(D48,[2]房屋建筑面积分户计算明晰表!$A$2:$C$330,3,0)</f>
        <v>51.78</v>
      </c>
      <c r="G48" s="2959" t="s">
        <v>3482</v>
      </c>
      <c r="H48" s="2959" t="s">
        <v>3344</v>
      </c>
      <c r="I48" s="2960">
        <v>69.58</v>
      </c>
      <c r="J48" s="2960">
        <v>51.6</v>
      </c>
      <c r="K48" s="2961" t="s">
        <v>3344</v>
      </c>
      <c r="L48" s="2959" t="s">
        <v>3344</v>
      </c>
      <c r="M48" s="2960">
        <v>3921823</v>
      </c>
      <c r="N48" s="2959" t="s">
        <v>3132</v>
      </c>
      <c r="O48" s="2959" t="s">
        <v>3111</v>
      </c>
      <c r="P48" s="2962" t="s">
        <v>3092</v>
      </c>
      <c r="Q48" s="2962" t="s">
        <v>3092</v>
      </c>
      <c r="R48" s="2963"/>
      <c r="S48" s="2962" t="s">
        <v>3409</v>
      </c>
      <c r="T48" s="2960">
        <v>13681</v>
      </c>
      <c r="U48" s="2963"/>
      <c r="V48" s="2964"/>
      <c r="W48" s="2965"/>
      <c r="X48" s="2963"/>
      <c r="Y48" s="2965"/>
      <c r="Z48" s="2964"/>
      <c r="AA48" s="2964"/>
      <c r="AB48" s="2964"/>
      <c r="AC48">
        <f t="shared" si="1"/>
        <v>56203</v>
      </c>
    </row>
    <row r="49" spans="1:29" ht="20.100000000000001" customHeight="1">
      <c r="A49" s="2959" t="s">
        <v>3444</v>
      </c>
      <c r="B49" s="2959" t="s">
        <v>3563</v>
      </c>
      <c r="C49" s="2970" t="str">
        <f t="shared" si="0"/>
        <v>2</v>
      </c>
      <c r="D49" s="2959">
        <v>-112</v>
      </c>
      <c r="E49" s="2971">
        <f>VLOOKUP(D49,[2]Sheet1!$A$2:$B$330,2,0)</f>
        <v>69.78</v>
      </c>
      <c r="F49" s="2971">
        <f>VLOOKUP(D49,[2]房屋建筑面积分户计算明晰表!$A$2:$C$330,3,0)</f>
        <v>51.78</v>
      </c>
      <c r="G49" s="2959" t="s">
        <v>3445</v>
      </c>
      <c r="H49" s="2959" t="s">
        <v>3344</v>
      </c>
      <c r="I49" s="2960">
        <v>69.58</v>
      </c>
      <c r="J49" s="2960">
        <v>51.6</v>
      </c>
      <c r="K49" s="2961" t="s">
        <v>3344</v>
      </c>
      <c r="L49" s="2959" t="s">
        <v>3344</v>
      </c>
      <c r="M49" s="2960">
        <v>3960071</v>
      </c>
      <c r="N49" s="2959" t="s">
        <v>3406</v>
      </c>
      <c r="O49" s="2959" t="s">
        <v>3152</v>
      </c>
      <c r="P49" s="2962" t="s">
        <v>3092</v>
      </c>
      <c r="Q49" s="2962" t="s">
        <v>3092</v>
      </c>
      <c r="R49" s="2963"/>
      <c r="S49" s="2962" t="s">
        <v>3208</v>
      </c>
      <c r="T49" s="2960">
        <v>13814</v>
      </c>
      <c r="U49" s="2963"/>
      <c r="V49" s="2964"/>
      <c r="W49" s="2965"/>
      <c r="X49" s="2963"/>
      <c r="Y49" s="2965"/>
      <c r="Z49" s="2964"/>
      <c r="AA49" s="2964"/>
      <c r="AB49" s="2964"/>
      <c r="AC49">
        <f t="shared" si="1"/>
        <v>56751</v>
      </c>
    </row>
    <row r="50" spans="1:29" ht="20.100000000000001" customHeight="1">
      <c r="A50" s="2959" t="s">
        <v>3209</v>
      </c>
      <c r="B50" s="2959" t="s">
        <v>3564</v>
      </c>
      <c r="C50" s="2970" t="str">
        <f t="shared" si="0"/>
        <v>2</v>
      </c>
      <c r="D50" s="2959">
        <v>-106</v>
      </c>
      <c r="E50" s="2971">
        <f>VLOOKUP(D50,[2]Sheet1!$A$2:$B$330,2,0)</f>
        <v>72.790000000000006</v>
      </c>
      <c r="F50" s="2971">
        <f>VLOOKUP(D50,[2]房屋建筑面积分户计算明晰表!$A$2:$C$330,3,0)</f>
        <v>54.01</v>
      </c>
      <c r="G50" s="2959" t="s">
        <v>3210</v>
      </c>
      <c r="H50" s="2959" t="s">
        <v>3207</v>
      </c>
      <c r="I50" s="2960">
        <v>72.569999999999993</v>
      </c>
      <c r="J50" s="2960">
        <v>53.82</v>
      </c>
      <c r="K50" s="2961" t="s">
        <v>3207</v>
      </c>
      <c r="L50" s="2959" t="s">
        <v>3207</v>
      </c>
      <c r="M50" s="2960">
        <v>3821115</v>
      </c>
      <c r="N50" s="2959" t="s">
        <v>3090</v>
      </c>
      <c r="O50" s="2959" t="s">
        <v>3152</v>
      </c>
      <c r="P50" s="2962" t="s">
        <v>3092</v>
      </c>
      <c r="Q50" s="2962" t="s">
        <v>3092</v>
      </c>
      <c r="R50" s="2963"/>
      <c r="S50" s="2962" t="s">
        <v>3207</v>
      </c>
      <c r="T50" s="2960">
        <v>13490</v>
      </c>
      <c r="U50" s="2963"/>
      <c r="V50" s="2964"/>
      <c r="W50" s="2965"/>
      <c r="X50" s="2963"/>
      <c r="Y50" s="2965"/>
      <c r="Z50" s="2964"/>
      <c r="AA50" s="2964"/>
      <c r="AB50" s="2964"/>
      <c r="AC50">
        <f t="shared" si="1"/>
        <v>52495</v>
      </c>
    </row>
    <row r="51" spans="1:29" ht="20.100000000000001" customHeight="1">
      <c r="A51" s="2959" t="s">
        <v>3485</v>
      </c>
      <c r="B51" s="2959" t="s">
        <v>3565</v>
      </c>
      <c r="C51" s="2970" t="str">
        <f t="shared" si="0"/>
        <v>2</v>
      </c>
      <c r="D51" s="2959">
        <v>117</v>
      </c>
      <c r="E51" s="2971">
        <f>VLOOKUP(D51,[2]Sheet1!$A$2:$B$330,2,0)</f>
        <v>73.349999999999994</v>
      </c>
      <c r="F51" s="2971">
        <f>VLOOKUP(D51,[2]房屋建筑面积分户计算明晰表!$A$2:$C$330,3,0)</f>
        <v>62.84</v>
      </c>
      <c r="G51" s="2959" t="s">
        <v>3486</v>
      </c>
      <c r="H51" s="2959" t="s">
        <v>3344</v>
      </c>
      <c r="I51" s="2960">
        <v>72.62</v>
      </c>
      <c r="J51" s="2960">
        <v>62.74</v>
      </c>
      <c r="K51" s="2961" t="s">
        <v>3344</v>
      </c>
      <c r="L51" s="2959" t="s">
        <v>3344</v>
      </c>
      <c r="M51" s="2960">
        <v>4963965</v>
      </c>
      <c r="N51" s="2959" t="s">
        <v>3406</v>
      </c>
      <c r="O51" s="2959" t="s">
        <v>3374</v>
      </c>
      <c r="P51" s="2962" t="s">
        <v>3092</v>
      </c>
      <c r="Q51" s="2962" t="s">
        <v>3092</v>
      </c>
      <c r="R51" s="2963"/>
      <c r="S51" s="2962" t="s">
        <v>3396</v>
      </c>
      <c r="T51" s="2960">
        <v>7912</v>
      </c>
      <c r="U51" s="2963"/>
      <c r="V51" s="2964"/>
      <c r="W51" s="2965"/>
      <c r="X51" s="2963"/>
      <c r="Y51" s="2965"/>
      <c r="Z51" s="2964"/>
      <c r="AA51" s="2964"/>
      <c r="AB51" s="2964"/>
      <c r="AC51">
        <f t="shared" si="1"/>
        <v>67675</v>
      </c>
    </row>
    <row r="52" spans="1:29" ht="20.100000000000001" customHeight="1">
      <c r="A52" s="2959" t="s">
        <v>3397</v>
      </c>
      <c r="B52" s="2959" t="s">
        <v>3566</v>
      </c>
      <c r="C52" s="2970" t="str">
        <f t="shared" si="0"/>
        <v>2</v>
      </c>
      <c r="D52" s="2959">
        <v>105</v>
      </c>
      <c r="E52" s="2971">
        <f>VLOOKUP(D52,[2]Sheet1!$A$2:$B$330,2,0)</f>
        <v>73.98</v>
      </c>
      <c r="F52" s="2971">
        <f>VLOOKUP(D52,[2]房屋建筑面积分户计算明晰表!$A$2:$C$330,3,0)</f>
        <v>63.38</v>
      </c>
      <c r="G52" s="2959" t="s">
        <v>3398</v>
      </c>
      <c r="H52" s="2959" t="s">
        <v>3347</v>
      </c>
      <c r="I52" s="2960">
        <v>73.510000000000005</v>
      </c>
      <c r="J52" s="2960">
        <v>63.51</v>
      </c>
      <c r="K52" s="2961" t="s">
        <v>3347</v>
      </c>
      <c r="L52" s="2959" t="s">
        <v>3347</v>
      </c>
      <c r="M52" s="2960">
        <v>6685731</v>
      </c>
      <c r="N52" s="2959" t="s">
        <v>3090</v>
      </c>
      <c r="O52" s="2959" t="s">
        <v>3349</v>
      </c>
      <c r="P52" s="2962" t="s">
        <v>3092</v>
      </c>
      <c r="Q52" s="2962" t="s">
        <v>3092</v>
      </c>
      <c r="R52" s="2963"/>
      <c r="S52" s="2962" t="s">
        <v>3399</v>
      </c>
      <c r="T52" s="2960">
        <v>-13685</v>
      </c>
      <c r="U52" s="2963"/>
      <c r="V52" s="2964"/>
      <c r="W52" s="2965"/>
      <c r="X52" s="2963"/>
      <c r="Y52" s="2965"/>
      <c r="Z52" s="2964"/>
      <c r="AA52" s="2964"/>
      <c r="AB52" s="2964"/>
      <c r="AC52">
        <f t="shared" si="1"/>
        <v>90372</v>
      </c>
    </row>
    <row r="53" spans="1:29" ht="20.100000000000001" customHeight="1">
      <c r="A53" s="2959" t="s">
        <v>3096</v>
      </c>
      <c r="B53" s="2959" t="s">
        <v>3567</v>
      </c>
      <c r="C53" s="2970" t="str">
        <f t="shared" si="0"/>
        <v>2</v>
      </c>
      <c r="D53" s="2959">
        <v>-125</v>
      </c>
      <c r="E53" s="2971">
        <f>VLOOKUP(D53,[2]Sheet1!$A$2:$B$330,2,0)</f>
        <v>75.28</v>
      </c>
      <c r="F53" s="2971">
        <f>VLOOKUP(D53,[2]房屋建筑面积分户计算明晰表!$A$2:$C$330,3,0)</f>
        <v>55.86</v>
      </c>
      <c r="G53" s="2959" t="s">
        <v>3097</v>
      </c>
      <c r="H53" s="2959" t="s">
        <v>3098</v>
      </c>
      <c r="I53" s="2960">
        <v>74.819999999999993</v>
      </c>
      <c r="J53" s="2960">
        <v>55.49</v>
      </c>
      <c r="K53" s="2961" t="s">
        <v>3098</v>
      </c>
      <c r="L53" s="2959" t="s">
        <v>3098</v>
      </c>
      <c r="M53" s="2960">
        <v>4050178</v>
      </c>
      <c r="N53" s="2959" t="s">
        <v>3099</v>
      </c>
      <c r="O53" s="2959" t="s">
        <v>3091</v>
      </c>
      <c r="P53" s="2962" t="s">
        <v>3092</v>
      </c>
      <c r="Q53" s="2962" t="s">
        <v>3092</v>
      </c>
      <c r="R53" s="2963"/>
      <c r="S53" s="2962" t="s">
        <v>3100</v>
      </c>
      <c r="T53" s="2960">
        <v>27006</v>
      </c>
      <c r="U53" s="2963"/>
      <c r="V53" s="2964"/>
      <c r="W53" s="2965"/>
      <c r="X53" s="2963"/>
      <c r="Y53" s="2965"/>
      <c r="Z53" s="2964"/>
      <c r="AA53" s="2964"/>
      <c r="AB53" s="2964"/>
      <c r="AC53">
        <f t="shared" si="1"/>
        <v>53802</v>
      </c>
    </row>
    <row r="54" spans="1:29" ht="20.100000000000001" customHeight="1">
      <c r="A54" s="2959" t="s">
        <v>3244</v>
      </c>
      <c r="B54" s="2959" t="s">
        <v>3568</v>
      </c>
      <c r="C54" s="2972" t="str">
        <f t="shared" si="0"/>
        <v>3</v>
      </c>
      <c r="D54" s="2959">
        <v>138</v>
      </c>
      <c r="E54" s="2971">
        <f>VLOOKUP(D54,[3]房屋建筑面积分户计算明晰表!$A$7:$B$105,2,0)</f>
        <v>117.1</v>
      </c>
      <c r="F54" s="2971">
        <f>VLOOKUP(D54,[3]房屋建筑面积分户计算明晰表!$A$7:$C$105,3,0)</f>
        <v>100.32</v>
      </c>
      <c r="G54" s="2959" t="s">
        <v>3245</v>
      </c>
      <c r="H54" s="2959" t="s">
        <v>3234</v>
      </c>
      <c r="I54" s="2960">
        <v>116.45</v>
      </c>
      <c r="J54" s="2960">
        <v>100.61</v>
      </c>
      <c r="K54" s="2961" t="s">
        <v>3234</v>
      </c>
      <c r="L54" s="2959" t="s">
        <v>3234</v>
      </c>
      <c r="M54" s="2960">
        <v>15435389</v>
      </c>
      <c r="N54" s="2959" t="s">
        <v>3090</v>
      </c>
      <c r="O54" s="2959" t="s">
        <v>3111</v>
      </c>
      <c r="P54" s="2962" t="s">
        <v>3092</v>
      </c>
      <c r="Q54" s="2962" t="s">
        <v>3092</v>
      </c>
      <c r="R54" s="2963"/>
      <c r="S54" s="2962" t="s">
        <v>3234</v>
      </c>
      <c r="T54" s="2960">
        <v>-44491</v>
      </c>
      <c r="U54" s="2963"/>
      <c r="V54" s="2964"/>
      <c r="W54" s="2965"/>
      <c r="X54" s="2963"/>
      <c r="Y54" s="2965"/>
      <c r="Z54" s="2964"/>
      <c r="AA54" s="2964"/>
      <c r="AB54" s="2964"/>
      <c r="AC54">
        <f t="shared" si="1"/>
        <v>131814</v>
      </c>
    </row>
    <row r="55" spans="1:29" ht="20.100000000000001" customHeight="1">
      <c r="A55" s="2959" t="s">
        <v>3380</v>
      </c>
      <c r="B55" s="2959" t="s">
        <v>3569</v>
      </c>
      <c r="C55" s="2970" t="str">
        <f t="shared" si="0"/>
        <v>2</v>
      </c>
      <c r="D55" s="2959">
        <v>228</v>
      </c>
      <c r="E55" s="2971">
        <f>VLOOKUP(D55,[2]Sheet1!$A$2:$B$330,2,0)</f>
        <v>75.930000000000007</v>
      </c>
      <c r="F55" s="2971">
        <f>VLOOKUP(D55,[2]房屋建筑面积分户计算明晰表!$A$2:$C$330,3,0)</f>
        <v>56.72</v>
      </c>
      <c r="G55" s="2959" t="s">
        <v>3381</v>
      </c>
      <c r="H55" s="2959" t="s">
        <v>3354</v>
      </c>
      <c r="I55" s="2960">
        <v>77</v>
      </c>
      <c r="J55" s="2960">
        <v>57.84</v>
      </c>
      <c r="K55" s="2961" t="s">
        <v>3347</v>
      </c>
      <c r="L55" s="2959" t="s">
        <v>3347</v>
      </c>
      <c r="M55" s="2960">
        <v>4069101</v>
      </c>
      <c r="N55" s="2959" t="s">
        <v>3090</v>
      </c>
      <c r="O55" s="2959" t="s">
        <v>3120</v>
      </c>
      <c r="P55" s="2962" t="s">
        <v>3092</v>
      </c>
      <c r="Q55" s="2962" t="s">
        <v>3092</v>
      </c>
      <c r="R55" s="2963"/>
      <c r="S55" s="2962" t="s">
        <v>3382</v>
      </c>
      <c r="T55" s="2960">
        <v>-78793</v>
      </c>
      <c r="U55" s="2963"/>
      <c r="V55" s="2964"/>
      <c r="W55" s="2965"/>
      <c r="X55" s="2963"/>
      <c r="Y55" s="2965"/>
      <c r="Z55" s="2964"/>
      <c r="AA55" s="2964"/>
      <c r="AB55" s="2964"/>
      <c r="AC55">
        <f t="shared" si="1"/>
        <v>53590</v>
      </c>
    </row>
    <row r="56" spans="1:29" ht="20.100000000000001" customHeight="1">
      <c r="A56" s="2959" t="s">
        <v>3470</v>
      </c>
      <c r="B56" s="2959" t="s">
        <v>3570</v>
      </c>
      <c r="C56" s="2970" t="str">
        <f t="shared" si="0"/>
        <v>2</v>
      </c>
      <c r="D56" s="2959">
        <v>-114</v>
      </c>
      <c r="E56" s="2971">
        <f>VLOOKUP(D56,[2]Sheet1!$A$2:$B$330,2,0)</f>
        <v>76.849999999999994</v>
      </c>
      <c r="F56" s="2971">
        <f>VLOOKUP(D56,[2]房屋建筑面积分户计算明晰表!$A$2:$C$330,3,0)</f>
        <v>57.02</v>
      </c>
      <c r="G56" s="2959" t="s">
        <v>3471</v>
      </c>
      <c r="H56" s="2959" t="s">
        <v>3344</v>
      </c>
      <c r="I56" s="2960">
        <v>75.959999999999994</v>
      </c>
      <c r="J56" s="2960">
        <v>56.33</v>
      </c>
      <c r="K56" s="2961" t="s">
        <v>3344</v>
      </c>
      <c r="L56" s="2959" t="s">
        <v>3344</v>
      </c>
      <c r="M56" s="2960">
        <v>4189637</v>
      </c>
      <c r="N56" s="2959" t="s">
        <v>3406</v>
      </c>
      <c r="O56" s="2959" t="s">
        <v>3111</v>
      </c>
      <c r="P56" s="2962" t="s">
        <v>3092</v>
      </c>
      <c r="Q56" s="2962" t="s">
        <v>3092</v>
      </c>
      <c r="R56" s="2963"/>
      <c r="S56" s="2962" t="s">
        <v>3385</v>
      </c>
      <c r="T56" s="2960">
        <v>51320</v>
      </c>
      <c r="U56" s="2963"/>
      <c r="V56" s="2964"/>
      <c r="W56" s="2965"/>
      <c r="X56" s="2963"/>
      <c r="Y56" s="2965"/>
      <c r="Z56" s="2964"/>
      <c r="AA56" s="2964"/>
      <c r="AB56" s="2964"/>
      <c r="AC56">
        <f t="shared" si="1"/>
        <v>54517</v>
      </c>
    </row>
    <row r="57" spans="1:29" ht="20.100000000000001" customHeight="1">
      <c r="A57" s="2959" t="s">
        <v>3386</v>
      </c>
      <c r="B57" s="2959" t="s">
        <v>3571</v>
      </c>
      <c r="C57" s="2970" t="str">
        <f t="shared" si="0"/>
        <v>2</v>
      </c>
      <c r="D57" s="2959">
        <v>104</v>
      </c>
      <c r="E57" s="2971">
        <f>VLOOKUP(D57,[2]Sheet1!$A$2:$B$330,2,0)</f>
        <v>79.72</v>
      </c>
      <c r="F57" s="2971">
        <f>VLOOKUP(D57,[2]房屋建筑面积分户计算明晰表!$A$2:$C$330,3,0)</f>
        <v>68.3</v>
      </c>
      <c r="G57" s="2959" t="s">
        <v>3387</v>
      </c>
      <c r="H57" s="2959" t="s">
        <v>3347</v>
      </c>
      <c r="I57" s="2960">
        <v>79.09</v>
      </c>
      <c r="J57" s="2960">
        <v>68.33</v>
      </c>
      <c r="K57" s="2961" t="s">
        <v>3347</v>
      </c>
      <c r="L57" s="2959" t="s">
        <v>3347</v>
      </c>
      <c r="M57" s="2960">
        <v>10834652</v>
      </c>
      <c r="N57" s="2959" t="s">
        <v>3090</v>
      </c>
      <c r="O57" s="2959" t="s">
        <v>3091</v>
      </c>
      <c r="P57" s="2962" t="s">
        <v>3092</v>
      </c>
      <c r="Q57" s="2962" t="s">
        <v>3092</v>
      </c>
      <c r="R57" s="2963"/>
      <c r="S57" s="2962" t="s">
        <v>3385</v>
      </c>
      <c r="T57" s="2960">
        <v>-4757</v>
      </c>
      <c r="U57" s="2963"/>
      <c r="V57" s="2964"/>
      <c r="W57" s="2965"/>
      <c r="X57" s="2963"/>
      <c r="Y57" s="2965"/>
      <c r="Z57" s="2964"/>
      <c r="AA57" s="2964"/>
      <c r="AB57" s="2964"/>
      <c r="AC57">
        <f t="shared" si="1"/>
        <v>135909</v>
      </c>
    </row>
    <row r="58" spans="1:29" ht="20.100000000000001" customHeight="1">
      <c r="A58" s="2959" t="s">
        <v>3402</v>
      </c>
      <c r="B58" s="2959" t="s">
        <v>3572</v>
      </c>
      <c r="C58" s="2970" t="str">
        <f t="shared" si="0"/>
        <v>2</v>
      </c>
      <c r="D58" s="2959">
        <v>-111</v>
      </c>
      <c r="E58" s="2971">
        <f>VLOOKUP(D58,[2]Sheet1!$A$2:$B$330,2,0)</f>
        <v>80.36</v>
      </c>
      <c r="F58" s="2971">
        <f>VLOOKUP(D58,[2]房屋建筑面积分户计算明晰表!$A$2:$C$330,3,0)</f>
        <v>59.63</v>
      </c>
      <c r="G58" s="2959" t="s">
        <v>3403</v>
      </c>
      <c r="H58" s="2959" t="s">
        <v>3347</v>
      </c>
      <c r="I58" s="2960">
        <v>80.22</v>
      </c>
      <c r="J58" s="2960">
        <v>59.49</v>
      </c>
      <c r="K58" s="2961" t="s">
        <v>3347</v>
      </c>
      <c r="L58" s="2959" t="s">
        <v>3347</v>
      </c>
      <c r="M58" s="2960">
        <v>4524986</v>
      </c>
      <c r="N58" s="2959" t="s">
        <v>3090</v>
      </c>
      <c r="O58" s="2959" t="s">
        <v>3095</v>
      </c>
      <c r="P58" s="2962" t="s">
        <v>3092</v>
      </c>
      <c r="Q58" s="2962" t="s">
        <v>3092</v>
      </c>
      <c r="R58" s="2963"/>
      <c r="S58" s="2962" t="s">
        <v>3230</v>
      </c>
      <c r="T58" s="2960">
        <v>10649</v>
      </c>
      <c r="U58" s="2963"/>
      <c r="V58" s="2964"/>
      <c r="W58" s="2965"/>
      <c r="X58" s="2963"/>
      <c r="Y58" s="2965"/>
      <c r="Z58" s="2964"/>
      <c r="AA58" s="2964"/>
      <c r="AB58" s="2964"/>
      <c r="AC58">
        <f t="shared" si="1"/>
        <v>56309</v>
      </c>
    </row>
    <row r="59" spans="1:29" ht="20.100000000000001" customHeight="1">
      <c r="A59" s="2959" t="s">
        <v>3507</v>
      </c>
      <c r="B59" s="2959" t="s">
        <v>3573</v>
      </c>
      <c r="C59" s="2970" t="str">
        <f t="shared" si="0"/>
        <v>2</v>
      </c>
      <c r="D59" s="2959">
        <v>223</v>
      </c>
      <c r="E59" s="2971">
        <f>VLOOKUP(D59,[2]Sheet1!$A$2:$B$330,2,0)</f>
        <v>81.03</v>
      </c>
      <c r="F59" s="2971">
        <f>VLOOKUP(D59,[2]房屋建筑面积分户计算明晰表!$A$2:$C$330,3,0)</f>
        <v>60.53</v>
      </c>
      <c r="G59" s="2959" t="s">
        <v>3508</v>
      </c>
      <c r="H59" s="2959" t="s">
        <v>3354</v>
      </c>
      <c r="I59" s="2960">
        <v>80.69</v>
      </c>
      <c r="J59" s="2960">
        <v>60.61</v>
      </c>
      <c r="K59" s="2961" t="s">
        <v>3354</v>
      </c>
      <c r="L59" s="2959" t="s">
        <v>3354</v>
      </c>
      <c r="M59" s="2960">
        <v>4557967</v>
      </c>
      <c r="N59" s="2959" t="s">
        <v>3090</v>
      </c>
      <c r="O59" s="2959" t="s">
        <v>3111</v>
      </c>
      <c r="P59" s="2962" t="s">
        <v>3092</v>
      </c>
      <c r="Q59" s="2962" t="s">
        <v>3092</v>
      </c>
      <c r="R59" s="2963"/>
      <c r="S59" s="2962" t="s">
        <v>3198</v>
      </c>
      <c r="T59" s="2960">
        <v>-6016</v>
      </c>
      <c r="U59" s="2963"/>
      <c r="V59" s="2964"/>
      <c r="W59" s="2965"/>
      <c r="X59" s="2963"/>
      <c r="Y59" s="2965"/>
      <c r="Z59" s="2964"/>
      <c r="AA59" s="2964"/>
      <c r="AB59" s="2964"/>
      <c r="AC59">
        <f t="shared" si="1"/>
        <v>56250</v>
      </c>
    </row>
    <row r="60" spans="1:29" ht="20.100000000000001" customHeight="1">
      <c r="A60" s="2959" t="s">
        <v>3463</v>
      </c>
      <c r="B60" s="2959" t="s">
        <v>3574</v>
      </c>
      <c r="C60" s="2970" t="str">
        <f t="shared" si="0"/>
        <v>2</v>
      </c>
      <c r="D60" s="2959">
        <v>216</v>
      </c>
      <c r="E60" s="2971">
        <f>VLOOKUP(D60,[2]Sheet1!$A$2:$B$330,2,0)</f>
        <v>81.86</v>
      </c>
      <c r="F60" s="2971">
        <f>VLOOKUP(D60,[2]房屋建筑面积分户计算明晰表!$A$2:$C$330,3,0)</f>
        <v>61.15</v>
      </c>
      <c r="G60" s="2959" t="s">
        <v>3464</v>
      </c>
      <c r="H60" s="2959" t="s">
        <v>3344</v>
      </c>
      <c r="I60" s="2960">
        <v>81.56</v>
      </c>
      <c r="J60" s="2960">
        <v>61.26</v>
      </c>
      <c r="K60" s="2961" t="s">
        <v>3344</v>
      </c>
      <c r="L60" s="2959" t="s">
        <v>3344</v>
      </c>
      <c r="M60" s="2960">
        <v>4035406</v>
      </c>
      <c r="N60" s="2959" t="s">
        <v>3090</v>
      </c>
      <c r="O60" s="2959" t="s">
        <v>3095</v>
      </c>
      <c r="P60" s="2962" t="s">
        <v>3092</v>
      </c>
      <c r="Q60" s="2962" t="s">
        <v>3092</v>
      </c>
      <c r="R60" s="2963"/>
      <c r="S60" s="2962" t="s">
        <v>3285</v>
      </c>
      <c r="T60" s="2960">
        <v>-7246</v>
      </c>
      <c r="U60" s="2963"/>
      <c r="V60" s="2964"/>
      <c r="W60" s="2965"/>
      <c r="X60" s="2963"/>
      <c r="Y60" s="2965"/>
      <c r="Z60" s="2964"/>
      <c r="AA60" s="2964"/>
      <c r="AB60" s="2964"/>
      <c r="AC60">
        <f t="shared" si="1"/>
        <v>49296</v>
      </c>
    </row>
    <row r="61" spans="1:29" ht="20.100000000000001" customHeight="1">
      <c r="A61" s="2959" t="s">
        <v>3205</v>
      </c>
      <c r="B61" s="2959" t="s">
        <v>3575</v>
      </c>
      <c r="C61" s="2970" t="str">
        <f t="shared" si="0"/>
        <v>2</v>
      </c>
      <c r="D61" s="2959">
        <v>-101</v>
      </c>
      <c r="E61" s="2971">
        <f>VLOOKUP(D61,[2]Sheet1!$A$2:$B$330,2,0)</f>
        <v>82.44</v>
      </c>
      <c r="F61" s="2971">
        <f>VLOOKUP(D61,[2]房屋建筑面积分户计算明晰表!$A$2:$C$330,3,0)</f>
        <v>61.17</v>
      </c>
      <c r="G61" s="2959" t="s">
        <v>3206</v>
      </c>
      <c r="H61" s="2959" t="s">
        <v>3207</v>
      </c>
      <c r="I61" s="2960">
        <v>81.22</v>
      </c>
      <c r="J61" s="2960">
        <v>60.23</v>
      </c>
      <c r="K61" s="2961" t="s">
        <v>3207</v>
      </c>
      <c r="L61" s="2959" t="s">
        <v>3159</v>
      </c>
      <c r="M61" s="2960">
        <v>4327293</v>
      </c>
      <c r="N61" s="2959" t="s">
        <v>3194</v>
      </c>
      <c r="O61" s="2959" t="s">
        <v>3091</v>
      </c>
      <c r="P61" s="2962" t="s">
        <v>3092</v>
      </c>
      <c r="Q61" s="2962" t="s">
        <v>3092</v>
      </c>
      <c r="R61" s="2963"/>
      <c r="S61" s="2962" t="s">
        <v>3208</v>
      </c>
      <c r="T61" s="2960">
        <v>67535</v>
      </c>
      <c r="U61" s="2963"/>
      <c r="V61" s="2964"/>
      <c r="W61" s="2965"/>
      <c r="X61" s="2963"/>
      <c r="Y61" s="2965"/>
      <c r="Z61" s="2964"/>
      <c r="AA61" s="2964"/>
      <c r="AB61" s="2964"/>
      <c r="AC61">
        <f t="shared" si="1"/>
        <v>52490</v>
      </c>
    </row>
    <row r="62" spans="1:29" ht="20.100000000000001" customHeight="1">
      <c r="A62" s="2959" t="s">
        <v>3345</v>
      </c>
      <c r="B62" s="2959" t="s">
        <v>3576</v>
      </c>
      <c r="C62" s="2970" t="str">
        <f t="shared" si="0"/>
        <v>2</v>
      </c>
      <c r="D62" s="2959">
        <v>120</v>
      </c>
      <c r="E62" s="2971">
        <f>VLOOKUP(D62,[2]Sheet1!$A$2:$B$330,2,0)</f>
        <v>84.44</v>
      </c>
      <c r="F62" s="2971">
        <f>VLOOKUP(D62,[2]房屋建筑面积分户计算明晰表!$A$2:$C$330,3,0)</f>
        <v>72.34</v>
      </c>
      <c r="G62" s="2959" t="s">
        <v>3346</v>
      </c>
      <c r="H62" s="2959" t="s">
        <v>3347</v>
      </c>
      <c r="I62" s="2960">
        <v>83.65</v>
      </c>
      <c r="J62" s="2960">
        <v>72.27</v>
      </c>
      <c r="K62" s="2961" t="s">
        <v>3348</v>
      </c>
      <c r="L62" s="2959" t="s">
        <v>3268</v>
      </c>
      <c r="M62" s="2960">
        <v>5811336</v>
      </c>
      <c r="N62" s="2959" t="s">
        <v>3090</v>
      </c>
      <c r="O62" s="2959" t="s">
        <v>3349</v>
      </c>
      <c r="P62" s="2962" t="s">
        <v>3092</v>
      </c>
      <c r="Q62" s="2962" t="s">
        <v>3092</v>
      </c>
      <c r="R62" s="2963"/>
      <c r="S62" s="2962" t="s">
        <v>3300</v>
      </c>
      <c r="T62" s="2960">
        <v>5629</v>
      </c>
      <c r="U62" s="2963"/>
      <c r="V62" s="2964"/>
      <c r="W62" s="2965"/>
      <c r="X62" s="2963"/>
      <c r="Y62" s="2965"/>
      <c r="Z62" s="2964"/>
      <c r="AA62" s="2964"/>
      <c r="AB62" s="2964"/>
      <c r="AC62">
        <f t="shared" si="1"/>
        <v>68822</v>
      </c>
    </row>
    <row r="63" spans="1:29" ht="20.100000000000001" customHeight="1">
      <c r="A63" s="2959" t="s">
        <v>3266</v>
      </c>
      <c r="B63" s="2959" t="s">
        <v>3577</v>
      </c>
      <c r="C63" s="2972" t="str">
        <f t="shared" si="0"/>
        <v>3</v>
      </c>
      <c r="D63" s="2959">
        <v>232</v>
      </c>
      <c r="E63" s="2971">
        <f>VLOOKUP(D63,[3]房屋建筑面积分户计算明晰表!$A$7:$B$105,2,0)</f>
        <v>277.16000000000003</v>
      </c>
      <c r="F63" s="2971">
        <f>VLOOKUP(D63,[3]房屋建筑面积分户计算明晰表!$A$7:$C$105,3,0)</f>
        <v>207.04</v>
      </c>
      <c r="G63" s="2959" t="s">
        <v>3267</v>
      </c>
      <c r="H63" s="2959" t="s">
        <v>3268</v>
      </c>
      <c r="I63" s="2960">
        <v>277.85000000000002</v>
      </c>
      <c r="J63" s="2960">
        <v>208.7</v>
      </c>
      <c r="K63" s="2961" t="s">
        <v>3269</v>
      </c>
      <c r="L63" s="2959" t="s">
        <v>3208</v>
      </c>
      <c r="M63" s="2960">
        <v>16407200</v>
      </c>
      <c r="N63" s="2959" t="s">
        <v>3090</v>
      </c>
      <c r="O63" s="2959" t="s">
        <v>3091</v>
      </c>
      <c r="P63" s="2962" t="s">
        <v>3092</v>
      </c>
      <c r="Q63" s="2962" t="s">
        <v>3092</v>
      </c>
      <c r="R63" s="2963"/>
      <c r="S63" s="2962" t="s">
        <v>3269</v>
      </c>
      <c r="T63" s="2960">
        <v>-130503</v>
      </c>
      <c r="U63" s="2963"/>
      <c r="V63" s="2964"/>
      <c r="W63" s="2965"/>
      <c r="X63" s="2963"/>
      <c r="Y63" s="2965"/>
      <c r="Z63" s="2964"/>
      <c r="AA63" s="2964"/>
      <c r="AB63" s="2964"/>
      <c r="AC63">
        <f t="shared" si="1"/>
        <v>59198</v>
      </c>
    </row>
    <row r="64" spans="1:29" ht="20.100000000000001" customHeight="1">
      <c r="A64" s="2959" t="s">
        <v>3270</v>
      </c>
      <c r="B64" s="2959" t="s">
        <v>3578</v>
      </c>
      <c r="C64" s="2972" t="str">
        <f t="shared" si="0"/>
        <v>3</v>
      </c>
      <c r="D64" s="2959">
        <v>137</v>
      </c>
      <c r="E64" s="2971">
        <f>VLOOKUP(D64,[3]房屋建筑面积分户计算明晰表!$A$7:$B$105,2,0)</f>
        <v>101.57</v>
      </c>
      <c r="F64" s="2971">
        <f>VLOOKUP(D64,[3]房屋建筑面积分户计算明晰表!$A$7:$C$105,3,0)</f>
        <v>87.02</v>
      </c>
      <c r="G64" s="2959" t="s">
        <v>3271</v>
      </c>
      <c r="H64" s="2959" t="s">
        <v>3268</v>
      </c>
      <c r="I64" s="2960">
        <v>101.27</v>
      </c>
      <c r="J64" s="2960">
        <v>87.49</v>
      </c>
      <c r="K64" s="2961" t="s">
        <v>3268</v>
      </c>
      <c r="L64" s="2959" t="s">
        <v>3268</v>
      </c>
      <c r="M64" s="2960">
        <v>13546232</v>
      </c>
      <c r="N64" s="2959" t="s">
        <v>3090</v>
      </c>
      <c r="O64" s="2959" t="s">
        <v>3111</v>
      </c>
      <c r="P64" s="2962" t="s">
        <v>3092</v>
      </c>
      <c r="Q64" s="2962" t="s">
        <v>3092</v>
      </c>
      <c r="R64" s="2963"/>
      <c r="S64" s="2962" t="s">
        <v>3268</v>
      </c>
      <c r="T64" s="2960">
        <v>-72771</v>
      </c>
      <c r="U64" s="2963"/>
      <c r="V64" s="2964"/>
      <c r="W64" s="2965"/>
      <c r="X64" s="2963"/>
      <c r="Y64" s="2965"/>
      <c r="Z64" s="2964"/>
      <c r="AA64" s="2964"/>
      <c r="AB64" s="2964"/>
      <c r="AC64">
        <f t="shared" si="1"/>
        <v>133368</v>
      </c>
    </row>
    <row r="65" spans="1:29" ht="20.100000000000001" customHeight="1">
      <c r="A65" s="2959" t="s">
        <v>3272</v>
      </c>
      <c r="B65" s="2959" t="s">
        <v>3579</v>
      </c>
      <c r="C65" s="2972" t="str">
        <f t="shared" si="0"/>
        <v>3</v>
      </c>
      <c r="D65" s="2959">
        <v>140</v>
      </c>
      <c r="E65" s="2971">
        <f>VLOOKUP(D65,[3]房屋建筑面积分户计算明晰表!$A$7:$B$105,2,0)</f>
        <v>285.77</v>
      </c>
      <c r="F65" s="2971">
        <f>VLOOKUP(D65,[3]房屋建筑面积分户计算明晰表!$A$7:$C$105,3,0)</f>
        <v>244.83</v>
      </c>
      <c r="G65" s="2959" t="s">
        <v>3273</v>
      </c>
      <c r="H65" s="2959" t="s">
        <v>3274</v>
      </c>
      <c r="I65" s="2960">
        <v>285.83</v>
      </c>
      <c r="J65" s="2960">
        <v>246.94</v>
      </c>
      <c r="K65" s="2961" t="s">
        <v>3275</v>
      </c>
      <c r="L65" s="2959" t="s">
        <v>3125</v>
      </c>
      <c r="M65" s="2960">
        <v>16262909</v>
      </c>
      <c r="N65" s="2959" t="s">
        <v>3090</v>
      </c>
      <c r="O65" s="2959" t="s">
        <v>3276</v>
      </c>
      <c r="P65" s="2962" t="s">
        <v>3092</v>
      </c>
      <c r="Q65" s="2962" t="s">
        <v>3092</v>
      </c>
      <c r="R65" s="2963"/>
      <c r="S65" s="2962" t="s">
        <v>3275</v>
      </c>
      <c r="T65" s="2960">
        <v>-138960</v>
      </c>
      <c r="U65" s="2963"/>
      <c r="V65" s="2964"/>
      <c r="W65" s="2965"/>
      <c r="X65" s="2963"/>
      <c r="Y65" s="2965"/>
      <c r="Z65" s="2964"/>
      <c r="AA65" s="2964"/>
      <c r="AB65" s="2964"/>
      <c r="AC65">
        <f t="shared" si="1"/>
        <v>56909</v>
      </c>
    </row>
    <row r="66" spans="1:29" ht="20.100000000000001" customHeight="1">
      <c r="A66" s="2959" t="s">
        <v>3277</v>
      </c>
      <c r="B66" s="2959" t="s">
        <v>3580</v>
      </c>
      <c r="C66" s="2972" t="str">
        <f t="shared" ref="C66:C129" si="2">LEFT(B66)</f>
        <v>3</v>
      </c>
      <c r="D66" s="2959">
        <v>146</v>
      </c>
      <c r="E66" s="2971">
        <f>VLOOKUP(D66,[3]房屋建筑面积分户计算明晰表!$A$7:$B$105,2,0)</f>
        <v>78.61</v>
      </c>
      <c r="F66" s="2971">
        <f>VLOOKUP(D66,[3]房屋建筑面积分户计算明晰表!$A$7:$C$105,3,0)</f>
        <v>67.349999999999994</v>
      </c>
      <c r="G66" s="2959" t="s">
        <v>3278</v>
      </c>
      <c r="H66" s="2959" t="s">
        <v>3279</v>
      </c>
      <c r="I66" s="2960">
        <v>78.08</v>
      </c>
      <c r="J66" s="2960">
        <v>67.459999999999994</v>
      </c>
      <c r="K66" s="2961" t="s">
        <v>3279</v>
      </c>
      <c r="L66" s="2959" t="s">
        <v>3125</v>
      </c>
      <c r="M66" s="2960">
        <v>4639701</v>
      </c>
      <c r="N66" s="2959" t="s">
        <v>3090</v>
      </c>
      <c r="O66" s="2959" t="s">
        <v>3111</v>
      </c>
      <c r="P66" s="2962" t="s">
        <v>3092</v>
      </c>
      <c r="Q66" s="2962" t="s">
        <v>3092</v>
      </c>
      <c r="R66" s="2963"/>
      <c r="S66" s="2962" t="s">
        <v>3280</v>
      </c>
      <c r="T66" s="2960">
        <v>-7565</v>
      </c>
      <c r="U66" s="2963"/>
      <c r="V66" s="2964"/>
      <c r="W66" s="2965"/>
      <c r="X66" s="2963"/>
      <c r="Y66" s="2965"/>
      <c r="Z66" s="2964"/>
      <c r="AA66" s="2964"/>
      <c r="AB66" s="2964"/>
      <c r="AC66">
        <f t="shared" si="1"/>
        <v>59022</v>
      </c>
    </row>
    <row r="67" spans="1:29" ht="20.100000000000001" customHeight="1">
      <c r="A67" s="2959" t="s">
        <v>3281</v>
      </c>
      <c r="B67" s="2959" t="s">
        <v>3581</v>
      </c>
      <c r="C67" s="2972" t="str">
        <f t="shared" si="2"/>
        <v>3</v>
      </c>
      <c r="D67" s="2959">
        <v>148</v>
      </c>
      <c r="E67" s="2971">
        <f>VLOOKUP(D67,[3]房屋建筑面积分户计算明晰表!$A$7:$B$105,2,0)</f>
        <v>152.76</v>
      </c>
      <c r="F67" s="2971">
        <f>VLOOKUP(D67,[3]房屋建筑面积分户计算明晰表!$A$7:$C$105,3,0)</f>
        <v>130.87</v>
      </c>
      <c r="G67" s="2959" t="s">
        <v>3282</v>
      </c>
      <c r="H67" s="2959" t="s">
        <v>3279</v>
      </c>
      <c r="I67" s="2960">
        <v>151.68</v>
      </c>
      <c r="J67" s="2960">
        <v>131.04</v>
      </c>
      <c r="K67" s="2961" t="s">
        <v>3279</v>
      </c>
      <c r="L67" s="2959" t="s">
        <v>3208</v>
      </c>
      <c r="M67" s="2960">
        <v>9241663</v>
      </c>
      <c r="N67" s="2959" t="s">
        <v>3132</v>
      </c>
      <c r="O67" s="2959" t="s">
        <v>3091</v>
      </c>
      <c r="P67" s="2962" t="s">
        <v>3092</v>
      </c>
      <c r="Q67" s="2962" t="s">
        <v>3092</v>
      </c>
      <c r="R67" s="2963"/>
      <c r="S67" s="2963"/>
      <c r="T67" s="2966"/>
      <c r="U67" s="2963"/>
      <c r="V67" s="2964"/>
      <c r="W67" s="2965"/>
      <c r="X67" s="2963"/>
      <c r="Y67" s="2965"/>
      <c r="Z67" s="2964"/>
      <c r="AA67" s="2964"/>
      <c r="AB67" s="2964"/>
      <c r="AC67">
        <f t="shared" ref="AC67:AC130" si="3">ROUND(M67/E67,0)</f>
        <v>60498</v>
      </c>
    </row>
    <row r="68" spans="1:29" ht="20.100000000000001" customHeight="1">
      <c r="A68" s="2959" t="s">
        <v>3283</v>
      </c>
      <c r="B68" s="2959" t="s">
        <v>3582</v>
      </c>
      <c r="C68" s="2972" t="str">
        <f t="shared" si="2"/>
        <v>3</v>
      </c>
      <c r="D68" s="2959">
        <v>233</v>
      </c>
      <c r="E68" s="2971">
        <f>VLOOKUP(D68,[3]房屋建筑面积分户计算明晰表!$A$7:$B$105,2,0)</f>
        <v>207.35</v>
      </c>
      <c r="F68" s="2971">
        <f>VLOOKUP(D68,[3]房屋建筑面积分户计算明晰表!$A$7:$C$105,3,0)</f>
        <v>154.88999999999999</v>
      </c>
      <c r="G68" s="2959" t="s">
        <v>3284</v>
      </c>
      <c r="H68" s="2959" t="s">
        <v>3279</v>
      </c>
      <c r="I68" s="2960">
        <v>206.08</v>
      </c>
      <c r="J68" s="2960">
        <v>154.79</v>
      </c>
      <c r="K68" s="2961" t="s">
        <v>3279</v>
      </c>
      <c r="L68" s="2959" t="s">
        <v>3285</v>
      </c>
      <c r="M68" s="2960">
        <v>9807290</v>
      </c>
      <c r="N68" s="2959" t="s">
        <v>3286</v>
      </c>
      <c r="O68" s="2959" t="s">
        <v>3095</v>
      </c>
      <c r="P68" s="2962" t="s">
        <v>3092</v>
      </c>
      <c r="Q68" s="2962" t="s">
        <v>3092</v>
      </c>
      <c r="R68" s="2963"/>
      <c r="S68" s="2962" t="s">
        <v>3125</v>
      </c>
      <c r="T68" s="2960">
        <v>6336</v>
      </c>
      <c r="U68" s="2963"/>
      <c r="V68" s="2964"/>
      <c r="W68" s="2965"/>
      <c r="X68" s="2963"/>
      <c r="Y68" s="2965"/>
      <c r="Z68" s="2964"/>
      <c r="AA68" s="2964"/>
      <c r="AB68" s="2964"/>
      <c r="AC68">
        <f t="shared" si="3"/>
        <v>47298</v>
      </c>
    </row>
    <row r="69" spans="1:29" ht="20.100000000000001" customHeight="1">
      <c r="A69" s="2959" t="s">
        <v>3287</v>
      </c>
      <c r="B69" s="2959" t="s">
        <v>3583</v>
      </c>
      <c r="C69" s="2972" t="str">
        <f t="shared" si="2"/>
        <v>3</v>
      </c>
      <c r="D69" s="2959">
        <v>144</v>
      </c>
      <c r="E69" s="2971">
        <f>VLOOKUP(D69,[3]房屋建筑面积分户计算明晰表!$A$7:$B$105,2,0)</f>
        <v>57.04</v>
      </c>
      <c r="F69" s="2971">
        <f>VLOOKUP(D69,[3]房屋建筑面积分户计算明晰表!$A$7:$C$105,3,0)</f>
        <v>48.87</v>
      </c>
      <c r="G69" s="2959" t="s">
        <v>3288</v>
      </c>
      <c r="H69" s="2959" t="s">
        <v>3289</v>
      </c>
      <c r="I69" s="2960">
        <v>56.7</v>
      </c>
      <c r="J69" s="2960">
        <v>48.99</v>
      </c>
      <c r="K69" s="2961" t="s">
        <v>3279</v>
      </c>
      <c r="L69" s="2959" t="s">
        <v>3279</v>
      </c>
      <c r="M69" s="2960">
        <v>3730822</v>
      </c>
      <c r="N69" s="2959" t="s">
        <v>3090</v>
      </c>
      <c r="O69" s="2959" t="s">
        <v>3091</v>
      </c>
      <c r="P69" s="2962" t="s">
        <v>3092</v>
      </c>
      <c r="Q69" s="2962" t="s">
        <v>3092</v>
      </c>
      <c r="R69" s="2963"/>
      <c r="S69" s="2962" t="s">
        <v>3279</v>
      </c>
      <c r="T69" s="2960">
        <v>-9139</v>
      </c>
      <c r="U69" s="2963"/>
      <c r="V69" s="2964"/>
      <c r="W69" s="2965"/>
      <c r="X69" s="2963"/>
      <c r="Y69" s="2965"/>
      <c r="Z69" s="2964"/>
      <c r="AA69" s="2964"/>
      <c r="AB69" s="2964"/>
      <c r="AC69">
        <f t="shared" si="3"/>
        <v>65407</v>
      </c>
    </row>
    <row r="70" spans="1:29" ht="20.100000000000001" customHeight="1">
      <c r="A70" s="2959" t="s">
        <v>3290</v>
      </c>
      <c r="B70" s="2959" t="s">
        <v>3584</v>
      </c>
      <c r="C70" s="2972" t="str">
        <f t="shared" si="2"/>
        <v>3</v>
      </c>
      <c r="D70" s="2959">
        <v>134</v>
      </c>
      <c r="E70" s="2971">
        <f>VLOOKUP(D70,[3]房屋建筑面积分户计算明晰表!$A$7:$B$105,2,0)</f>
        <v>19.21</v>
      </c>
      <c r="F70" s="2971">
        <f>VLOOKUP(D70,[3]房屋建筑面积分户计算明晰表!$A$7:$C$105,3,0)</f>
        <v>16.46</v>
      </c>
      <c r="G70" s="2959" t="s">
        <v>3291</v>
      </c>
      <c r="H70" s="2959" t="s">
        <v>3279</v>
      </c>
      <c r="I70" s="2960">
        <v>19.21</v>
      </c>
      <c r="J70" s="2960">
        <v>16.600000000000001</v>
      </c>
      <c r="K70" s="2961" t="s">
        <v>3279</v>
      </c>
      <c r="L70" s="2959" t="s">
        <v>3229</v>
      </c>
      <c r="M70" s="2960">
        <v>2212935</v>
      </c>
      <c r="N70" s="2959" t="s">
        <v>3292</v>
      </c>
      <c r="O70" s="2959" t="s">
        <v>3152</v>
      </c>
      <c r="P70" s="2962" t="s">
        <v>3092</v>
      </c>
      <c r="Q70" s="2962" t="s">
        <v>3092</v>
      </c>
      <c r="R70" s="2963"/>
      <c r="S70" s="2962" t="s">
        <v>3293</v>
      </c>
      <c r="T70" s="2960">
        <v>-18663</v>
      </c>
      <c r="U70" s="2963"/>
      <c r="V70" s="2964"/>
      <c r="W70" s="2965"/>
      <c r="X70" s="2963"/>
      <c r="Y70" s="2965"/>
      <c r="Z70" s="2964"/>
      <c r="AA70" s="2964"/>
      <c r="AB70" s="2964"/>
      <c r="AC70">
        <f t="shared" si="3"/>
        <v>115197</v>
      </c>
    </row>
    <row r="71" spans="1:29" ht="20.100000000000001" customHeight="1">
      <c r="A71" s="2959" t="s">
        <v>3294</v>
      </c>
      <c r="B71" s="2959" t="s">
        <v>3585</v>
      </c>
      <c r="C71" s="2972" t="str">
        <f t="shared" si="2"/>
        <v>3</v>
      </c>
      <c r="D71" s="2959">
        <v>135</v>
      </c>
      <c r="E71" s="2971">
        <f>VLOOKUP(D71,[3]房屋建筑面积分户计算明晰表!$A$7:$B$105,2,0)</f>
        <v>31.54</v>
      </c>
      <c r="F71" s="2971">
        <f>VLOOKUP(D71,[3]房屋建筑面积分户计算明晰表!$A$7:$C$105,3,0)</f>
        <v>27.02</v>
      </c>
      <c r="G71" s="2959" t="s">
        <v>3295</v>
      </c>
      <c r="H71" s="2959" t="s">
        <v>3279</v>
      </c>
      <c r="I71" s="2960">
        <v>31.38</v>
      </c>
      <c r="J71" s="2960">
        <v>27.11</v>
      </c>
      <c r="K71" s="2961" t="s">
        <v>3279</v>
      </c>
      <c r="L71" s="2959" t="s">
        <v>3229</v>
      </c>
      <c r="M71" s="2960">
        <v>3040732</v>
      </c>
      <c r="N71" s="2959" t="s">
        <v>3292</v>
      </c>
      <c r="O71" s="2959" t="s">
        <v>3152</v>
      </c>
      <c r="P71" s="2962" t="s">
        <v>3092</v>
      </c>
      <c r="Q71" s="2962" t="s">
        <v>3092</v>
      </c>
      <c r="R71" s="2963"/>
      <c r="S71" s="2962" t="s">
        <v>3293</v>
      </c>
      <c r="T71" s="2960">
        <v>-10095</v>
      </c>
      <c r="U71" s="2963"/>
      <c r="V71" s="2964"/>
      <c r="W71" s="2965"/>
      <c r="X71" s="2963"/>
      <c r="Y71" s="2965"/>
      <c r="Z71" s="2964"/>
      <c r="AA71" s="2964"/>
      <c r="AB71" s="2964"/>
      <c r="AC71">
        <f t="shared" si="3"/>
        <v>96409</v>
      </c>
    </row>
    <row r="72" spans="1:29" ht="20.100000000000001" customHeight="1">
      <c r="A72" s="2959" t="s">
        <v>3296</v>
      </c>
      <c r="B72" s="2959" t="s">
        <v>3586</v>
      </c>
      <c r="C72" s="2972" t="str">
        <f t="shared" si="2"/>
        <v>3</v>
      </c>
      <c r="D72" s="2959">
        <v>147</v>
      </c>
      <c r="E72" s="2971">
        <f>VLOOKUP(D72,[3]房屋建筑面积分户计算明晰表!$A$7:$B$105,2,0)</f>
        <v>457.96</v>
      </c>
      <c r="F72" s="2971">
        <f>VLOOKUP(D72,[3]房屋建筑面积分户计算明晰表!$A$7:$C$105,3,0)</f>
        <v>392.35</v>
      </c>
      <c r="G72" s="2959" t="s">
        <v>3297</v>
      </c>
      <c r="H72" s="2959" t="s">
        <v>3279</v>
      </c>
      <c r="I72" s="2960">
        <v>453.69</v>
      </c>
      <c r="J72" s="2960">
        <v>391.96</v>
      </c>
      <c r="K72" s="2961" t="s">
        <v>3279</v>
      </c>
      <c r="L72" s="2959" t="s">
        <v>3180</v>
      </c>
      <c r="M72" s="2960">
        <v>21242416</v>
      </c>
      <c r="N72" s="2959" t="s">
        <v>3132</v>
      </c>
      <c r="O72" s="2959" t="s">
        <v>3152</v>
      </c>
      <c r="P72" s="2962" t="s">
        <v>3092</v>
      </c>
      <c r="Q72" s="2962" t="s">
        <v>3092</v>
      </c>
      <c r="R72" s="2963"/>
      <c r="S72" s="2963"/>
      <c r="T72" s="2960">
        <v>21136</v>
      </c>
      <c r="U72" s="2963"/>
      <c r="V72" s="2964"/>
      <c r="W72" s="2965"/>
      <c r="X72" s="2963"/>
      <c r="Y72" s="2965"/>
      <c r="Z72" s="2964"/>
      <c r="AA72" s="2964"/>
      <c r="AB72" s="2964"/>
      <c r="AC72">
        <f t="shared" si="3"/>
        <v>46385</v>
      </c>
    </row>
    <row r="73" spans="1:29" ht="20.100000000000001" customHeight="1">
      <c r="A73" s="2959" t="s">
        <v>3298</v>
      </c>
      <c r="B73" s="2959" t="s">
        <v>3587</v>
      </c>
      <c r="C73" s="2972" t="str">
        <f t="shared" si="2"/>
        <v>3</v>
      </c>
      <c r="D73" s="2959">
        <v>133</v>
      </c>
      <c r="E73" s="2971">
        <f>VLOOKUP(D73,[3]房屋建筑面积分户计算明晰表!$A$7:$B$105,2,0)</f>
        <v>145.47999999999999</v>
      </c>
      <c r="F73" s="2971">
        <f>VLOOKUP(D73,[3]房屋建筑面积分户计算明晰表!$A$7:$C$105,3,0)</f>
        <v>124.64</v>
      </c>
      <c r="G73" s="2959" t="s">
        <v>3299</v>
      </c>
      <c r="H73" s="2959" t="s">
        <v>3300</v>
      </c>
      <c r="I73" s="2960">
        <v>144.26</v>
      </c>
      <c r="J73" s="2960">
        <v>124.63</v>
      </c>
      <c r="K73" s="2961" t="s">
        <v>3300</v>
      </c>
      <c r="L73" s="2959" t="s">
        <v>3300</v>
      </c>
      <c r="M73" s="2960">
        <v>13364182</v>
      </c>
      <c r="N73" s="2959" t="s">
        <v>3090</v>
      </c>
      <c r="O73" s="2959" t="s">
        <v>3111</v>
      </c>
      <c r="P73" s="2962" t="s">
        <v>3092</v>
      </c>
      <c r="Q73" s="2962" t="s">
        <v>3092</v>
      </c>
      <c r="R73" s="2963"/>
      <c r="S73" s="2962" t="s">
        <v>3300</v>
      </c>
      <c r="T73" s="2960">
        <v>1072</v>
      </c>
      <c r="U73" s="2963"/>
      <c r="V73" s="2964"/>
      <c r="W73" s="2965"/>
      <c r="X73" s="2963"/>
      <c r="Y73" s="2965"/>
      <c r="Z73" s="2964"/>
      <c r="AA73" s="2964"/>
      <c r="AB73" s="2964"/>
      <c r="AC73">
        <f t="shared" si="3"/>
        <v>91863</v>
      </c>
    </row>
    <row r="74" spans="1:29" ht="20.100000000000001" customHeight="1">
      <c r="A74" s="2959" t="s">
        <v>3301</v>
      </c>
      <c r="B74" s="2959" t="s">
        <v>3588</v>
      </c>
      <c r="C74" s="2972" t="str">
        <f t="shared" si="2"/>
        <v>3</v>
      </c>
      <c r="D74" s="2959">
        <v>231</v>
      </c>
      <c r="E74" s="2971">
        <f>VLOOKUP(D74,[3]房屋建筑面积分户计算明晰表!$A$7:$B$105,2,0)</f>
        <v>59.41</v>
      </c>
      <c r="F74" s="2971">
        <f>VLOOKUP(D74,[3]房屋建筑面积分户计算明晰表!$A$7:$C$105,3,0)</f>
        <v>44.38</v>
      </c>
      <c r="G74" s="2959" t="s">
        <v>3302</v>
      </c>
      <c r="H74" s="2959" t="s">
        <v>3300</v>
      </c>
      <c r="I74" s="2960">
        <v>59.5</v>
      </c>
      <c r="J74" s="2960">
        <v>44.69</v>
      </c>
      <c r="K74" s="2961" t="s">
        <v>3300</v>
      </c>
      <c r="L74" s="2959" t="s">
        <v>3300</v>
      </c>
      <c r="M74" s="2960">
        <v>3726622</v>
      </c>
      <c r="N74" s="2959" t="s">
        <v>3194</v>
      </c>
      <c r="O74" s="2959" t="s">
        <v>3152</v>
      </c>
      <c r="P74" s="2962" t="s">
        <v>3092</v>
      </c>
      <c r="Q74" s="2962" t="s">
        <v>3092</v>
      </c>
      <c r="R74" s="2963"/>
      <c r="S74" s="2962" t="s">
        <v>3208</v>
      </c>
      <c r="T74" s="2960">
        <v>-25850</v>
      </c>
      <c r="U74" s="2963"/>
      <c r="V74" s="2964"/>
      <c r="W74" s="2965"/>
      <c r="X74" s="2963"/>
      <c r="Y74" s="2965"/>
      <c r="Z74" s="2964"/>
      <c r="AA74" s="2964"/>
      <c r="AB74" s="2964"/>
      <c r="AC74">
        <f t="shared" si="3"/>
        <v>62727</v>
      </c>
    </row>
    <row r="75" spans="1:29" ht="20.100000000000001" customHeight="1">
      <c r="A75" s="2959" t="s">
        <v>3303</v>
      </c>
      <c r="B75" s="2959" t="s">
        <v>3589</v>
      </c>
      <c r="C75" s="2972" t="str">
        <f t="shared" si="2"/>
        <v>3</v>
      </c>
      <c r="D75" s="2959">
        <v>234</v>
      </c>
      <c r="E75" s="2971">
        <f>VLOOKUP(D75,[3]房屋建筑面积分户计算明晰表!$A$7:$B$105,2,0)</f>
        <v>171.9</v>
      </c>
      <c r="F75" s="2971">
        <f>VLOOKUP(D75,[3]房屋建筑面积分户计算明晰表!$A$7:$C$105,3,0)</f>
        <v>128.41</v>
      </c>
      <c r="G75" s="2959" t="s">
        <v>3304</v>
      </c>
      <c r="H75" s="2959" t="s">
        <v>3300</v>
      </c>
      <c r="I75" s="2960">
        <v>174.26</v>
      </c>
      <c r="J75" s="2960">
        <v>130.88999999999999</v>
      </c>
      <c r="K75" s="2961" t="s">
        <v>3300</v>
      </c>
      <c r="L75" s="2959" t="s">
        <v>3300</v>
      </c>
      <c r="M75" s="2960">
        <v>8254513</v>
      </c>
      <c r="N75" s="2959" t="s">
        <v>3194</v>
      </c>
      <c r="O75" s="2959" t="s">
        <v>3152</v>
      </c>
      <c r="P75" s="2962" t="s">
        <v>3092</v>
      </c>
      <c r="Q75" s="2962" t="s">
        <v>3092</v>
      </c>
      <c r="R75" s="2963"/>
      <c r="S75" s="2962" t="s">
        <v>3208</v>
      </c>
      <c r="T75" s="2960">
        <v>-156400</v>
      </c>
      <c r="U75" s="2963"/>
      <c r="V75" s="2964"/>
      <c r="W75" s="2965"/>
      <c r="X75" s="2963"/>
      <c r="Y75" s="2965"/>
      <c r="Z75" s="2964"/>
      <c r="AA75" s="2964"/>
      <c r="AB75" s="2964"/>
      <c r="AC75">
        <f t="shared" si="3"/>
        <v>48019</v>
      </c>
    </row>
    <row r="76" spans="1:29" ht="20.100000000000001" customHeight="1">
      <c r="A76" s="2959" t="s">
        <v>3305</v>
      </c>
      <c r="B76" s="2959" t="s">
        <v>3590</v>
      </c>
      <c r="C76" s="2972" t="str">
        <f t="shared" si="2"/>
        <v>3</v>
      </c>
      <c r="D76" s="2959">
        <v>241</v>
      </c>
      <c r="E76" s="2971">
        <f>VLOOKUP(D76,[3]房屋建筑面积分户计算明晰表!$A$7:$B$105,2,0)</f>
        <v>174.13</v>
      </c>
      <c r="F76" s="2971">
        <f>VLOOKUP(D76,[3]房屋建筑面积分户计算明晰表!$A$7:$C$105,3,0)</f>
        <v>130.08000000000001</v>
      </c>
      <c r="G76" s="2959" t="s">
        <v>3306</v>
      </c>
      <c r="H76" s="2959" t="s">
        <v>3300</v>
      </c>
      <c r="I76" s="2960">
        <v>173.1</v>
      </c>
      <c r="J76" s="2960">
        <v>130.02000000000001</v>
      </c>
      <c r="K76" s="2961" t="s">
        <v>3300</v>
      </c>
      <c r="L76" s="2959" t="s">
        <v>3285</v>
      </c>
      <c r="M76" s="2960">
        <v>7432417</v>
      </c>
      <c r="N76" s="2959" t="s">
        <v>3307</v>
      </c>
      <c r="O76" s="2959" t="s">
        <v>3091</v>
      </c>
      <c r="P76" s="2962" t="s">
        <v>3092</v>
      </c>
      <c r="Q76" s="2962" t="s">
        <v>3092</v>
      </c>
      <c r="R76" s="2963"/>
      <c r="S76" s="2962" t="s">
        <v>3285</v>
      </c>
      <c r="T76" s="2960">
        <v>3430</v>
      </c>
      <c r="U76" s="2963"/>
      <c r="V76" s="2964"/>
      <c r="W76" s="2965"/>
      <c r="X76" s="2963"/>
      <c r="Y76" s="2965"/>
      <c r="Z76" s="2964"/>
      <c r="AA76" s="2964"/>
      <c r="AB76" s="2964"/>
      <c r="AC76">
        <f t="shared" si="3"/>
        <v>42683</v>
      </c>
    </row>
    <row r="77" spans="1:29" ht="20.100000000000001" customHeight="1">
      <c r="A77" s="2959" t="s">
        <v>3308</v>
      </c>
      <c r="B77" s="2959" t="s">
        <v>3591</v>
      </c>
      <c r="C77" s="2972" t="str">
        <f t="shared" si="2"/>
        <v>3</v>
      </c>
      <c r="D77" s="2959">
        <v>243</v>
      </c>
      <c r="E77" s="2971">
        <f>VLOOKUP(D77,[3]房屋建筑面积分户计算明晰表!$A$7:$B$105,2,0)</f>
        <v>120.67</v>
      </c>
      <c r="F77" s="2971">
        <f>VLOOKUP(D77,[3]房屋建筑面积分户计算明晰表!$A$7:$C$105,3,0)</f>
        <v>90.14</v>
      </c>
      <c r="G77" s="2959" t="s">
        <v>3309</v>
      </c>
      <c r="H77" s="2959" t="s">
        <v>3300</v>
      </c>
      <c r="I77" s="2960">
        <v>120.62</v>
      </c>
      <c r="J77" s="2960">
        <v>90.6</v>
      </c>
      <c r="K77" s="2961" t="s">
        <v>3300</v>
      </c>
      <c r="L77" s="2959" t="s">
        <v>3285</v>
      </c>
      <c r="M77" s="2960">
        <v>6514656</v>
      </c>
      <c r="N77" s="2959" t="s">
        <v>3264</v>
      </c>
      <c r="O77" s="2959" t="s">
        <v>3111</v>
      </c>
      <c r="P77" s="2962" t="s">
        <v>3092</v>
      </c>
      <c r="Q77" s="2962" t="s">
        <v>3092</v>
      </c>
      <c r="R77" s="2963"/>
      <c r="S77" s="2962" t="s">
        <v>3285</v>
      </c>
      <c r="T77" s="2960">
        <v>-33077</v>
      </c>
      <c r="U77" s="2963"/>
      <c r="V77" s="2964"/>
      <c r="W77" s="2965"/>
      <c r="X77" s="2963"/>
      <c r="Y77" s="2965"/>
      <c r="Z77" s="2964"/>
      <c r="AA77" s="2964"/>
      <c r="AB77" s="2964"/>
      <c r="AC77">
        <f t="shared" si="3"/>
        <v>53987</v>
      </c>
    </row>
    <row r="78" spans="1:29" ht="20.100000000000001" customHeight="1">
      <c r="A78" s="2959" t="s">
        <v>3310</v>
      </c>
      <c r="B78" s="2959" t="s">
        <v>3592</v>
      </c>
      <c r="C78" s="2972" t="str">
        <f t="shared" si="2"/>
        <v>3</v>
      </c>
      <c r="D78" s="2959">
        <v>145</v>
      </c>
      <c r="E78" s="2971">
        <f>VLOOKUP(D78,[3]房屋建筑面积分户计算明晰表!$A$7:$B$105,2,0)</f>
        <v>95.81</v>
      </c>
      <c r="F78" s="2971">
        <f>VLOOKUP(D78,[3]房屋建筑面积分户计算明晰表!$A$7:$C$105,3,0)</f>
        <v>82.08</v>
      </c>
      <c r="G78" s="2959" t="s">
        <v>3311</v>
      </c>
      <c r="H78" s="2959" t="s">
        <v>3300</v>
      </c>
      <c r="I78" s="2960">
        <v>96</v>
      </c>
      <c r="J78" s="2960">
        <v>82.94</v>
      </c>
      <c r="K78" s="2961" t="s">
        <v>3300</v>
      </c>
      <c r="L78" s="2959" t="s">
        <v>3234</v>
      </c>
      <c r="M78" s="2960">
        <v>5581571</v>
      </c>
      <c r="N78" s="2959" t="s">
        <v>3090</v>
      </c>
      <c r="O78" s="2959" t="s">
        <v>3111</v>
      </c>
      <c r="P78" s="2962" t="s">
        <v>3092</v>
      </c>
      <c r="Q78" s="2962" t="s">
        <v>3092</v>
      </c>
      <c r="R78" s="2963"/>
      <c r="S78" s="2962" t="s">
        <v>3300</v>
      </c>
      <c r="T78" s="2960">
        <v>-57875</v>
      </c>
      <c r="U78" s="2963"/>
      <c r="V78" s="2964"/>
      <c r="W78" s="2965"/>
      <c r="X78" s="2963"/>
      <c r="Y78" s="2965"/>
      <c r="Z78" s="2964"/>
      <c r="AA78" s="2964"/>
      <c r="AB78" s="2964"/>
      <c r="AC78">
        <f t="shared" si="3"/>
        <v>58257</v>
      </c>
    </row>
    <row r="79" spans="1:29" ht="20.100000000000001" customHeight="1">
      <c r="A79" s="2959" t="s">
        <v>3312</v>
      </c>
      <c r="B79" s="2959" t="s">
        <v>3593</v>
      </c>
      <c r="C79" s="2972" t="str">
        <f t="shared" si="2"/>
        <v>3</v>
      </c>
      <c r="D79" s="2959">
        <v>240</v>
      </c>
      <c r="E79" s="2971">
        <f>VLOOKUP(D79,[3]房屋建筑面积分户计算明晰表!$A$7:$B$105,2,0)</f>
        <v>139.30000000000001</v>
      </c>
      <c r="F79" s="2971">
        <f>VLOOKUP(D79,[3]房屋建筑面积分户计算明晰表!$A$7:$C$105,3,0)</f>
        <v>104.06</v>
      </c>
      <c r="G79" s="2959" t="s">
        <v>3313</v>
      </c>
      <c r="H79" s="2959" t="s">
        <v>3300</v>
      </c>
      <c r="I79" s="2960">
        <v>138.69999999999999</v>
      </c>
      <c r="J79" s="2960">
        <v>104.18</v>
      </c>
      <c r="K79" s="2961" t="s">
        <v>3300</v>
      </c>
      <c r="L79" s="2959" t="s">
        <v>3314</v>
      </c>
      <c r="M79" s="2960">
        <v>6482320</v>
      </c>
      <c r="N79" s="2959" t="s">
        <v>3292</v>
      </c>
      <c r="O79" s="2959" t="s">
        <v>3095</v>
      </c>
      <c r="P79" s="2962" t="s">
        <v>3092</v>
      </c>
      <c r="Q79" s="2962" t="s">
        <v>3092</v>
      </c>
      <c r="R79" s="2963"/>
      <c r="S79" s="2962" t="s">
        <v>3315</v>
      </c>
      <c r="T79" s="2960">
        <v>-7467</v>
      </c>
      <c r="U79" s="2963"/>
      <c r="V79" s="2964"/>
      <c r="W79" s="2965"/>
      <c r="X79" s="2963"/>
      <c r="Y79" s="2965"/>
      <c r="Z79" s="2964"/>
      <c r="AA79" s="2964"/>
      <c r="AB79" s="2964"/>
      <c r="AC79">
        <f t="shared" si="3"/>
        <v>46535</v>
      </c>
    </row>
    <row r="80" spans="1:29" ht="20.100000000000001" customHeight="1">
      <c r="A80" s="2959" t="s">
        <v>3316</v>
      </c>
      <c r="B80" s="2959" t="s">
        <v>3594</v>
      </c>
      <c r="C80" s="2972" t="str">
        <f t="shared" si="2"/>
        <v>3</v>
      </c>
      <c r="D80" s="2959">
        <v>142</v>
      </c>
      <c r="E80" s="2971">
        <f>VLOOKUP(D80,[3]房屋建筑面积分户计算明晰表!$A$7:$B$105,2,0)</f>
        <v>62.32</v>
      </c>
      <c r="F80" s="2971">
        <f>VLOOKUP(D80,[3]房屋建筑面积分户计算明晰表!$A$7:$C$105,3,0)</f>
        <v>53.39</v>
      </c>
      <c r="G80" s="2959" t="s">
        <v>3317</v>
      </c>
      <c r="H80" s="2959" t="s">
        <v>3300</v>
      </c>
      <c r="I80" s="2960">
        <v>61.91</v>
      </c>
      <c r="J80" s="2960">
        <v>53.49</v>
      </c>
      <c r="K80" s="2961" t="s">
        <v>3300</v>
      </c>
      <c r="L80" s="2959" t="s">
        <v>3318</v>
      </c>
      <c r="M80" s="2960">
        <v>4252098</v>
      </c>
      <c r="N80" s="2959" t="s">
        <v>3292</v>
      </c>
      <c r="O80" s="2959" t="s">
        <v>3095</v>
      </c>
      <c r="P80" s="2962" t="s">
        <v>3092</v>
      </c>
      <c r="Q80" s="2962" t="s">
        <v>3092</v>
      </c>
      <c r="R80" s="2963"/>
      <c r="S80" s="2962" t="s">
        <v>3315</v>
      </c>
      <c r="T80" s="2960">
        <v>-7949</v>
      </c>
      <c r="U80" s="2963"/>
      <c r="V80" s="2964"/>
      <c r="W80" s="2965"/>
      <c r="X80" s="2963"/>
      <c r="Y80" s="2965"/>
      <c r="Z80" s="2964"/>
      <c r="AA80" s="2964"/>
      <c r="AB80" s="2964"/>
      <c r="AC80">
        <f t="shared" si="3"/>
        <v>68230</v>
      </c>
    </row>
    <row r="81" spans="1:29" ht="20.100000000000001" customHeight="1">
      <c r="A81" s="2959" t="s">
        <v>3319</v>
      </c>
      <c r="B81" s="2959" t="s">
        <v>3595</v>
      </c>
      <c r="C81" s="2972" t="str">
        <f t="shared" si="2"/>
        <v>3</v>
      </c>
      <c r="D81" s="2959">
        <v>143</v>
      </c>
      <c r="E81" s="2971">
        <f>VLOOKUP(D81,[3]房屋建筑面积分户计算明晰表!$A$7:$B$105,2,0)</f>
        <v>74.62</v>
      </c>
      <c r="F81" s="2971">
        <f>VLOOKUP(D81,[3]房屋建筑面积分户计算明晰表!$A$7:$C$105,3,0)</f>
        <v>63.93</v>
      </c>
      <c r="G81" s="2959" t="s">
        <v>3320</v>
      </c>
      <c r="H81" s="2959" t="s">
        <v>3300</v>
      </c>
      <c r="I81" s="2960">
        <v>74.14</v>
      </c>
      <c r="J81" s="2960">
        <v>64.05</v>
      </c>
      <c r="K81" s="2961" t="s">
        <v>3300</v>
      </c>
      <c r="L81" s="2959" t="s">
        <v>3318</v>
      </c>
      <c r="M81" s="2960">
        <v>4748825</v>
      </c>
      <c r="N81" s="2959" t="s">
        <v>3292</v>
      </c>
      <c r="O81" s="2959" t="s">
        <v>3095</v>
      </c>
      <c r="P81" s="2962" t="s">
        <v>3092</v>
      </c>
      <c r="Q81" s="2962" t="s">
        <v>3092</v>
      </c>
      <c r="R81" s="2963"/>
      <c r="S81" s="2962" t="s">
        <v>3315</v>
      </c>
      <c r="T81" s="2960">
        <v>-8897</v>
      </c>
      <c r="U81" s="2963"/>
      <c r="V81" s="2964"/>
      <c r="W81" s="2965"/>
      <c r="X81" s="2963"/>
      <c r="Y81" s="2965"/>
      <c r="Z81" s="2964"/>
      <c r="AA81" s="2964"/>
      <c r="AB81" s="2964"/>
      <c r="AC81">
        <f t="shared" si="3"/>
        <v>63640</v>
      </c>
    </row>
    <row r="82" spans="1:29" ht="20.100000000000001" customHeight="1">
      <c r="A82" s="2959" t="s">
        <v>3321</v>
      </c>
      <c r="B82" s="2959" t="s">
        <v>3596</v>
      </c>
      <c r="C82" s="2972" t="str">
        <f t="shared" si="2"/>
        <v>3</v>
      </c>
      <c r="D82" s="2959">
        <v>139</v>
      </c>
      <c r="E82" s="2971">
        <f>VLOOKUP(D82,[3]房屋建筑面积分户计算明晰表!$A$7:$B$105,2,0)</f>
        <v>119.09</v>
      </c>
      <c r="F82" s="2971">
        <f>VLOOKUP(D82,[3]房屋建筑面积分户计算明晰表!$A$7:$C$105,3,0)</f>
        <v>102.03</v>
      </c>
      <c r="G82" s="2959" t="s">
        <v>3322</v>
      </c>
      <c r="H82" s="2959" t="s">
        <v>3300</v>
      </c>
      <c r="I82" s="2960">
        <v>118.44</v>
      </c>
      <c r="J82" s="2960">
        <v>102.33</v>
      </c>
      <c r="K82" s="2961" t="s">
        <v>3300</v>
      </c>
      <c r="L82" s="2959" t="s">
        <v>3230</v>
      </c>
      <c r="M82" s="2960">
        <v>11122953</v>
      </c>
      <c r="N82" s="2959" t="s">
        <v>3307</v>
      </c>
      <c r="O82" s="2959" t="s">
        <v>3111</v>
      </c>
      <c r="P82" s="2962" t="s">
        <v>3092</v>
      </c>
      <c r="Q82" s="2962" t="s">
        <v>3092</v>
      </c>
      <c r="R82" s="2963"/>
      <c r="S82" s="2962" t="s">
        <v>3285</v>
      </c>
      <c r="T82" s="2960">
        <v>-32609</v>
      </c>
      <c r="U82" s="2963"/>
      <c r="V82" s="2964"/>
      <c r="W82" s="2965"/>
      <c r="X82" s="2963"/>
      <c r="Y82" s="2965"/>
      <c r="Z82" s="2964"/>
      <c r="AA82" s="2964"/>
      <c r="AB82" s="2964"/>
      <c r="AC82">
        <f t="shared" si="3"/>
        <v>93400</v>
      </c>
    </row>
    <row r="83" spans="1:29" ht="20.100000000000001" customHeight="1">
      <c r="A83" s="2959" t="s">
        <v>3323</v>
      </c>
      <c r="B83" s="2959" t="s">
        <v>3597</v>
      </c>
      <c r="C83" s="2972" t="str">
        <f t="shared" si="2"/>
        <v>3</v>
      </c>
      <c r="D83" s="2959">
        <v>136</v>
      </c>
      <c r="E83" s="2971">
        <f>VLOOKUP(D83,[3]房屋建筑面积分户计算明晰表!$A$7:$B$105,2,0)</f>
        <v>96.25</v>
      </c>
      <c r="F83" s="2971">
        <f>VLOOKUP(D83,[3]房屋建筑面积分户计算明晰表!$A$7:$C$105,3,0)</f>
        <v>82.46</v>
      </c>
      <c r="G83" s="2959" t="s">
        <v>3324</v>
      </c>
      <c r="H83" s="2959" t="s">
        <v>3300</v>
      </c>
      <c r="I83" s="2960">
        <v>95.68</v>
      </c>
      <c r="J83" s="2960">
        <v>82.66</v>
      </c>
      <c r="K83" s="2961" t="s">
        <v>3300</v>
      </c>
      <c r="L83" s="2959" t="s">
        <v>3285</v>
      </c>
      <c r="M83" s="2960">
        <v>10030100</v>
      </c>
      <c r="N83" s="2959" t="s">
        <v>3264</v>
      </c>
      <c r="O83" s="2959" t="s">
        <v>3095</v>
      </c>
      <c r="P83" s="2962" t="s">
        <v>3092</v>
      </c>
      <c r="Q83" s="2962" t="s">
        <v>3092</v>
      </c>
      <c r="R83" s="2963"/>
      <c r="S83" s="2962" t="s">
        <v>3285</v>
      </c>
      <c r="T83" s="2960">
        <v>-24268</v>
      </c>
      <c r="U83" s="2963"/>
      <c r="V83" s="2964"/>
      <c r="W83" s="2965"/>
      <c r="X83" s="2963"/>
      <c r="Y83" s="2965"/>
      <c r="Z83" s="2964"/>
      <c r="AA83" s="2964"/>
      <c r="AB83" s="2964"/>
      <c r="AC83">
        <f t="shared" si="3"/>
        <v>104209</v>
      </c>
    </row>
    <row r="84" spans="1:29" ht="20.100000000000001" customHeight="1">
      <c r="A84" s="2959" t="s">
        <v>3489</v>
      </c>
      <c r="B84" s="2959" t="s">
        <v>3598</v>
      </c>
      <c r="C84" s="2970" t="str">
        <f t="shared" si="2"/>
        <v>2</v>
      </c>
      <c r="D84" s="2959">
        <v>128</v>
      </c>
      <c r="E84" s="2971">
        <f>VLOOKUP(D84,[2]Sheet1!$A$2:$B$330,2,0)</f>
        <v>85.25</v>
      </c>
      <c r="F84" s="2971">
        <f>VLOOKUP(D84,[2]房屋建筑面积分户计算明晰表!$A$2:$C$330,3,0)</f>
        <v>73.040000000000006</v>
      </c>
      <c r="G84" s="2959" t="s">
        <v>3490</v>
      </c>
      <c r="H84" s="2959" t="s">
        <v>3354</v>
      </c>
      <c r="I84" s="2960">
        <v>84.44</v>
      </c>
      <c r="J84" s="2960">
        <v>72.95</v>
      </c>
      <c r="K84" s="2961" t="s">
        <v>3354</v>
      </c>
      <c r="L84" s="2959" t="s">
        <v>3354</v>
      </c>
      <c r="M84" s="2960">
        <v>11577703</v>
      </c>
      <c r="N84" s="2959" t="s">
        <v>3090</v>
      </c>
      <c r="O84" s="2959" t="s">
        <v>3111</v>
      </c>
      <c r="P84" s="2962" t="s">
        <v>3092</v>
      </c>
      <c r="Q84" s="2962" t="s">
        <v>3092</v>
      </c>
      <c r="R84" s="2963"/>
      <c r="S84" s="2962" t="s">
        <v>3193</v>
      </c>
      <c r="T84" s="2960">
        <v>14284</v>
      </c>
      <c r="U84" s="2963"/>
      <c r="V84" s="2964"/>
      <c r="W84" s="2965"/>
      <c r="X84" s="2963"/>
      <c r="Y84" s="2965"/>
      <c r="Z84" s="2964"/>
      <c r="AA84" s="2964"/>
      <c r="AB84" s="2964"/>
      <c r="AC84">
        <f t="shared" si="3"/>
        <v>135809</v>
      </c>
    </row>
    <row r="85" spans="1:29" ht="20.100000000000001" customHeight="1">
      <c r="A85" s="2959" t="s">
        <v>3246</v>
      </c>
      <c r="B85" s="2959" t="s">
        <v>3599</v>
      </c>
      <c r="C85" s="2970" t="str">
        <f t="shared" si="2"/>
        <v>2</v>
      </c>
      <c r="D85" s="2959">
        <v>328</v>
      </c>
      <c r="E85" s="2971">
        <f>VLOOKUP(D85,[2]Sheet1!$A$2:$B$330,2,0)</f>
        <v>89.61</v>
      </c>
      <c r="F85" s="2971">
        <f>VLOOKUP(D85,[2]房屋建筑面积分户计算明晰表!$A$2:$C$330,3,0)</f>
        <v>56.6</v>
      </c>
      <c r="G85" s="2959" t="s">
        <v>3247</v>
      </c>
      <c r="H85" s="2959" t="s">
        <v>3234</v>
      </c>
      <c r="I85" s="2960">
        <v>88.81</v>
      </c>
      <c r="J85" s="2960">
        <v>56.23</v>
      </c>
      <c r="K85" s="2961" t="s">
        <v>3234</v>
      </c>
      <c r="L85" s="2959" t="s">
        <v>3234</v>
      </c>
      <c r="M85" s="2960">
        <v>4658104</v>
      </c>
      <c r="N85" s="2959" t="s">
        <v>3194</v>
      </c>
      <c r="O85" s="2959" t="s">
        <v>3152</v>
      </c>
      <c r="P85" s="2962" t="s">
        <v>3092</v>
      </c>
      <c r="Q85" s="2962" t="s">
        <v>3092</v>
      </c>
      <c r="R85" s="2963"/>
      <c r="S85" s="2962" t="s">
        <v>3208</v>
      </c>
      <c r="T85" s="2960">
        <v>30651</v>
      </c>
      <c r="U85" s="2963"/>
      <c r="V85" s="2964"/>
      <c r="W85" s="2965"/>
      <c r="X85" s="2963"/>
      <c r="Y85" s="2965"/>
      <c r="Z85" s="2964"/>
      <c r="AA85" s="2964"/>
      <c r="AB85" s="2964"/>
      <c r="AC85">
        <f t="shared" si="3"/>
        <v>51982</v>
      </c>
    </row>
    <row r="86" spans="1:29" ht="20.100000000000001" customHeight="1">
      <c r="A86" s="2959" t="s">
        <v>3503</v>
      </c>
      <c r="B86" s="2959" t="s">
        <v>3600</v>
      </c>
      <c r="C86" s="2970" t="str">
        <f t="shared" si="2"/>
        <v>2</v>
      </c>
      <c r="D86" s="2959">
        <v>127</v>
      </c>
      <c r="E86" s="2971">
        <f>VLOOKUP(D86,[2]Sheet1!$A$2:$B$330,2,0)</f>
        <v>91.53</v>
      </c>
      <c r="F86" s="2971">
        <f>VLOOKUP(D86,[2]房屋建筑面积分户计算明晰表!$A$2:$C$330,3,0)</f>
        <v>78.42</v>
      </c>
      <c r="G86" s="2959" t="s">
        <v>3504</v>
      </c>
      <c r="H86" s="2959" t="s">
        <v>3354</v>
      </c>
      <c r="I86" s="2960">
        <v>90.8</v>
      </c>
      <c r="J86" s="2960">
        <v>78.45</v>
      </c>
      <c r="K86" s="2961" t="s">
        <v>3354</v>
      </c>
      <c r="L86" s="2959" t="s">
        <v>3354</v>
      </c>
      <c r="M86" s="2960">
        <v>6526021</v>
      </c>
      <c r="N86" s="2959" t="s">
        <v>3090</v>
      </c>
      <c r="O86" s="2959" t="s">
        <v>3111</v>
      </c>
      <c r="P86" s="2962" t="s">
        <v>3092</v>
      </c>
      <c r="Q86" s="2962" t="s">
        <v>3092</v>
      </c>
      <c r="R86" s="2963"/>
      <c r="S86" s="2962" t="s">
        <v>3431</v>
      </c>
      <c r="T86" s="2960">
        <v>-2496</v>
      </c>
      <c r="U86" s="2963"/>
      <c r="V86" s="2964"/>
      <c r="W86" s="2965"/>
      <c r="X86" s="2963"/>
      <c r="Y86" s="2965"/>
      <c r="Z86" s="2964"/>
      <c r="AA86" s="2964"/>
      <c r="AB86" s="2964"/>
      <c r="AC86">
        <f t="shared" si="3"/>
        <v>71299</v>
      </c>
    </row>
    <row r="87" spans="1:29" ht="20.100000000000001" customHeight="1">
      <c r="A87" s="2959" t="s">
        <v>3407</v>
      </c>
      <c r="B87" s="2959" t="s">
        <v>3601</v>
      </c>
      <c r="C87" s="2970" t="str">
        <f t="shared" si="2"/>
        <v>2</v>
      </c>
      <c r="D87" s="2959">
        <v>-119</v>
      </c>
      <c r="E87" s="2971">
        <f>VLOOKUP(D87,[2]Sheet1!$A$2:$B$330,2,0)</f>
        <v>92.87</v>
      </c>
      <c r="F87" s="2971">
        <f>VLOOKUP(D87,[2]房屋建筑面积分户计算明晰表!$A$2:$C$330,3,0)</f>
        <v>68.91</v>
      </c>
      <c r="G87" s="2959" t="s">
        <v>3408</v>
      </c>
      <c r="H87" s="2959" t="s">
        <v>3344</v>
      </c>
      <c r="I87" s="2960">
        <v>92.64</v>
      </c>
      <c r="J87" s="2960">
        <v>68.7</v>
      </c>
      <c r="K87" s="2961" t="s">
        <v>3347</v>
      </c>
      <c r="L87" s="2959" t="s">
        <v>3347</v>
      </c>
      <c r="M87" s="2960">
        <v>5045129</v>
      </c>
      <c r="N87" s="2959" t="s">
        <v>3370</v>
      </c>
      <c r="O87" s="2959" t="s">
        <v>3349</v>
      </c>
      <c r="P87" s="2962" t="s">
        <v>3092</v>
      </c>
      <c r="Q87" s="2962" t="s">
        <v>3092</v>
      </c>
      <c r="R87" s="2963"/>
      <c r="S87" s="2962" t="s">
        <v>3409</v>
      </c>
      <c r="T87" s="2960">
        <v>15422</v>
      </c>
      <c r="U87" s="2963"/>
      <c r="V87" s="2964"/>
      <c r="W87" s="2965"/>
      <c r="X87" s="2963"/>
      <c r="Y87" s="2965"/>
      <c r="Z87" s="2964"/>
      <c r="AA87" s="2964"/>
      <c r="AB87" s="2964"/>
      <c r="AC87">
        <f t="shared" si="3"/>
        <v>54325</v>
      </c>
    </row>
    <row r="88" spans="1:29" ht="20.100000000000001" customHeight="1">
      <c r="A88" s="2959" t="s">
        <v>3335</v>
      </c>
      <c r="B88" s="2959" t="s">
        <v>3602</v>
      </c>
      <c r="C88" s="2970" t="str">
        <f t="shared" si="2"/>
        <v>2</v>
      </c>
      <c r="D88" s="2959">
        <v>220</v>
      </c>
      <c r="E88" s="2971">
        <f>VLOOKUP(D88,[2]Sheet1!$A$2:$B$330,2,0)</f>
        <v>93.04</v>
      </c>
      <c r="F88" s="2971">
        <f>VLOOKUP(D88,[2]房屋建筑面积分户计算明晰表!$A$2:$C$330,3,0)</f>
        <v>69.5</v>
      </c>
      <c r="G88" s="2959" t="s">
        <v>3336</v>
      </c>
      <c r="H88" s="2959" t="s">
        <v>3337</v>
      </c>
      <c r="I88" s="2960">
        <v>91.57</v>
      </c>
      <c r="J88" s="2960">
        <v>68.78</v>
      </c>
      <c r="K88" s="2961" t="s">
        <v>3338</v>
      </c>
      <c r="L88" s="2959" t="s">
        <v>3339</v>
      </c>
      <c r="M88" s="2960">
        <v>4896031</v>
      </c>
      <c r="N88" s="2959" t="s">
        <v>3330</v>
      </c>
      <c r="O88" s="2959" t="s">
        <v>3111</v>
      </c>
      <c r="P88" s="2962" t="s">
        <v>3092</v>
      </c>
      <c r="Q88" s="2962" t="s">
        <v>3092</v>
      </c>
      <c r="R88" s="2963"/>
      <c r="S88" s="2963"/>
      <c r="T88" s="2960">
        <v>51252</v>
      </c>
      <c r="U88" s="2963"/>
      <c r="V88" s="2964"/>
      <c r="W88" s="2965"/>
      <c r="X88" s="2963"/>
      <c r="Y88" s="2965"/>
      <c r="Z88" s="2964"/>
      <c r="AA88" s="2964"/>
      <c r="AB88" s="2964"/>
      <c r="AC88">
        <f t="shared" si="3"/>
        <v>52623</v>
      </c>
    </row>
    <row r="89" spans="1:29" ht="20.100000000000001" customHeight="1">
      <c r="A89" s="2959" t="s">
        <v>3220</v>
      </c>
      <c r="B89" s="2959" t="s">
        <v>3603</v>
      </c>
      <c r="C89" s="2970" t="str">
        <f t="shared" si="2"/>
        <v>2</v>
      </c>
      <c r="D89" s="2959">
        <v>-102</v>
      </c>
      <c r="E89" s="2971">
        <f>VLOOKUP(D89,[2]Sheet1!$A$2:$B$330,2,0)</f>
        <v>93.09</v>
      </c>
      <c r="F89" s="2971">
        <f>VLOOKUP(D89,[2]房屋建筑面积分户计算明晰表!$A$2:$C$330,3,0)</f>
        <v>69.069999999999993</v>
      </c>
      <c r="G89" s="2959" t="s">
        <v>3221</v>
      </c>
      <c r="H89" s="2959" t="s">
        <v>3222</v>
      </c>
      <c r="I89" s="2960">
        <v>92.78</v>
      </c>
      <c r="J89" s="2960">
        <v>68.81</v>
      </c>
      <c r="K89" s="2961" t="s">
        <v>3222</v>
      </c>
      <c r="L89" s="2959" t="s">
        <v>3223</v>
      </c>
      <c r="M89" s="2960">
        <v>4901632</v>
      </c>
      <c r="N89" s="2959" t="s">
        <v>3090</v>
      </c>
      <c r="O89" s="2959" t="s">
        <v>3095</v>
      </c>
      <c r="P89" s="2962" t="s">
        <v>3092</v>
      </c>
      <c r="Q89" s="2962" t="s">
        <v>3092</v>
      </c>
      <c r="R89" s="2963"/>
      <c r="S89" s="2962" t="s">
        <v>3222</v>
      </c>
      <c r="T89" s="2960">
        <v>18521</v>
      </c>
      <c r="U89" s="2963"/>
      <c r="V89" s="2964"/>
      <c r="W89" s="2965"/>
      <c r="X89" s="2963"/>
      <c r="Y89" s="2965"/>
      <c r="Z89" s="2964"/>
      <c r="AA89" s="2964"/>
      <c r="AB89" s="2964"/>
      <c r="AC89">
        <f t="shared" si="3"/>
        <v>52655</v>
      </c>
    </row>
    <row r="90" spans="1:29" ht="20.100000000000001" customHeight="1">
      <c r="A90" s="2959" t="s">
        <v>3424</v>
      </c>
      <c r="B90" s="2959" t="s">
        <v>3604</v>
      </c>
      <c r="C90" s="2970" t="str">
        <f t="shared" si="2"/>
        <v>2</v>
      </c>
      <c r="D90" s="2959">
        <v>109</v>
      </c>
      <c r="E90" s="2971">
        <f>VLOOKUP(D90,[2]Sheet1!$A$2:$B$330,2,0)</f>
        <v>93.26</v>
      </c>
      <c r="F90" s="2971">
        <f>VLOOKUP(D90,[2]房屋建筑面积分户计算明晰表!$A$2:$C$330,3,0)</f>
        <v>79.900000000000006</v>
      </c>
      <c r="G90" s="2959" t="s">
        <v>3425</v>
      </c>
      <c r="H90" s="2959" t="s">
        <v>3344</v>
      </c>
      <c r="I90" s="2960">
        <v>92.38</v>
      </c>
      <c r="J90" s="2960">
        <v>79.81</v>
      </c>
      <c r="K90" s="2961" t="s">
        <v>3344</v>
      </c>
      <c r="L90" s="2959" t="s">
        <v>3344</v>
      </c>
      <c r="M90" s="2960">
        <v>8032862</v>
      </c>
      <c r="N90" s="2959" t="s">
        <v>3090</v>
      </c>
      <c r="O90" s="2959" t="s">
        <v>3217</v>
      </c>
      <c r="P90" s="2962" t="s">
        <v>3092</v>
      </c>
      <c r="Q90" s="2962" t="s">
        <v>3092</v>
      </c>
      <c r="R90" s="2963"/>
      <c r="S90" s="2962" t="s">
        <v>3426</v>
      </c>
      <c r="T90" s="2960">
        <v>9058</v>
      </c>
      <c r="U90" s="2963"/>
      <c r="V90" s="2964"/>
      <c r="W90" s="2965"/>
      <c r="X90" s="2963"/>
      <c r="Y90" s="2965"/>
      <c r="Z90" s="2964"/>
      <c r="AA90" s="2964"/>
      <c r="AB90" s="2964"/>
      <c r="AC90">
        <f t="shared" si="3"/>
        <v>86134</v>
      </c>
    </row>
    <row r="91" spans="1:29" ht="20.100000000000001" customHeight="1">
      <c r="A91" s="2959" t="s">
        <v>3410</v>
      </c>
      <c r="B91" s="2959" t="s">
        <v>3605</v>
      </c>
      <c r="C91" s="2970" t="str">
        <f t="shared" si="2"/>
        <v>2</v>
      </c>
      <c r="D91" s="2959">
        <v>-126</v>
      </c>
      <c r="E91" s="2971">
        <f>VLOOKUP(D91,[2]Sheet1!$A$2:$B$330,2,0)</f>
        <v>94.39</v>
      </c>
      <c r="F91" s="2971">
        <f>VLOOKUP(D91,[2]房屋建筑面积分户计算明晰表!$A$2:$C$330,3,0)</f>
        <v>70.040000000000006</v>
      </c>
      <c r="G91" s="2959" t="s">
        <v>3411</v>
      </c>
      <c r="H91" s="2959" t="s">
        <v>3347</v>
      </c>
      <c r="I91" s="2960">
        <v>94.01</v>
      </c>
      <c r="J91" s="2960">
        <v>69.72</v>
      </c>
      <c r="K91" s="2961" t="s">
        <v>3347</v>
      </c>
      <c r="L91" s="2959" t="s">
        <v>3347</v>
      </c>
      <c r="M91" s="2960">
        <v>4854334</v>
      </c>
      <c r="N91" s="2959" t="s">
        <v>3370</v>
      </c>
      <c r="O91" s="2959" t="s">
        <v>3091</v>
      </c>
      <c r="P91" s="2962" t="s">
        <v>3092</v>
      </c>
      <c r="Q91" s="2962" t="s">
        <v>3092</v>
      </c>
      <c r="R91" s="2963"/>
      <c r="S91" s="2962" t="s">
        <v>3409</v>
      </c>
      <c r="T91" s="2960">
        <v>22280</v>
      </c>
      <c r="U91" s="2963"/>
      <c r="V91" s="2964"/>
      <c r="W91" s="2965"/>
      <c r="X91" s="2963"/>
      <c r="Y91" s="2965"/>
      <c r="Z91" s="2964"/>
      <c r="AA91" s="2964"/>
      <c r="AB91" s="2964"/>
      <c r="AC91">
        <f t="shared" si="3"/>
        <v>51428</v>
      </c>
    </row>
    <row r="92" spans="1:29" ht="20.100000000000001" customHeight="1">
      <c r="A92" s="2959" t="s">
        <v>3453</v>
      </c>
      <c r="B92" s="2959" t="s">
        <v>3606</v>
      </c>
      <c r="C92" s="2970" t="str">
        <f t="shared" si="2"/>
        <v>2</v>
      </c>
      <c r="D92" s="2959">
        <v>126</v>
      </c>
      <c r="E92" s="2971">
        <f>VLOOKUP(D92,[2]Sheet1!$A$2:$B$330,2,0)</f>
        <v>95.84</v>
      </c>
      <c r="F92" s="2971">
        <f>VLOOKUP(D92,[2]房屋建筑面积分户计算明晰表!$A$2:$C$330,3,0)</f>
        <v>82.11</v>
      </c>
      <c r="G92" s="2959" t="s">
        <v>3454</v>
      </c>
      <c r="H92" s="2959" t="s">
        <v>3344</v>
      </c>
      <c r="I92" s="2960">
        <v>94.72</v>
      </c>
      <c r="J92" s="2960">
        <v>81.83</v>
      </c>
      <c r="K92" s="2961" t="s">
        <v>3344</v>
      </c>
      <c r="L92" s="2959" t="s">
        <v>3344</v>
      </c>
      <c r="M92" s="2960">
        <v>6659188</v>
      </c>
      <c r="N92" s="2959" t="s">
        <v>3090</v>
      </c>
      <c r="O92" s="2959" t="s">
        <v>3111</v>
      </c>
      <c r="P92" s="2962" t="s">
        <v>3092</v>
      </c>
      <c r="Q92" s="2962" t="s">
        <v>3092</v>
      </c>
      <c r="R92" s="2963"/>
      <c r="S92" s="2962" t="s">
        <v>3318</v>
      </c>
      <c r="T92" s="2960">
        <v>22786</v>
      </c>
      <c r="U92" s="2963"/>
      <c r="V92" s="2964"/>
      <c r="W92" s="2965"/>
      <c r="X92" s="2963"/>
      <c r="Y92" s="2965"/>
      <c r="Z92" s="2964"/>
      <c r="AA92" s="2964"/>
      <c r="AB92" s="2964"/>
      <c r="AC92">
        <f t="shared" si="3"/>
        <v>69482</v>
      </c>
    </row>
    <row r="93" spans="1:29" ht="20.100000000000001" customHeight="1">
      <c r="A93" s="2959" t="s">
        <v>3356</v>
      </c>
      <c r="B93" s="2959" t="s">
        <v>3607</v>
      </c>
      <c r="C93" s="2970" t="str">
        <f t="shared" si="2"/>
        <v>2</v>
      </c>
      <c r="D93" s="2959">
        <v>123</v>
      </c>
      <c r="E93" s="2971">
        <f>VLOOKUP(D93,[2]Sheet1!$A$2:$B$330,2,0)</f>
        <v>95.85</v>
      </c>
      <c r="F93" s="2971">
        <f>VLOOKUP(D93,[2]房屋建筑面积分户计算明晰表!$A$2:$C$330,3,0)</f>
        <v>82.12</v>
      </c>
      <c r="G93" s="2959" t="s">
        <v>3357</v>
      </c>
      <c r="H93" s="2959" t="s">
        <v>3354</v>
      </c>
      <c r="I93" s="2960">
        <v>94.32</v>
      </c>
      <c r="J93" s="2960">
        <v>81.489999999999995</v>
      </c>
      <c r="K93" s="2961" t="s">
        <v>3348</v>
      </c>
      <c r="L93" s="2959" t="s">
        <v>3334</v>
      </c>
      <c r="M93" s="2960">
        <v>6375386</v>
      </c>
      <c r="N93" s="2959" t="s">
        <v>3355</v>
      </c>
      <c r="O93" s="2959" t="s">
        <v>3111</v>
      </c>
      <c r="P93" s="2962" t="s">
        <v>3092</v>
      </c>
      <c r="Q93" s="2962" t="s">
        <v>3092</v>
      </c>
      <c r="R93" s="2963"/>
      <c r="S93" s="2962" t="s">
        <v>3358</v>
      </c>
      <c r="T93" s="2960">
        <v>49288</v>
      </c>
      <c r="U93" s="2963"/>
      <c r="V93" s="2964"/>
      <c r="W93" s="2965"/>
      <c r="X93" s="2963"/>
      <c r="Y93" s="2965"/>
      <c r="Z93" s="2964"/>
      <c r="AA93" s="2964"/>
      <c r="AB93" s="2964"/>
      <c r="AC93">
        <f t="shared" si="3"/>
        <v>66514</v>
      </c>
    </row>
    <row r="94" spans="1:29" ht="20.100000000000001" customHeight="1">
      <c r="A94" s="2959" t="s">
        <v>3195</v>
      </c>
      <c r="B94" s="2959" t="s">
        <v>3608</v>
      </c>
      <c r="C94" s="2970" t="str">
        <f t="shared" si="2"/>
        <v>2</v>
      </c>
      <c r="D94" s="2959">
        <v>-107</v>
      </c>
      <c r="E94" s="2971">
        <f>VLOOKUP(D94,[2]Sheet1!$A$2:$B$330,2,0)</f>
        <v>95.94</v>
      </c>
      <c r="F94" s="2971">
        <f>VLOOKUP(D94,[2]房屋建筑面积分户计算明晰表!$A$2:$C$330,3,0)</f>
        <v>71.19</v>
      </c>
      <c r="G94" s="2959" t="s">
        <v>3196</v>
      </c>
      <c r="H94" s="2959" t="s">
        <v>3197</v>
      </c>
      <c r="I94" s="2960">
        <v>95.99</v>
      </c>
      <c r="J94" s="2960">
        <v>71.19</v>
      </c>
      <c r="K94" s="2961" t="s">
        <v>3198</v>
      </c>
      <c r="L94" s="2959" t="s">
        <v>3199</v>
      </c>
      <c r="M94" s="2960">
        <v>5073252</v>
      </c>
      <c r="N94" s="2959" t="s">
        <v>3090</v>
      </c>
      <c r="O94" s="2959" t="s">
        <v>3200</v>
      </c>
      <c r="P94" s="2962" t="s">
        <v>3092</v>
      </c>
      <c r="Q94" s="2962" t="s">
        <v>3092</v>
      </c>
      <c r="R94" s="2963"/>
      <c r="S94" s="2962" t="s">
        <v>3198</v>
      </c>
      <c r="T94" s="2966"/>
      <c r="U94" s="2963"/>
      <c r="V94" s="2964"/>
      <c r="W94" s="2965"/>
      <c r="X94" s="2963"/>
      <c r="Y94" s="2965"/>
      <c r="Z94" s="2964"/>
      <c r="AA94" s="2964"/>
      <c r="AB94" s="2964"/>
      <c r="AC94">
        <f t="shared" si="3"/>
        <v>52879</v>
      </c>
    </row>
    <row r="95" spans="1:29" ht="20.100000000000001" customHeight="1">
      <c r="A95" s="2959" t="s">
        <v>3434</v>
      </c>
      <c r="B95" s="2959" t="s">
        <v>3609</v>
      </c>
      <c r="C95" s="2970" t="str">
        <f t="shared" si="2"/>
        <v>2</v>
      </c>
      <c r="D95" s="2959">
        <v>102</v>
      </c>
      <c r="E95" s="2971">
        <f>VLOOKUP(D95,[2]Sheet1!$A$2:$B$330,2,0)</f>
        <v>96.07</v>
      </c>
      <c r="F95" s="2971">
        <f>VLOOKUP(D95,[2]房屋建筑面积分户计算明晰表!$A$2:$C$330,3,0)</f>
        <v>82.31</v>
      </c>
      <c r="G95" s="2959" t="s">
        <v>3435</v>
      </c>
      <c r="H95" s="2959" t="s">
        <v>3344</v>
      </c>
      <c r="I95" s="2960">
        <v>95.35</v>
      </c>
      <c r="J95" s="2960">
        <v>82.38</v>
      </c>
      <c r="K95" s="2961" t="s">
        <v>3344</v>
      </c>
      <c r="L95" s="2959" t="s">
        <v>3344</v>
      </c>
      <c r="M95" s="2960">
        <v>9302028</v>
      </c>
      <c r="N95" s="2959" t="s">
        <v>3090</v>
      </c>
      <c r="O95" s="2959" t="s">
        <v>3091</v>
      </c>
      <c r="P95" s="2962" t="s">
        <v>3092</v>
      </c>
      <c r="Q95" s="2962" t="s">
        <v>3092</v>
      </c>
      <c r="R95" s="2963"/>
      <c r="S95" s="2962" t="s">
        <v>3385</v>
      </c>
      <c r="T95" s="2960">
        <v>-7904</v>
      </c>
      <c r="U95" s="2963"/>
      <c r="V95" s="2964"/>
      <c r="W95" s="2965"/>
      <c r="X95" s="2963"/>
      <c r="Y95" s="2965"/>
      <c r="Z95" s="2964"/>
      <c r="AA95" s="2964"/>
      <c r="AB95" s="2964"/>
      <c r="AC95">
        <f t="shared" si="3"/>
        <v>96826</v>
      </c>
    </row>
    <row r="96" spans="1:29" ht="20.100000000000001" customHeight="1">
      <c r="A96" s="2959" t="s">
        <v>3352</v>
      </c>
      <c r="B96" s="2959" t="s">
        <v>3610</v>
      </c>
      <c r="C96" s="2970" t="str">
        <f t="shared" si="2"/>
        <v>2</v>
      </c>
      <c r="D96" s="2959">
        <v>122</v>
      </c>
      <c r="E96" s="2971">
        <f>VLOOKUP(D96,[2]Sheet1!$A$2:$B$330,2,0)</f>
        <v>96.33</v>
      </c>
      <c r="F96" s="2971">
        <f>VLOOKUP(D96,[2]房屋建筑面积分户计算明晰表!$A$2:$C$330,3,0)</f>
        <v>82.53</v>
      </c>
      <c r="G96" s="2959" t="s">
        <v>3353</v>
      </c>
      <c r="H96" s="2959" t="s">
        <v>3354</v>
      </c>
      <c r="I96" s="2960">
        <v>95.17</v>
      </c>
      <c r="J96" s="2960">
        <v>82.22</v>
      </c>
      <c r="K96" s="2961" t="s">
        <v>3348</v>
      </c>
      <c r="L96" s="2959" t="s">
        <v>3334</v>
      </c>
      <c r="M96" s="2960">
        <v>6339886</v>
      </c>
      <c r="N96" s="2959" t="s">
        <v>3355</v>
      </c>
      <c r="O96" s="2959" t="s">
        <v>3111</v>
      </c>
      <c r="P96" s="2962" t="s">
        <v>3092</v>
      </c>
      <c r="Q96" s="2962" t="s">
        <v>3092</v>
      </c>
      <c r="R96" s="2963"/>
      <c r="S96" s="2962" t="s">
        <v>3285</v>
      </c>
      <c r="T96" s="2960">
        <v>23904</v>
      </c>
      <c r="U96" s="2963"/>
      <c r="V96" s="2964"/>
      <c r="W96" s="2965"/>
      <c r="X96" s="2963"/>
      <c r="Y96" s="2965"/>
      <c r="Z96" s="2964"/>
      <c r="AA96" s="2964"/>
      <c r="AB96" s="2964"/>
      <c r="AC96">
        <f t="shared" si="3"/>
        <v>65814</v>
      </c>
    </row>
    <row r="97" spans="1:29" ht="20.100000000000001" customHeight="1">
      <c r="A97" s="2959" t="s">
        <v>3227</v>
      </c>
      <c r="B97" s="2959" t="s">
        <v>3611</v>
      </c>
      <c r="C97" s="2970" t="str">
        <f t="shared" si="2"/>
        <v>2</v>
      </c>
      <c r="D97" s="2959">
        <v>323</v>
      </c>
      <c r="E97" s="2971">
        <f>VLOOKUP(D97,[2]Sheet1!$A$2:$B$330,2,0)</f>
        <v>96.75</v>
      </c>
      <c r="F97" s="2971">
        <f>VLOOKUP(D97,[2]房屋建筑面积分户计算明晰表!$A$2:$C$330,3,0)</f>
        <v>61.11</v>
      </c>
      <c r="G97" s="2959" t="s">
        <v>3228</v>
      </c>
      <c r="H97" s="2959" t="s">
        <v>3229</v>
      </c>
      <c r="I97" s="2960">
        <v>96.42</v>
      </c>
      <c r="J97" s="2960">
        <v>61.05</v>
      </c>
      <c r="K97" s="2961" t="s">
        <v>3230</v>
      </c>
      <c r="L97" s="2959" t="s">
        <v>3181</v>
      </c>
      <c r="M97" s="2960">
        <v>4568945</v>
      </c>
      <c r="N97" s="2959" t="s">
        <v>3090</v>
      </c>
      <c r="O97" s="2959" t="s">
        <v>3231</v>
      </c>
      <c r="P97" s="2962" t="s">
        <v>3092</v>
      </c>
      <c r="Q97" s="2962" t="s">
        <v>3092</v>
      </c>
      <c r="R97" s="2963"/>
      <c r="S97" s="2962" t="s">
        <v>3230</v>
      </c>
      <c r="T97" s="2960">
        <v>4490</v>
      </c>
      <c r="U97" s="2963"/>
      <c r="V97" s="2964"/>
      <c r="W97" s="2965"/>
      <c r="X97" s="2963"/>
      <c r="Y97" s="2965"/>
      <c r="Z97" s="2964"/>
      <c r="AA97" s="2964"/>
      <c r="AB97" s="2964"/>
      <c r="AC97">
        <f t="shared" si="3"/>
        <v>47224</v>
      </c>
    </row>
    <row r="98" spans="1:29" ht="20.100000000000001" customHeight="1">
      <c r="A98" s="2959" t="s">
        <v>3458</v>
      </c>
      <c r="B98" s="2959" t="s">
        <v>3612</v>
      </c>
      <c r="C98" s="2970" t="str">
        <f t="shared" si="2"/>
        <v>2</v>
      </c>
      <c r="D98" s="2959">
        <v>125</v>
      </c>
      <c r="E98" s="2971">
        <f>VLOOKUP(D98,[2]Sheet1!$A$2:$B$330,2,0)</f>
        <v>97.52</v>
      </c>
      <c r="F98" s="2971">
        <f>VLOOKUP(D98,[2]房屋建筑面积分户计算明晰表!$A$2:$C$330,3,0)</f>
        <v>83.55</v>
      </c>
      <c r="G98" s="2959" t="s">
        <v>3459</v>
      </c>
      <c r="H98" s="2959" t="s">
        <v>3344</v>
      </c>
      <c r="I98" s="2960">
        <v>96.36</v>
      </c>
      <c r="J98" s="2960">
        <v>83.25</v>
      </c>
      <c r="K98" s="2961" t="s">
        <v>3344</v>
      </c>
      <c r="L98" s="2959" t="s">
        <v>3344</v>
      </c>
      <c r="M98" s="2960">
        <v>6675629</v>
      </c>
      <c r="N98" s="2959" t="s">
        <v>3090</v>
      </c>
      <c r="O98" s="2959" t="s">
        <v>3457</v>
      </c>
      <c r="P98" s="2962" t="s">
        <v>3092</v>
      </c>
      <c r="Q98" s="2962" t="s">
        <v>3092</v>
      </c>
      <c r="R98" s="2963"/>
      <c r="S98" s="2962" t="s">
        <v>3460</v>
      </c>
      <c r="T98" s="2960">
        <v>24056</v>
      </c>
      <c r="U98" s="2963"/>
      <c r="V98" s="2964"/>
      <c r="W98" s="2965"/>
      <c r="X98" s="2963"/>
      <c r="Y98" s="2965"/>
      <c r="Z98" s="2964"/>
      <c r="AA98" s="2964"/>
      <c r="AB98" s="2964"/>
      <c r="AC98">
        <f t="shared" si="3"/>
        <v>68454</v>
      </c>
    </row>
    <row r="99" spans="1:29" ht="20.100000000000001" customHeight="1">
      <c r="A99" s="2959" t="s">
        <v>3262</v>
      </c>
      <c r="B99" s="2959" t="s">
        <v>3613</v>
      </c>
      <c r="C99" s="2970" t="str">
        <f t="shared" si="2"/>
        <v>2</v>
      </c>
      <c r="D99" s="2959">
        <v>319</v>
      </c>
      <c r="E99" s="2971">
        <f>VLOOKUP(D99,[2]Sheet1!$A$2:$B$330,2,0)</f>
        <v>98.19</v>
      </c>
      <c r="F99" s="2971">
        <f>VLOOKUP(D99,[2]房屋建筑面积分户计算明晰表!$A$2:$C$330,3,0)</f>
        <v>62.02</v>
      </c>
      <c r="G99" s="2959" t="s">
        <v>3263</v>
      </c>
      <c r="H99" s="2959" t="s">
        <v>3234</v>
      </c>
      <c r="I99" s="2960">
        <v>98.76</v>
      </c>
      <c r="J99" s="2960">
        <v>62.53</v>
      </c>
      <c r="K99" s="2961" t="s">
        <v>3234</v>
      </c>
      <c r="L99" s="2959" t="s">
        <v>3181</v>
      </c>
      <c r="M99" s="2960">
        <v>4628094</v>
      </c>
      <c r="N99" s="2959" t="s">
        <v>3264</v>
      </c>
      <c r="O99" s="2959" t="s">
        <v>3152</v>
      </c>
      <c r="P99" s="2962" t="s">
        <v>3092</v>
      </c>
      <c r="Q99" s="2962" t="s">
        <v>3092</v>
      </c>
      <c r="R99" s="2963"/>
      <c r="S99" s="2962" t="s">
        <v>3265</v>
      </c>
      <c r="T99" s="2960">
        <v>-37747</v>
      </c>
      <c r="U99" s="2963"/>
      <c r="V99" s="2964"/>
      <c r="W99" s="2965"/>
      <c r="X99" s="2963"/>
      <c r="Y99" s="2965"/>
      <c r="Z99" s="2964"/>
      <c r="AA99" s="2964"/>
      <c r="AB99" s="2964"/>
      <c r="AC99">
        <f t="shared" si="3"/>
        <v>47134</v>
      </c>
    </row>
    <row r="100" spans="1:29" ht="20.100000000000001" customHeight="1">
      <c r="A100" s="2959" t="s">
        <v>3252</v>
      </c>
      <c r="B100" s="2959" t="s">
        <v>3614</v>
      </c>
      <c r="C100" s="2970" t="str">
        <f t="shared" si="2"/>
        <v>2</v>
      </c>
      <c r="D100" s="2959">
        <v>306</v>
      </c>
      <c r="E100" s="2971">
        <f>VLOOKUP(D100,[2]Sheet1!$A$2:$B$330,2,0)</f>
        <v>99.05</v>
      </c>
      <c r="F100" s="2971">
        <f>VLOOKUP(D100,[2]房屋建筑面积分户计算明晰表!$A$2:$C$330,3,0)</f>
        <v>62.56</v>
      </c>
      <c r="G100" s="2959" t="s">
        <v>3253</v>
      </c>
      <c r="H100" s="2959" t="s">
        <v>3250</v>
      </c>
      <c r="I100" s="2960">
        <v>98.18</v>
      </c>
      <c r="J100" s="2960">
        <v>62.16</v>
      </c>
      <c r="K100" s="2961" t="s">
        <v>3234</v>
      </c>
      <c r="L100" s="2959" t="s">
        <v>3251</v>
      </c>
      <c r="M100" s="2960">
        <v>4903773</v>
      </c>
      <c r="N100" s="2959" t="s">
        <v>3194</v>
      </c>
      <c r="O100" s="2959" t="s">
        <v>3152</v>
      </c>
      <c r="P100" s="2962" t="s">
        <v>3092</v>
      </c>
      <c r="Q100" s="2962" t="s">
        <v>3092</v>
      </c>
      <c r="R100" s="2963"/>
      <c r="S100" s="2962" t="s">
        <v>3235</v>
      </c>
      <c r="T100" s="2960">
        <v>31556</v>
      </c>
      <c r="U100" s="2963"/>
      <c r="V100" s="2964"/>
      <c r="W100" s="2965"/>
      <c r="X100" s="2963"/>
      <c r="Y100" s="2965"/>
      <c r="Z100" s="2964"/>
      <c r="AA100" s="2964"/>
      <c r="AB100" s="2964"/>
      <c r="AC100">
        <f t="shared" si="3"/>
        <v>49508</v>
      </c>
    </row>
    <row r="101" spans="1:29" ht="20.100000000000001" customHeight="1">
      <c r="A101" s="2959" t="s">
        <v>3350</v>
      </c>
      <c r="B101" s="2959" t="s">
        <v>3615</v>
      </c>
      <c r="C101" s="2970" t="str">
        <f t="shared" si="2"/>
        <v>2</v>
      </c>
      <c r="D101" s="2959">
        <v>121</v>
      </c>
      <c r="E101" s="2971">
        <f>VLOOKUP(D101,[2]Sheet1!$A$2:$B$330,2,0)</f>
        <v>99.31</v>
      </c>
      <c r="F101" s="2971">
        <f>VLOOKUP(D101,[2]房屋建筑面积分户计算明晰表!$A$2:$C$330,3,0)</f>
        <v>85.08</v>
      </c>
      <c r="G101" s="2959" t="s">
        <v>3351</v>
      </c>
      <c r="H101" s="2959" t="s">
        <v>3347</v>
      </c>
      <c r="I101" s="2960">
        <v>98.14</v>
      </c>
      <c r="J101" s="2960">
        <v>84.79</v>
      </c>
      <c r="K101" s="2961" t="s">
        <v>3348</v>
      </c>
      <c r="L101" s="2959" t="s">
        <v>3268</v>
      </c>
      <c r="M101" s="2960">
        <v>6608276</v>
      </c>
      <c r="N101" s="2959" t="s">
        <v>3090</v>
      </c>
      <c r="O101" s="2959" t="s">
        <v>3349</v>
      </c>
      <c r="P101" s="2962" t="s">
        <v>3092</v>
      </c>
      <c r="Q101" s="2962" t="s">
        <v>3092</v>
      </c>
      <c r="R101" s="2963"/>
      <c r="S101" s="2962" t="s">
        <v>3300</v>
      </c>
      <c r="T101" s="2960">
        <v>22602</v>
      </c>
      <c r="U101" s="2963"/>
      <c r="V101" s="2964"/>
      <c r="W101" s="2965"/>
      <c r="X101" s="2963"/>
      <c r="Y101" s="2965"/>
      <c r="Z101" s="2964"/>
      <c r="AA101" s="2964"/>
      <c r="AB101" s="2964"/>
      <c r="AC101">
        <f t="shared" si="3"/>
        <v>66542</v>
      </c>
    </row>
    <row r="102" spans="1:29" ht="20.100000000000001" customHeight="1">
      <c r="A102" s="2959" t="s">
        <v>3232</v>
      </c>
      <c r="B102" s="2959" t="s">
        <v>3616</v>
      </c>
      <c r="C102" s="2970" t="str">
        <f t="shared" si="2"/>
        <v>2</v>
      </c>
      <c r="D102" s="2959">
        <v>325</v>
      </c>
      <c r="E102" s="2971">
        <f>VLOOKUP(D102,[2]Sheet1!$A$2:$B$330,2,0)</f>
        <v>100.09</v>
      </c>
      <c r="F102" s="2971">
        <f>VLOOKUP(D102,[2]房屋建筑面积分户计算明晰表!$A$2:$C$330,3,0)</f>
        <v>63.22</v>
      </c>
      <c r="G102" s="2959" t="s">
        <v>3233</v>
      </c>
      <c r="H102" s="2959" t="s">
        <v>3234</v>
      </c>
      <c r="I102" s="2960">
        <v>99.22</v>
      </c>
      <c r="J102" s="2960">
        <v>62.82</v>
      </c>
      <c r="K102" s="2961" t="s">
        <v>3234</v>
      </c>
      <c r="L102" s="2959" t="s">
        <v>3235</v>
      </c>
      <c r="M102" s="2960">
        <v>5366470</v>
      </c>
      <c r="N102" s="2959" t="s">
        <v>3090</v>
      </c>
      <c r="O102" s="2959" t="s">
        <v>3111</v>
      </c>
      <c r="P102" s="2962" t="s">
        <v>3092</v>
      </c>
      <c r="Q102" s="2962" t="s">
        <v>3092</v>
      </c>
      <c r="R102" s="2963"/>
      <c r="S102" s="2962" t="s">
        <v>3104</v>
      </c>
      <c r="T102" s="2960">
        <v>34170</v>
      </c>
      <c r="U102" s="2963"/>
      <c r="V102" s="2964"/>
      <c r="W102" s="2965"/>
      <c r="X102" s="2963"/>
      <c r="Y102" s="2965"/>
      <c r="Z102" s="2964"/>
      <c r="AA102" s="2964"/>
      <c r="AB102" s="2964"/>
      <c r="AC102">
        <f t="shared" si="3"/>
        <v>53616</v>
      </c>
    </row>
    <row r="103" spans="1:29" ht="20.100000000000001" customHeight="1">
      <c r="A103" s="2959" t="s">
        <v>3242</v>
      </c>
      <c r="B103" s="2959" t="s">
        <v>3617</v>
      </c>
      <c r="C103" s="2970" t="str">
        <f t="shared" si="2"/>
        <v>2</v>
      </c>
      <c r="D103" s="2959">
        <v>329</v>
      </c>
      <c r="E103" s="2971">
        <f>VLOOKUP(D103,[2]Sheet1!$A$2:$B$330,2,0)</f>
        <v>100.51</v>
      </c>
      <c r="F103" s="2971">
        <f>VLOOKUP(D103,[2]房屋建筑面积分户计算明晰表!$A$2:$C$330,3,0)</f>
        <v>63.48</v>
      </c>
      <c r="G103" s="2959" t="s">
        <v>3243</v>
      </c>
      <c r="H103" s="2959" t="s">
        <v>3234</v>
      </c>
      <c r="I103" s="2960">
        <v>99.6</v>
      </c>
      <c r="J103" s="2960">
        <v>63.06</v>
      </c>
      <c r="K103" s="2961" t="s">
        <v>3234</v>
      </c>
      <c r="L103" s="2959" t="s">
        <v>3208</v>
      </c>
      <c r="M103" s="2960">
        <v>5332832</v>
      </c>
      <c r="N103" s="2959" t="s">
        <v>3194</v>
      </c>
      <c r="O103" s="2959" t="s">
        <v>3152</v>
      </c>
      <c r="P103" s="2962" t="s">
        <v>3092</v>
      </c>
      <c r="Q103" s="2962" t="s">
        <v>3092</v>
      </c>
      <c r="R103" s="2963"/>
      <c r="S103" s="2962" t="s">
        <v>3208</v>
      </c>
      <c r="T103" s="2960">
        <v>35518</v>
      </c>
      <c r="U103" s="2963"/>
      <c r="V103" s="2964"/>
      <c r="W103" s="2965"/>
      <c r="X103" s="2963"/>
      <c r="Y103" s="2965"/>
      <c r="Z103" s="2964"/>
      <c r="AA103" s="2964"/>
      <c r="AB103" s="2964"/>
      <c r="AC103">
        <f t="shared" si="3"/>
        <v>53058</v>
      </c>
    </row>
    <row r="104" spans="1:29" ht="20.100000000000001" customHeight="1">
      <c r="A104" s="2959" t="s">
        <v>3236</v>
      </c>
      <c r="B104" s="2959" t="s">
        <v>3618</v>
      </c>
      <c r="C104" s="2970" t="str">
        <f t="shared" si="2"/>
        <v>2</v>
      </c>
      <c r="D104" s="2959">
        <v>326</v>
      </c>
      <c r="E104" s="2971">
        <f>VLOOKUP(D104,[2]Sheet1!$A$2:$B$330,2,0)</f>
        <v>100.92</v>
      </c>
      <c r="F104" s="2971">
        <f>VLOOKUP(D104,[2]房屋建筑面积分户计算明晰表!$A$2:$C$330,3,0)</f>
        <v>63.74</v>
      </c>
      <c r="G104" s="2959" t="s">
        <v>3237</v>
      </c>
      <c r="H104" s="2959" t="s">
        <v>3234</v>
      </c>
      <c r="I104" s="2960">
        <v>99.98</v>
      </c>
      <c r="J104" s="2960">
        <v>63.3</v>
      </c>
      <c r="K104" s="2961" t="s">
        <v>3234</v>
      </c>
      <c r="L104" s="2959" t="s">
        <v>3235</v>
      </c>
      <c r="M104" s="2960">
        <v>5408026</v>
      </c>
      <c r="N104" s="2959" t="s">
        <v>3090</v>
      </c>
      <c r="O104" s="2959" t="s">
        <v>3111</v>
      </c>
      <c r="P104" s="2962" t="s">
        <v>3092</v>
      </c>
      <c r="Q104" s="2962" t="s">
        <v>3092</v>
      </c>
      <c r="R104" s="2963"/>
      <c r="S104" s="2962" t="s">
        <v>3104</v>
      </c>
      <c r="T104" s="2960">
        <v>37591</v>
      </c>
      <c r="U104" s="2963"/>
      <c r="V104" s="2964"/>
      <c r="W104" s="2965"/>
      <c r="X104" s="2963"/>
      <c r="Y104" s="2965"/>
      <c r="Z104" s="2964"/>
      <c r="AA104" s="2964"/>
      <c r="AB104" s="2964"/>
      <c r="AC104">
        <f t="shared" si="3"/>
        <v>53587</v>
      </c>
    </row>
    <row r="105" spans="1:29" ht="20.100000000000001" customHeight="1">
      <c r="A105" s="2959" t="s">
        <v>3153</v>
      </c>
      <c r="B105" s="2959" t="s">
        <v>3619</v>
      </c>
      <c r="C105" s="2970" t="str">
        <f t="shared" si="2"/>
        <v>2</v>
      </c>
      <c r="D105" s="2959">
        <v>-105</v>
      </c>
      <c r="E105" s="2971">
        <f>VLOOKUP(D105,[2]Sheet1!$A$2:$B$330,2,0)</f>
        <v>101.14</v>
      </c>
      <c r="F105" s="2971">
        <f>VLOOKUP(D105,[2]房屋建筑面积分户计算明晰表!$A$2:$C$330,3,0)</f>
        <v>75.05</v>
      </c>
      <c r="G105" s="2959" t="s">
        <v>3154</v>
      </c>
      <c r="H105" s="2959" t="s">
        <v>3155</v>
      </c>
      <c r="I105" s="2960">
        <v>100.82</v>
      </c>
      <c r="J105" s="2960">
        <v>74.77</v>
      </c>
      <c r="K105" s="2961" t="s">
        <v>3125</v>
      </c>
      <c r="L105" s="2959" t="s">
        <v>3125</v>
      </c>
      <c r="M105" s="2960">
        <v>5331486</v>
      </c>
      <c r="N105" s="2959" t="s">
        <v>3090</v>
      </c>
      <c r="O105" s="2959" t="s">
        <v>3095</v>
      </c>
      <c r="P105" s="2962" t="s">
        <v>3092</v>
      </c>
      <c r="Q105" s="2962" t="s">
        <v>3092</v>
      </c>
      <c r="R105" s="2963"/>
      <c r="S105" s="2962" t="s">
        <v>3156</v>
      </c>
      <c r="T105" s="2960">
        <v>19965</v>
      </c>
      <c r="U105" s="2963"/>
      <c r="V105" s="2964"/>
      <c r="W105" s="2965"/>
      <c r="X105" s="2963"/>
      <c r="Y105" s="2965"/>
      <c r="Z105" s="2964"/>
      <c r="AA105" s="2964"/>
      <c r="AB105" s="2964"/>
      <c r="AC105">
        <f t="shared" si="3"/>
        <v>52714</v>
      </c>
    </row>
    <row r="106" spans="1:29" ht="20.100000000000001" customHeight="1">
      <c r="A106" s="2959" t="s">
        <v>3436</v>
      </c>
      <c r="B106" s="2959" t="s">
        <v>3620</v>
      </c>
      <c r="C106" s="2970" t="str">
        <f t="shared" si="2"/>
        <v>2</v>
      </c>
      <c r="D106" s="2959">
        <v>103</v>
      </c>
      <c r="E106" s="2971">
        <f>VLOOKUP(D106,[2]Sheet1!$A$2:$B$330,2,0)</f>
        <v>101.51</v>
      </c>
      <c r="F106" s="2971">
        <f>VLOOKUP(D106,[2]房屋建筑面积分户计算明晰表!$A$2:$C$330,3,0)</f>
        <v>86.97</v>
      </c>
      <c r="G106" s="2959" t="s">
        <v>3437</v>
      </c>
      <c r="H106" s="2959" t="s">
        <v>3344</v>
      </c>
      <c r="I106" s="2960">
        <v>99.17</v>
      </c>
      <c r="J106" s="2960">
        <v>85.68</v>
      </c>
      <c r="K106" s="2961" t="s">
        <v>3344</v>
      </c>
      <c r="L106" s="2959" t="s">
        <v>3344</v>
      </c>
      <c r="M106" s="2960">
        <v>13623523</v>
      </c>
      <c r="N106" s="2959" t="s">
        <v>3090</v>
      </c>
      <c r="O106" s="2959" t="s">
        <v>3091</v>
      </c>
      <c r="P106" s="2962" t="s">
        <v>3092</v>
      </c>
      <c r="Q106" s="2962" t="s">
        <v>3092</v>
      </c>
      <c r="R106" s="2963"/>
      <c r="S106" s="2962" t="s">
        <v>3385</v>
      </c>
      <c r="T106" s="2960">
        <v>205116</v>
      </c>
      <c r="U106" s="2963"/>
      <c r="V106" s="2964"/>
      <c r="W106" s="2965"/>
      <c r="X106" s="2963"/>
      <c r="Y106" s="2965"/>
      <c r="Z106" s="2964"/>
      <c r="AA106" s="2964"/>
      <c r="AB106" s="2964"/>
      <c r="AC106">
        <f t="shared" si="3"/>
        <v>134209</v>
      </c>
    </row>
    <row r="107" spans="1:29" ht="20.100000000000001" customHeight="1">
      <c r="A107" s="2959" t="s">
        <v>3505</v>
      </c>
      <c r="B107" s="2959" t="s">
        <v>3621</v>
      </c>
      <c r="C107" s="2970" t="str">
        <f t="shared" si="2"/>
        <v>2</v>
      </c>
      <c r="D107" s="2959">
        <v>211</v>
      </c>
      <c r="E107" s="2971">
        <f>VLOOKUP(D107,[2]Sheet1!$A$2:$B$330,2,0)</f>
        <v>109.28</v>
      </c>
      <c r="F107" s="2971">
        <f>VLOOKUP(D107,[2]房屋建筑面积分户计算明晰表!$A$2:$C$330,3,0)</f>
        <v>81.63</v>
      </c>
      <c r="G107" s="2959" t="s">
        <v>3506</v>
      </c>
      <c r="H107" s="2959" t="s">
        <v>3354</v>
      </c>
      <c r="I107" s="2960">
        <v>108.29</v>
      </c>
      <c r="J107" s="2960">
        <v>81.34</v>
      </c>
      <c r="K107" s="2961" t="s">
        <v>3354</v>
      </c>
      <c r="L107" s="2959" t="s">
        <v>3354</v>
      </c>
      <c r="M107" s="2960">
        <v>6274271</v>
      </c>
      <c r="N107" s="2959" t="s">
        <v>3090</v>
      </c>
      <c r="O107" s="2959" t="s">
        <v>3111</v>
      </c>
      <c r="P107" s="2962" t="s">
        <v>3092</v>
      </c>
      <c r="Q107" s="2962" t="s">
        <v>3092</v>
      </c>
      <c r="R107" s="2963"/>
      <c r="S107" s="2962" t="s">
        <v>3431</v>
      </c>
      <c r="T107" s="2960">
        <v>22370</v>
      </c>
      <c r="U107" s="2963"/>
      <c r="V107" s="2964"/>
      <c r="W107" s="2965"/>
      <c r="X107" s="2963"/>
      <c r="Y107" s="2965"/>
      <c r="Z107" s="2964"/>
      <c r="AA107" s="2964"/>
      <c r="AB107" s="2964"/>
      <c r="AC107">
        <f t="shared" si="3"/>
        <v>57415</v>
      </c>
    </row>
    <row r="108" spans="1:29" ht="20.100000000000001" customHeight="1">
      <c r="A108" s="2959" t="s">
        <v>3254</v>
      </c>
      <c r="B108" s="2959" t="s">
        <v>3622</v>
      </c>
      <c r="C108" s="2970" t="str">
        <f t="shared" si="2"/>
        <v>2</v>
      </c>
      <c r="D108" s="2959">
        <v>307</v>
      </c>
      <c r="E108" s="2971">
        <f>VLOOKUP(D108,[2]Sheet1!$A$2:$B$330,2,0)</f>
        <v>110.75</v>
      </c>
      <c r="F108" s="2971">
        <f>VLOOKUP(D108,[2]房屋建筑面积分户计算明晰表!$A$2:$C$330,3,0)</f>
        <v>69.95</v>
      </c>
      <c r="G108" s="2959" t="s">
        <v>3255</v>
      </c>
      <c r="H108" s="2959" t="s">
        <v>3250</v>
      </c>
      <c r="I108" s="2960">
        <v>109.88</v>
      </c>
      <c r="J108" s="2960">
        <v>69.569999999999993</v>
      </c>
      <c r="K108" s="2961" t="s">
        <v>3234</v>
      </c>
      <c r="L108" s="2959" t="s">
        <v>3251</v>
      </c>
      <c r="M108" s="2960">
        <v>5494879</v>
      </c>
      <c r="N108" s="2959" t="s">
        <v>3194</v>
      </c>
      <c r="O108" s="2959" t="s">
        <v>3152</v>
      </c>
      <c r="P108" s="2962" t="s">
        <v>3092</v>
      </c>
      <c r="Q108" s="2962" t="s">
        <v>3092</v>
      </c>
      <c r="R108" s="2963"/>
      <c r="S108" s="2962" t="s">
        <v>3235</v>
      </c>
      <c r="T108" s="2960">
        <v>30014</v>
      </c>
      <c r="U108" s="2963"/>
      <c r="V108" s="2964"/>
      <c r="W108" s="2965"/>
      <c r="X108" s="2963"/>
      <c r="Y108" s="2965"/>
      <c r="Z108" s="2964"/>
      <c r="AA108" s="2964"/>
      <c r="AB108" s="2964"/>
      <c r="AC108">
        <f t="shared" si="3"/>
        <v>49615</v>
      </c>
    </row>
    <row r="109" spans="1:29" ht="20.100000000000001" customHeight="1">
      <c r="A109" s="2959" t="s">
        <v>3450</v>
      </c>
      <c r="B109" s="2959" t="s">
        <v>3623</v>
      </c>
      <c r="C109" s="2970" t="str">
        <f t="shared" si="2"/>
        <v>2</v>
      </c>
      <c r="D109" s="2959">
        <v>106</v>
      </c>
      <c r="E109" s="2971">
        <f>VLOOKUP(D109,[2]Sheet1!$A$2:$B$330,2,0)</f>
        <v>115.96</v>
      </c>
      <c r="F109" s="2971">
        <f>VLOOKUP(D109,[2]房屋建筑面积分户计算明晰表!$A$2:$C$330,3,0)</f>
        <v>99.35</v>
      </c>
      <c r="G109" s="2959" t="s">
        <v>3451</v>
      </c>
      <c r="H109" s="2959" t="s">
        <v>3344</v>
      </c>
      <c r="I109" s="2960">
        <v>114.86</v>
      </c>
      <c r="J109" s="2960">
        <v>99.23</v>
      </c>
      <c r="K109" s="2961" t="s">
        <v>3344</v>
      </c>
      <c r="L109" s="2959" t="s">
        <v>3344</v>
      </c>
      <c r="M109" s="2960">
        <v>9394170</v>
      </c>
      <c r="N109" s="2959" t="s">
        <v>3090</v>
      </c>
      <c r="O109" s="2959" t="s">
        <v>3111</v>
      </c>
      <c r="P109" s="2962" t="s">
        <v>3092</v>
      </c>
      <c r="Q109" s="2962" t="s">
        <v>3092</v>
      </c>
      <c r="R109" s="2963"/>
      <c r="S109" s="2962" t="s">
        <v>3452</v>
      </c>
      <c r="T109" s="2960">
        <v>11360</v>
      </c>
      <c r="U109" s="2963"/>
      <c r="V109" s="2964"/>
      <c r="W109" s="2965"/>
      <c r="X109" s="2963"/>
      <c r="Y109" s="2965"/>
      <c r="Z109" s="2964"/>
      <c r="AA109" s="2964"/>
      <c r="AB109" s="2964"/>
      <c r="AC109">
        <f t="shared" si="3"/>
        <v>81012</v>
      </c>
    </row>
    <row r="110" spans="1:29" ht="20.100000000000001" customHeight="1">
      <c r="A110" s="2959" t="s">
        <v>3363</v>
      </c>
      <c r="B110" s="2959" t="s">
        <v>3624</v>
      </c>
      <c r="C110" s="2970" t="str">
        <f t="shared" si="2"/>
        <v>2</v>
      </c>
      <c r="D110" s="2959">
        <v>203</v>
      </c>
      <c r="E110" s="2971">
        <f>VLOOKUP(D110,[2]Sheet1!$A$2:$B$330,2,0)</f>
        <v>117.83</v>
      </c>
      <c r="F110" s="2971">
        <f>VLOOKUP(D110,[2]房屋建筑面积分户计算明晰表!$A$2:$C$330,3,0)</f>
        <v>88.02</v>
      </c>
      <c r="G110" s="2959" t="s">
        <v>3364</v>
      </c>
      <c r="H110" s="2959" t="s">
        <v>3348</v>
      </c>
      <c r="I110" s="2960">
        <v>117.05</v>
      </c>
      <c r="J110" s="2960">
        <v>87.92</v>
      </c>
      <c r="K110" s="2961" t="s">
        <v>3348</v>
      </c>
      <c r="L110" s="2959" t="s">
        <v>3365</v>
      </c>
      <c r="M110" s="2960">
        <v>7529787</v>
      </c>
      <c r="N110" s="2959" t="s">
        <v>3090</v>
      </c>
      <c r="O110" s="2959" t="s">
        <v>3217</v>
      </c>
      <c r="P110" s="2962" t="s">
        <v>3092</v>
      </c>
      <c r="Q110" s="2962" t="s">
        <v>3092</v>
      </c>
      <c r="R110" s="2963"/>
      <c r="S110" s="2962" t="s">
        <v>3207</v>
      </c>
      <c r="T110" s="2960">
        <v>8564</v>
      </c>
      <c r="U110" s="2963"/>
      <c r="V110" s="2964"/>
      <c r="W110" s="2965"/>
      <c r="X110" s="2963"/>
      <c r="Y110" s="2965"/>
      <c r="Z110" s="2964"/>
      <c r="AA110" s="2964"/>
      <c r="AB110" s="2964"/>
      <c r="AC110">
        <f t="shared" si="3"/>
        <v>63904</v>
      </c>
    </row>
    <row r="111" spans="1:29" ht="20.100000000000001" customHeight="1">
      <c r="A111" s="2959" t="s">
        <v>3442</v>
      </c>
      <c r="B111" s="2959" t="s">
        <v>3625</v>
      </c>
      <c r="C111" s="2970" t="str">
        <f t="shared" si="2"/>
        <v>2</v>
      </c>
      <c r="D111" s="2959">
        <v>116</v>
      </c>
      <c r="E111" s="2971">
        <f>VLOOKUP(D111,[2]Sheet1!$A$2:$B$330,2,0)</f>
        <v>119.4</v>
      </c>
      <c r="F111" s="2971">
        <f>VLOOKUP(D111,[2]房屋建筑面积分户计算明晰表!$A$2:$C$330,3,0)</f>
        <v>102.29</v>
      </c>
      <c r="G111" s="2959" t="s">
        <v>3443</v>
      </c>
      <c r="H111" s="2959" t="s">
        <v>3344</v>
      </c>
      <c r="I111" s="2960">
        <v>118.34</v>
      </c>
      <c r="J111" s="2960">
        <v>102.24</v>
      </c>
      <c r="K111" s="2961" t="s">
        <v>3344</v>
      </c>
      <c r="L111" s="2959" t="s">
        <v>3344</v>
      </c>
      <c r="M111" s="2960">
        <v>10107214</v>
      </c>
      <c r="N111" s="2959" t="s">
        <v>3090</v>
      </c>
      <c r="O111" s="2959" t="s">
        <v>3374</v>
      </c>
      <c r="P111" s="2962" t="s">
        <v>3092</v>
      </c>
      <c r="Q111" s="2962" t="s">
        <v>3092</v>
      </c>
      <c r="R111" s="2963"/>
      <c r="S111" s="2962" t="s">
        <v>3385</v>
      </c>
      <c r="T111" s="2960">
        <v>4943</v>
      </c>
      <c r="U111" s="2963"/>
      <c r="V111" s="2964"/>
      <c r="W111" s="2965"/>
      <c r="X111" s="2963"/>
      <c r="Y111" s="2965"/>
      <c r="Z111" s="2964"/>
      <c r="AA111" s="2964"/>
      <c r="AB111" s="2964"/>
      <c r="AC111">
        <f t="shared" si="3"/>
        <v>84650</v>
      </c>
    </row>
    <row r="112" spans="1:29" ht="20.100000000000001" customHeight="1">
      <c r="A112" s="2959" t="s">
        <v>3483</v>
      </c>
      <c r="B112" s="2959" t="s">
        <v>3626</v>
      </c>
      <c r="C112" s="2970" t="str">
        <f t="shared" si="2"/>
        <v>2</v>
      </c>
      <c r="D112" s="2959">
        <v>214</v>
      </c>
      <c r="E112" s="2971">
        <f>VLOOKUP(D112,[2]Sheet1!$A$2:$B$330,2,0)</f>
        <v>124.04</v>
      </c>
      <c r="F112" s="2971">
        <f>VLOOKUP(D112,[2]房屋建筑面积分户计算明晰表!$A$2:$C$330,3,0)</f>
        <v>92.66</v>
      </c>
      <c r="G112" s="2959" t="s">
        <v>3484</v>
      </c>
      <c r="H112" s="2959" t="s">
        <v>3344</v>
      </c>
      <c r="I112" s="2960">
        <v>123.52</v>
      </c>
      <c r="J112" s="2960">
        <v>92.78</v>
      </c>
      <c r="K112" s="2961" t="s">
        <v>3344</v>
      </c>
      <c r="L112" s="2959" t="s">
        <v>3344</v>
      </c>
      <c r="M112" s="2960">
        <v>5933086</v>
      </c>
      <c r="N112" s="2959" t="s">
        <v>3406</v>
      </c>
      <c r="O112" s="2959" t="s">
        <v>3457</v>
      </c>
      <c r="P112" s="2962" t="s">
        <v>3092</v>
      </c>
      <c r="Q112" s="2962" t="s">
        <v>3092</v>
      </c>
      <c r="R112" s="2963"/>
      <c r="S112" s="2962" t="s">
        <v>3421</v>
      </c>
      <c r="T112" s="2960">
        <v>-7674</v>
      </c>
      <c r="U112" s="2963"/>
      <c r="V112" s="2964"/>
      <c r="W112" s="2965"/>
      <c r="X112" s="2963"/>
      <c r="Y112" s="2965"/>
      <c r="Z112" s="2964"/>
      <c r="AA112" s="2964"/>
      <c r="AB112" s="2964"/>
      <c r="AC112">
        <f t="shared" si="3"/>
        <v>47832</v>
      </c>
    </row>
    <row r="113" spans="1:29" ht="20.100000000000001" customHeight="1">
      <c r="A113" s="2959" t="s">
        <v>3491</v>
      </c>
      <c r="B113" s="2959" t="s">
        <v>3627</v>
      </c>
      <c r="C113" s="2970" t="str">
        <f t="shared" si="2"/>
        <v>2</v>
      </c>
      <c r="D113" s="2959">
        <v>130</v>
      </c>
      <c r="E113" s="2971">
        <f>VLOOKUP(D113,[2]Sheet1!$A$2:$B$330,2,0)</f>
        <v>125.52</v>
      </c>
      <c r="F113" s="2971">
        <f>VLOOKUP(D113,[2]房屋建筑面积分户计算明晰表!$A$2:$C$330,3,0)</f>
        <v>107.54</v>
      </c>
      <c r="G113" s="2959" t="s">
        <v>3492</v>
      </c>
      <c r="H113" s="2959" t="s">
        <v>3354</v>
      </c>
      <c r="I113" s="2960">
        <v>124.74</v>
      </c>
      <c r="J113" s="2960">
        <v>107.77</v>
      </c>
      <c r="K113" s="2961" t="s">
        <v>3354</v>
      </c>
      <c r="L113" s="2959" t="s">
        <v>3354</v>
      </c>
      <c r="M113" s="2960">
        <v>12543244</v>
      </c>
      <c r="N113" s="2959" t="s">
        <v>3090</v>
      </c>
      <c r="O113" s="2959" t="s">
        <v>3111</v>
      </c>
      <c r="P113" s="2962" t="s">
        <v>3092</v>
      </c>
      <c r="Q113" s="2962" t="s">
        <v>3092</v>
      </c>
      <c r="R113" s="2963"/>
      <c r="S113" s="2962" t="s">
        <v>3193</v>
      </c>
      <c r="T113" s="2960">
        <v>-26769</v>
      </c>
      <c r="U113" s="2963"/>
      <c r="V113" s="2964"/>
      <c r="W113" s="2965"/>
      <c r="X113" s="2963"/>
      <c r="Y113" s="2965"/>
      <c r="Z113" s="2964"/>
      <c r="AA113" s="2964"/>
      <c r="AB113" s="2964"/>
      <c r="AC113">
        <f t="shared" si="3"/>
        <v>99930</v>
      </c>
    </row>
    <row r="114" spans="1:29" ht="20.100000000000001" customHeight="1">
      <c r="A114" s="2959" t="s">
        <v>3422</v>
      </c>
      <c r="B114" s="2959" t="s">
        <v>3628</v>
      </c>
      <c r="C114" s="2970" t="str">
        <f t="shared" si="2"/>
        <v>2</v>
      </c>
      <c r="D114" s="2959">
        <v>113</v>
      </c>
      <c r="E114" s="2971">
        <f>VLOOKUP(D114,[2]Sheet1!$A$2:$B$330,2,0)</f>
        <v>126.61</v>
      </c>
      <c r="F114" s="2971">
        <f>VLOOKUP(D114,[2]房屋建筑面积分户计算明晰表!$A$2:$C$330,3,0)</f>
        <v>108.47</v>
      </c>
      <c r="G114" s="2959" t="s">
        <v>3423</v>
      </c>
      <c r="H114" s="2959" t="s">
        <v>3344</v>
      </c>
      <c r="I114" s="2960">
        <v>125.32</v>
      </c>
      <c r="J114" s="2960">
        <v>108.27</v>
      </c>
      <c r="K114" s="2961" t="s">
        <v>3347</v>
      </c>
      <c r="L114" s="2959" t="s">
        <v>3344</v>
      </c>
      <c r="M114" s="2960">
        <v>9333337</v>
      </c>
      <c r="N114" s="2959" t="s">
        <v>3370</v>
      </c>
      <c r="O114" s="2959" t="s">
        <v>3217</v>
      </c>
      <c r="P114" s="2962" t="s">
        <v>3092</v>
      </c>
      <c r="Q114" s="2962" t="s">
        <v>3092</v>
      </c>
      <c r="R114" s="2963"/>
      <c r="S114" s="2962" t="s">
        <v>3421</v>
      </c>
      <c r="T114" s="2960">
        <v>17241</v>
      </c>
      <c r="U114" s="2963"/>
      <c r="V114" s="2964"/>
      <c r="W114" s="2965"/>
      <c r="X114" s="2963"/>
      <c r="Y114" s="2965"/>
      <c r="Z114" s="2964"/>
      <c r="AA114" s="2964"/>
      <c r="AB114" s="2964"/>
      <c r="AC114">
        <f t="shared" si="3"/>
        <v>73717</v>
      </c>
    </row>
    <row r="115" spans="1:29" ht="20.100000000000001" customHeight="1">
      <c r="A115" s="2959" t="s">
        <v>3400</v>
      </c>
      <c r="B115" s="2959" t="s">
        <v>3629</v>
      </c>
      <c r="C115" s="2970" t="str">
        <f t="shared" si="2"/>
        <v>2</v>
      </c>
      <c r="D115" s="2959">
        <v>206</v>
      </c>
      <c r="E115" s="2971">
        <f>VLOOKUP(D115,[2]Sheet1!$A$2:$B$330,2,0)</f>
        <v>128.38</v>
      </c>
      <c r="F115" s="2971">
        <f>VLOOKUP(D115,[2]房屋建筑面积分户计算明晰表!$A$2:$C$330,3,0)</f>
        <v>95.9</v>
      </c>
      <c r="G115" s="2959" t="s">
        <v>3401</v>
      </c>
      <c r="H115" s="2959" t="s">
        <v>3347</v>
      </c>
      <c r="I115" s="2960">
        <v>127.4</v>
      </c>
      <c r="J115" s="2960">
        <v>95.69</v>
      </c>
      <c r="K115" s="2961" t="s">
        <v>3347</v>
      </c>
      <c r="L115" s="2959" t="s">
        <v>3347</v>
      </c>
      <c r="M115" s="2960">
        <v>7707333</v>
      </c>
      <c r="N115" s="2959" t="s">
        <v>3090</v>
      </c>
      <c r="O115" s="2959" t="s">
        <v>3349</v>
      </c>
      <c r="P115" s="2962" t="s">
        <v>3092</v>
      </c>
      <c r="Q115" s="2962" t="s">
        <v>3092</v>
      </c>
      <c r="R115" s="2963"/>
      <c r="S115" s="2962" t="s">
        <v>3399</v>
      </c>
      <c r="T115" s="2960">
        <v>16914</v>
      </c>
      <c r="U115" s="2963"/>
      <c r="V115" s="2964"/>
      <c r="W115" s="2965"/>
      <c r="X115" s="2963"/>
      <c r="Y115" s="2965"/>
      <c r="Z115" s="2964"/>
      <c r="AA115" s="2964"/>
      <c r="AB115" s="2964"/>
      <c r="AC115">
        <f t="shared" si="3"/>
        <v>60035</v>
      </c>
    </row>
    <row r="116" spans="1:29" ht="20.100000000000001" customHeight="1">
      <c r="A116" s="2959" t="s">
        <v>3419</v>
      </c>
      <c r="B116" s="2959" t="s">
        <v>3630</v>
      </c>
      <c r="C116" s="2970" t="str">
        <f t="shared" si="2"/>
        <v>2</v>
      </c>
      <c r="D116" s="2959">
        <v>111</v>
      </c>
      <c r="E116" s="2971">
        <f>VLOOKUP(D116,[2]Sheet1!$A$2:$B$330,2,0)</f>
        <v>128.69999999999999</v>
      </c>
      <c r="F116" s="2971">
        <f>VLOOKUP(D116,[2]房屋建筑面积分户计算明晰表!$A$2:$C$330,3,0)</f>
        <v>110.26</v>
      </c>
      <c r="G116" s="2959" t="s">
        <v>3420</v>
      </c>
      <c r="H116" s="2959" t="s">
        <v>3347</v>
      </c>
      <c r="I116" s="2960">
        <v>127.47</v>
      </c>
      <c r="J116" s="2960">
        <v>110.13</v>
      </c>
      <c r="K116" s="2961" t="s">
        <v>3347</v>
      </c>
      <c r="L116" s="2959" t="s">
        <v>3347</v>
      </c>
      <c r="M116" s="2960">
        <v>9938009</v>
      </c>
      <c r="N116" s="2959" t="s">
        <v>3406</v>
      </c>
      <c r="O116" s="2959" t="s">
        <v>3276</v>
      </c>
      <c r="P116" s="2962" t="s">
        <v>3092</v>
      </c>
      <c r="Q116" s="2962" t="s">
        <v>3092</v>
      </c>
      <c r="R116" s="2963"/>
      <c r="S116" s="2962" t="s">
        <v>3421</v>
      </c>
      <c r="T116" s="2960">
        <v>11731</v>
      </c>
      <c r="U116" s="2963"/>
      <c r="V116" s="2964"/>
      <c r="W116" s="2965"/>
      <c r="X116" s="2963"/>
      <c r="Y116" s="2965"/>
      <c r="Z116" s="2964"/>
      <c r="AA116" s="2964"/>
      <c r="AB116" s="2964"/>
      <c r="AC116">
        <f t="shared" si="3"/>
        <v>77218</v>
      </c>
    </row>
    <row r="117" spans="1:29" ht="20.100000000000001" customHeight="1">
      <c r="A117" s="2959" t="s">
        <v>3479</v>
      </c>
      <c r="B117" s="2959" t="s">
        <v>3631</v>
      </c>
      <c r="C117" s="2970" t="str">
        <f t="shared" si="2"/>
        <v>2</v>
      </c>
      <c r="D117" s="2959">
        <v>115</v>
      </c>
      <c r="E117" s="2971">
        <f>VLOOKUP(D117,[2]Sheet1!$A$2:$B$330,2,0)</f>
        <v>128.71</v>
      </c>
      <c r="F117" s="2971">
        <f>VLOOKUP(D117,[2]房屋建筑面积分户计算明晰表!$A$2:$C$330,3,0)</f>
        <v>110.27</v>
      </c>
      <c r="G117" s="2959" t="s">
        <v>3480</v>
      </c>
      <c r="H117" s="2959" t="s">
        <v>3344</v>
      </c>
      <c r="I117" s="2960">
        <v>126.36</v>
      </c>
      <c r="J117" s="2960">
        <v>109.17</v>
      </c>
      <c r="K117" s="2961" t="s">
        <v>3344</v>
      </c>
      <c r="L117" s="2959" t="s">
        <v>3344</v>
      </c>
      <c r="M117" s="2960">
        <v>8958163</v>
      </c>
      <c r="N117" s="2959" t="s">
        <v>3370</v>
      </c>
      <c r="O117" s="2959" t="s">
        <v>3111</v>
      </c>
      <c r="P117" s="2962" t="s">
        <v>3092</v>
      </c>
      <c r="Q117" s="2962" t="s">
        <v>3092</v>
      </c>
      <c r="R117" s="2963"/>
      <c r="S117" s="2962" t="s">
        <v>3396</v>
      </c>
      <c r="T117" s="2960">
        <v>90263</v>
      </c>
      <c r="U117" s="2963"/>
      <c r="V117" s="2964"/>
      <c r="W117" s="2965"/>
      <c r="X117" s="2963"/>
      <c r="Y117" s="2965"/>
      <c r="Z117" s="2964"/>
      <c r="AA117" s="2964"/>
      <c r="AB117" s="2964"/>
      <c r="AC117">
        <f t="shared" si="3"/>
        <v>69600</v>
      </c>
    </row>
    <row r="118" spans="1:29" ht="20.100000000000001" customHeight="1">
      <c r="A118" s="2959" t="s">
        <v>3412</v>
      </c>
      <c r="B118" s="2959" t="s">
        <v>3632</v>
      </c>
      <c r="C118" s="2970" t="str">
        <f t="shared" si="2"/>
        <v>2</v>
      </c>
      <c r="D118" s="2959">
        <v>210</v>
      </c>
      <c r="E118" s="2971">
        <f>VLOOKUP(D118,[2]Sheet1!$A$2:$B$330,2,0)</f>
        <v>128.78</v>
      </c>
      <c r="F118" s="2971">
        <f>VLOOKUP(D118,[2]房屋建筑面积分户计算明晰表!$A$2:$C$330,3,0)</f>
        <v>96.2</v>
      </c>
      <c r="G118" s="2959" t="s">
        <v>3413</v>
      </c>
      <c r="H118" s="2959" t="s">
        <v>3347</v>
      </c>
      <c r="I118" s="2960">
        <v>127.05</v>
      </c>
      <c r="J118" s="2960">
        <v>95.43</v>
      </c>
      <c r="K118" s="2961" t="s">
        <v>3347</v>
      </c>
      <c r="L118" s="2959" t="s">
        <v>3344</v>
      </c>
      <c r="M118" s="2960">
        <v>7027371</v>
      </c>
      <c r="N118" s="2959" t="s">
        <v>3370</v>
      </c>
      <c r="O118" s="2959" t="s">
        <v>3152</v>
      </c>
      <c r="P118" s="2962" t="s">
        <v>3092</v>
      </c>
      <c r="Q118" s="2962" t="s">
        <v>3092</v>
      </c>
      <c r="R118" s="2963"/>
      <c r="S118" s="2962" t="s">
        <v>3414</v>
      </c>
      <c r="T118" s="2960">
        <v>56702</v>
      </c>
      <c r="U118" s="2963"/>
      <c r="V118" s="2964"/>
      <c r="W118" s="2965"/>
      <c r="X118" s="2963"/>
      <c r="Y118" s="2965"/>
      <c r="Z118" s="2964"/>
      <c r="AA118" s="2964"/>
      <c r="AB118" s="2964"/>
      <c r="AC118">
        <f t="shared" si="3"/>
        <v>54569</v>
      </c>
    </row>
    <row r="119" spans="1:29" ht="20.100000000000001" customHeight="1">
      <c r="A119" s="2959" t="s">
        <v>3465</v>
      </c>
      <c r="B119" s="2959" t="s">
        <v>3633</v>
      </c>
      <c r="C119" s="2970" t="str">
        <f t="shared" si="2"/>
        <v>2</v>
      </c>
      <c r="D119" s="2959">
        <v>107</v>
      </c>
      <c r="E119" s="2971">
        <f>VLOOKUP(D119,[2]Sheet1!$A$2:$B$330,2,0)</f>
        <v>129.91</v>
      </c>
      <c r="F119" s="2971">
        <f>VLOOKUP(D119,[2]房屋建筑面积分户计算明晰表!$A$2:$C$330,3,0)</f>
        <v>111.3</v>
      </c>
      <c r="G119" s="2959" t="s">
        <v>3466</v>
      </c>
      <c r="H119" s="2959" t="s">
        <v>3344</v>
      </c>
      <c r="I119" s="2960">
        <v>128.71</v>
      </c>
      <c r="J119" s="2960">
        <v>111.2</v>
      </c>
      <c r="K119" s="2961" t="s">
        <v>3344</v>
      </c>
      <c r="L119" s="2959" t="s">
        <v>3344</v>
      </c>
      <c r="M119" s="2960">
        <v>10642411</v>
      </c>
      <c r="N119" s="2959" t="s">
        <v>3090</v>
      </c>
      <c r="O119" s="2959" t="s">
        <v>3467</v>
      </c>
      <c r="P119" s="2962" t="s">
        <v>3092</v>
      </c>
      <c r="Q119" s="2962" t="s">
        <v>3092</v>
      </c>
      <c r="R119" s="2963"/>
      <c r="S119" s="2962" t="s">
        <v>3285</v>
      </c>
      <c r="T119" s="2960">
        <v>9571</v>
      </c>
      <c r="U119" s="2963"/>
      <c r="V119" s="2964"/>
      <c r="W119" s="2965"/>
      <c r="X119" s="2963"/>
      <c r="Y119" s="2965"/>
      <c r="Z119" s="2964"/>
      <c r="AA119" s="2964"/>
      <c r="AB119" s="2964"/>
      <c r="AC119">
        <f t="shared" si="3"/>
        <v>81921</v>
      </c>
    </row>
    <row r="120" spans="1:29" ht="20.100000000000001" customHeight="1">
      <c r="A120" s="2959" t="s">
        <v>3394</v>
      </c>
      <c r="B120" s="2959" t="s">
        <v>3634</v>
      </c>
      <c r="C120" s="2970" t="str">
        <f t="shared" si="2"/>
        <v>2</v>
      </c>
      <c r="D120" s="2959">
        <v>110</v>
      </c>
      <c r="E120" s="2971">
        <f>VLOOKUP(D120,[2]Sheet1!$A$2:$B$330,2,0)</f>
        <v>130.4</v>
      </c>
      <c r="F120" s="2971">
        <f>VLOOKUP(D120,[2]房屋建筑面积分户计算明晰表!$A$2:$C$330,3,0)</f>
        <v>111.72</v>
      </c>
      <c r="G120" s="2959" t="s">
        <v>3395</v>
      </c>
      <c r="H120" s="2959" t="s">
        <v>3344</v>
      </c>
      <c r="I120" s="2960">
        <v>129.13999999999999</v>
      </c>
      <c r="J120" s="2960">
        <v>111.57</v>
      </c>
      <c r="K120" s="2961" t="s">
        <v>3347</v>
      </c>
      <c r="L120" s="2959" t="s">
        <v>3347</v>
      </c>
      <c r="M120" s="2960">
        <v>10405047</v>
      </c>
      <c r="N120" s="2959" t="s">
        <v>3370</v>
      </c>
      <c r="O120" s="2959" t="s">
        <v>3111</v>
      </c>
      <c r="P120" s="2962" t="s">
        <v>3092</v>
      </c>
      <c r="Q120" s="2962" t="s">
        <v>3092</v>
      </c>
      <c r="R120" s="2963"/>
      <c r="S120" s="2962" t="s">
        <v>3396</v>
      </c>
      <c r="T120" s="2960">
        <v>13989</v>
      </c>
      <c r="U120" s="2963"/>
      <c r="V120" s="2964"/>
      <c r="W120" s="2965"/>
      <c r="X120" s="2963"/>
      <c r="Y120" s="2965"/>
      <c r="Z120" s="2964"/>
      <c r="AA120" s="2964"/>
      <c r="AB120" s="2964"/>
      <c r="AC120">
        <f t="shared" si="3"/>
        <v>79793</v>
      </c>
    </row>
    <row r="121" spans="1:29" ht="20.100000000000001" customHeight="1">
      <c r="A121" s="2959" t="s">
        <v>3468</v>
      </c>
      <c r="B121" s="2959" t="s">
        <v>3635</v>
      </c>
      <c r="C121" s="2970" t="str">
        <f t="shared" si="2"/>
        <v>2</v>
      </c>
      <c r="D121" s="2959">
        <v>204</v>
      </c>
      <c r="E121" s="2971">
        <f>VLOOKUP(D121,[2]Sheet1!$A$2:$B$330,2,0)</f>
        <v>130.4</v>
      </c>
      <c r="F121" s="2971">
        <f>VLOOKUP(D121,[2]房屋建筑面积分户计算明晰表!$A$2:$C$330,3,0)</f>
        <v>97.41</v>
      </c>
      <c r="G121" s="2959" t="s">
        <v>3469</v>
      </c>
      <c r="H121" s="2959" t="s">
        <v>3344</v>
      </c>
      <c r="I121" s="2960">
        <v>129.30000000000001</v>
      </c>
      <c r="J121" s="2960">
        <v>97.12</v>
      </c>
      <c r="K121" s="2961" t="s">
        <v>3344</v>
      </c>
      <c r="L121" s="2959" t="s">
        <v>3344</v>
      </c>
      <c r="M121" s="2960">
        <v>8146575</v>
      </c>
      <c r="N121" s="2959" t="s">
        <v>3090</v>
      </c>
      <c r="O121" s="2959" t="s">
        <v>3467</v>
      </c>
      <c r="P121" s="2962" t="s">
        <v>3092</v>
      </c>
      <c r="Q121" s="2962" t="s">
        <v>3092</v>
      </c>
      <c r="R121" s="2963"/>
      <c r="S121" s="2962" t="s">
        <v>3285</v>
      </c>
      <c r="T121" s="2960">
        <v>24326</v>
      </c>
      <c r="U121" s="2963"/>
      <c r="V121" s="2964"/>
      <c r="W121" s="2965"/>
      <c r="X121" s="2963"/>
      <c r="Y121" s="2965"/>
      <c r="Z121" s="2964"/>
      <c r="AA121" s="2964"/>
      <c r="AB121" s="2964"/>
      <c r="AC121">
        <f t="shared" si="3"/>
        <v>62474</v>
      </c>
    </row>
    <row r="122" spans="1:29" ht="20.100000000000001" customHeight="1">
      <c r="A122" s="2959" t="s">
        <v>3404</v>
      </c>
      <c r="B122" s="2959" t="s">
        <v>3636</v>
      </c>
      <c r="C122" s="2970" t="str">
        <f t="shared" si="2"/>
        <v>2</v>
      </c>
      <c r="D122" s="2959">
        <v>208</v>
      </c>
      <c r="E122" s="2971">
        <f>VLOOKUP(D122,[2]Sheet1!$A$2:$B$330,2,0)</f>
        <v>130.75</v>
      </c>
      <c r="F122" s="2971">
        <f>VLOOKUP(D122,[2]房屋建筑面积分户计算明晰表!$A$2:$C$330,3,0)</f>
        <v>97.67</v>
      </c>
      <c r="G122" s="2959" t="s">
        <v>3405</v>
      </c>
      <c r="H122" s="2959" t="s">
        <v>3347</v>
      </c>
      <c r="I122" s="2960">
        <v>129.62</v>
      </c>
      <c r="J122" s="2960">
        <v>97.36</v>
      </c>
      <c r="K122" s="2961" t="s">
        <v>3347</v>
      </c>
      <c r="L122" s="2959" t="s">
        <v>3347</v>
      </c>
      <c r="M122" s="2960">
        <v>7491077</v>
      </c>
      <c r="N122" s="2959" t="s">
        <v>3406</v>
      </c>
      <c r="O122" s="2959" t="s">
        <v>3349</v>
      </c>
      <c r="P122" s="2962" t="s">
        <v>3092</v>
      </c>
      <c r="Q122" s="2962" t="s">
        <v>3092</v>
      </c>
      <c r="R122" s="2963"/>
      <c r="S122" s="2962" t="s">
        <v>3396</v>
      </c>
      <c r="T122" s="2960">
        <v>23852</v>
      </c>
      <c r="U122" s="2963"/>
      <c r="V122" s="2964"/>
      <c r="W122" s="2965"/>
      <c r="X122" s="2963"/>
      <c r="Y122" s="2965"/>
      <c r="Z122" s="2964"/>
      <c r="AA122" s="2964"/>
      <c r="AB122" s="2964"/>
      <c r="AC122">
        <f t="shared" si="3"/>
        <v>57293</v>
      </c>
    </row>
    <row r="123" spans="1:29" ht="20.100000000000001" customHeight="1">
      <c r="A123" s="2959" t="s">
        <v>3372</v>
      </c>
      <c r="B123" s="2959" t="s">
        <v>3637</v>
      </c>
      <c r="C123" s="2970" t="str">
        <f t="shared" si="2"/>
        <v>2</v>
      </c>
      <c r="D123" s="2959">
        <v>207</v>
      </c>
      <c r="E123" s="2971">
        <f>VLOOKUP(D123,[2]Sheet1!$A$2:$B$330,2,0)</f>
        <v>130.88</v>
      </c>
      <c r="F123" s="2971">
        <f>VLOOKUP(D123,[2]房屋建筑面积分户计算明晰表!$A$2:$C$330,3,0)</f>
        <v>97.77</v>
      </c>
      <c r="G123" s="2959" t="s">
        <v>3373</v>
      </c>
      <c r="H123" s="2959" t="s">
        <v>3344</v>
      </c>
      <c r="I123" s="2960">
        <v>129.88999999999999</v>
      </c>
      <c r="J123" s="2960">
        <v>97.56</v>
      </c>
      <c r="K123" s="2961" t="s">
        <v>3347</v>
      </c>
      <c r="L123" s="2959" t="s">
        <v>3347</v>
      </c>
      <c r="M123" s="2960">
        <v>7589220</v>
      </c>
      <c r="N123" s="2959" t="s">
        <v>3370</v>
      </c>
      <c r="O123" s="2959" t="s">
        <v>3374</v>
      </c>
      <c r="P123" s="2962" t="s">
        <v>3092</v>
      </c>
      <c r="Q123" s="2962" t="s">
        <v>3092</v>
      </c>
      <c r="R123" s="2963"/>
      <c r="S123" s="2962" t="s">
        <v>3375</v>
      </c>
      <c r="T123" s="2960">
        <v>16336</v>
      </c>
      <c r="U123" s="2963"/>
      <c r="V123" s="2964"/>
      <c r="W123" s="2965"/>
      <c r="X123" s="2963"/>
      <c r="Y123" s="2965"/>
      <c r="Z123" s="2964"/>
      <c r="AA123" s="2964"/>
      <c r="AB123" s="2964"/>
      <c r="AC123">
        <f t="shared" si="3"/>
        <v>57986</v>
      </c>
    </row>
    <row r="124" spans="1:29" ht="20.100000000000001" customHeight="1">
      <c r="A124" s="2959" t="s">
        <v>3475</v>
      </c>
      <c r="B124" s="2959" t="s">
        <v>3638</v>
      </c>
      <c r="C124" s="2970" t="str">
        <f t="shared" si="2"/>
        <v>2</v>
      </c>
      <c r="D124" s="2959">
        <v>205</v>
      </c>
      <c r="E124" s="2971">
        <f>VLOOKUP(D124,[2]Sheet1!$A$2:$B$330,2,0)</f>
        <v>131.08000000000001</v>
      </c>
      <c r="F124" s="2971">
        <f>VLOOKUP(D124,[2]房屋建筑面积分户计算明晰表!$A$2:$C$330,3,0)</f>
        <v>97.92</v>
      </c>
      <c r="G124" s="2959" t="s">
        <v>3476</v>
      </c>
      <c r="H124" s="2959" t="s">
        <v>3344</v>
      </c>
      <c r="I124" s="2960">
        <v>129.58000000000001</v>
      </c>
      <c r="J124" s="2960">
        <v>97.33</v>
      </c>
      <c r="K124" s="2961" t="s">
        <v>3344</v>
      </c>
      <c r="L124" s="2959" t="s">
        <v>3344</v>
      </c>
      <c r="M124" s="2960">
        <v>7909881</v>
      </c>
      <c r="N124" s="2959" t="s">
        <v>3406</v>
      </c>
      <c r="O124" s="2959" t="s">
        <v>3349</v>
      </c>
      <c r="P124" s="2962" t="s">
        <v>3092</v>
      </c>
      <c r="Q124" s="2962" t="s">
        <v>3092</v>
      </c>
      <c r="R124" s="2963"/>
      <c r="S124" s="2962" t="s">
        <v>3162</v>
      </c>
      <c r="T124" s="2960">
        <v>47949</v>
      </c>
      <c r="U124" s="2963"/>
      <c r="V124" s="2964"/>
      <c r="W124" s="2965"/>
      <c r="X124" s="2963"/>
      <c r="Y124" s="2965"/>
      <c r="Z124" s="2964"/>
      <c r="AA124" s="2964"/>
      <c r="AB124" s="2964"/>
      <c r="AC124">
        <f t="shared" si="3"/>
        <v>60344</v>
      </c>
    </row>
    <row r="125" spans="1:29" ht="20.100000000000001" customHeight="1">
      <c r="A125" s="2959" t="s">
        <v>3361</v>
      </c>
      <c r="B125" s="2959" t="s">
        <v>3639</v>
      </c>
      <c r="C125" s="2970" t="str">
        <f t="shared" si="2"/>
        <v>2</v>
      </c>
      <c r="D125" s="2959">
        <v>219</v>
      </c>
      <c r="E125" s="2971">
        <f>VLOOKUP(D125,[2]Sheet1!$A$2:$B$330,2,0)</f>
        <v>131.08000000000001</v>
      </c>
      <c r="F125" s="2971">
        <f>VLOOKUP(D125,[2]房屋建筑面积分户计算明晰表!$A$2:$C$330,3,0)</f>
        <v>97.92</v>
      </c>
      <c r="G125" s="2959" t="s">
        <v>3362</v>
      </c>
      <c r="H125" s="2959" t="s">
        <v>3354</v>
      </c>
      <c r="I125" s="2960">
        <v>129.85</v>
      </c>
      <c r="J125" s="2960">
        <v>97.53</v>
      </c>
      <c r="K125" s="2961" t="s">
        <v>3348</v>
      </c>
      <c r="L125" s="2959" t="s">
        <v>3334</v>
      </c>
      <c r="M125" s="2960">
        <v>6386510</v>
      </c>
      <c r="N125" s="2959" t="s">
        <v>3355</v>
      </c>
      <c r="O125" s="2959" t="s">
        <v>3111</v>
      </c>
      <c r="P125" s="2962" t="s">
        <v>3092</v>
      </c>
      <c r="Q125" s="2962" t="s">
        <v>3092</v>
      </c>
      <c r="R125" s="2963"/>
      <c r="S125" s="2962" t="s">
        <v>3358</v>
      </c>
      <c r="T125" s="2960">
        <v>25538</v>
      </c>
      <c r="U125" s="2963"/>
      <c r="V125" s="2964"/>
      <c r="W125" s="2965"/>
      <c r="X125" s="2963"/>
      <c r="Y125" s="2965"/>
      <c r="Z125" s="2964"/>
      <c r="AA125" s="2964"/>
      <c r="AB125" s="2964"/>
      <c r="AC125">
        <f t="shared" si="3"/>
        <v>48722</v>
      </c>
    </row>
    <row r="126" spans="1:29" ht="20.100000000000001" customHeight="1">
      <c r="A126" s="2959" t="s">
        <v>3448</v>
      </c>
      <c r="B126" s="2959" t="s">
        <v>3640</v>
      </c>
      <c r="C126" s="2970" t="str">
        <f t="shared" si="2"/>
        <v>2</v>
      </c>
      <c r="D126" s="2959">
        <v>108</v>
      </c>
      <c r="E126" s="2971">
        <f>VLOOKUP(D126,[2]Sheet1!$A$2:$B$330,2,0)</f>
        <v>131.37</v>
      </c>
      <c r="F126" s="2971">
        <f>VLOOKUP(D126,[2]房屋建筑面积分户计算明晰表!$A$2:$C$330,3,0)</f>
        <v>112.55</v>
      </c>
      <c r="G126" s="2959" t="s">
        <v>3449</v>
      </c>
      <c r="H126" s="2959" t="s">
        <v>3344</v>
      </c>
      <c r="I126" s="2960">
        <v>130.11000000000001</v>
      </c>
      <c r="J126" s="2960">
        <v>112.41</v>
      </c>
      <c r="K126" s="2961" t="s">
        <v>3344</v>
      </c>
      <c r="L126" s="2959" t="s">
        <v>3344</v>
      </c>
      <c r="M126" s="2960">
        <v>10637440</v>
      </c>
      <c r="N126" s="2959" t="s">
        <v>3406</v>
      </c>
      <c r="O126" s="2959" t="s">
        <v>3349</v>
      </c>
      <c r="P126" s="2962" t="s">
        <v>3092</v>
      </c>
      <c r="Q126" s="2962" t="s">
        <v>3092</v>
      </c>
      <c r="R126" s="2963"/>
      <c r="S126" s="2962" t="s">
        <v>3396</v>
      </c>
      <c r="T126" s="2960">
        <v>13248</v>
      </c>
      <c r="U126" s="2963"/>
      <c r="V126" s="2964"/>
      <c r="W126" s="2965"/>
      <c r="X126" s="2963"/>
      <c r="Y126" s="2965"/>
      <c r="Z126" s="2964"/>
      <c r="AA126" s="2964"/>
      <c r="AB126" s="2964"/>
      <c r="AC126">
        <f t="shared" si="3"/>
        <v>80973</v>
      </c>
    </row>
    <row r="127" spans="1:29" ht="20.100000000000001" customHeight="1">
      <c r="A127" s="2959" t="s">
        <v>3359</v>
      </c>
      <c r="B127" s="2959" t="s">
        <v>3641</v>
      </c>
      <c r="C127" s="2970" t="str">
        <f t="shared" si="2"/>
        <v>2</v>
      </c>
      <c r="D127" s="2959">
        <v>218</v>
      </c>
      <c r="E127" s="2971">
        <f>VLOOKUP(D127,[2]Sheet1!$A$2:$B$330,2,0)</f>
        <v>132.44999999999999</v>
      </c>
      <c r="F127" s="2971">
        <f>VLOOKUP(D127,[2]房屋建筑面积分户计算明晰表!$A$2:$C$330,3,0)</f>
        <v>98.94</v>
      </c>
      <c r="G127" s="2959" t="s">
        <v>3360</v>
      </c>
      <c r="H127" s="2959" t="s">
        <v>3354</v>
      </c>
      <c r="I127" s="2960">
        <v>131.72</v>
      </c>
      <c r="J127" s="2960">
        <v>98.94</v>
      </c>
      <c r="K127" s="2961" t="s">
        <v>3348</v>
      </c>
      <c r="L127" s="2959" t="s">
        <v>3334</v>
      </c>
      <c r="M127" s="2960">
        <v>6381073</v>
      </c>
      <c r="N127" s="2959" t="s">
        <v>3355</v>
      </c>
      <c r="O127" s="2959" t="s">
        <v>3111</v>
      </c>
      <c r="P127" s="2962" t="s">
        <v>3092</v>
      </c>
      <c r="Q127" s="2962" t="s">
        <v>3092</v>
      </c>
      <c r="R127" s="2963"/>
      <c r="S127" s="2962" t="s">
        <v>3285</v>
      </c>
      <c r="T127" s="2966"/>
      <c r="U127" s="2963"/>
      <c r="V127" s="2964"/>
      <c r="W127" s="2965"/>
      <c r="X127" s="2963"/>
      <c r="Y127" s="2965"/>
      <c r="Z127" s="2964"/>
      <c r="AA127" s="2964"/>
      <c r="AB127" s="2964"/>
      <c r="AC127">
        <f t="shared" si="3"/>
        <v>48177</v>
      </c>
    </row>
    <row r="128" spans="1:29" ht="20.100000000000001" customHeight="1">
      <c r="A128" s="2959" t="s">
        <v>3461</v>
      </c>
      <c r="B128" s="2959" t="s">
        <v>3642</v>
      </c>
      <c r="C128" s="2970" t="str">
        <f t="shared" si="2"/>
        <v>2</v>
      </c>
      <c r="D128" s="2959">
        <v>221</v>
      </c>
      <c r="E128" s="2971">
        <f>VLOOKUP(D128,[2]Sheet1!$A$2:$B$330,2,0)</f>
        <v>134.58000000000001</v>
      </c>
      <c r="F128" s="2971">
        <f>VLOOKUP(D128,[2]房屋建筑面积分户计算明晰表!$A$2:$C$330,3,0)</f>
        <v>100.53</v>
      </c>
      <c r="G128" s="2959" t="s">
        <v>3462</v>
      </c>
      <c r="H128" s="2959" t="s">
        <v>3344</v>
      </c>
      <c r="I128" s="2960">
        <v>133.01</v>
      </c>
      <c r="J128" s="2960">
        <v>99.91</v>
      </c>
      <c r="K128" s="2961" t="s">
        <v>3344</v>
      </c>
      <c r="L128" s="2959" t="s">
        <v>3344</v>
      </c>
      <c r="M128" s="2960">
        <v>6711530</v>
      </c>
      <c r="N128" s="2959" t="s">
        <v>3090</v>
      </c>
      <c r="O128" s="2959" t="s">
        <v>3457</v>
      </c>
      <c r="P128" s="2962" t="s">
        <v>3092</v>
      </c>
      <c r="Q128" s="2962" t="s">
        <v>3092</v>
      </c>
      <c r="R128" s="2963"/>
      <c r="S128" s="2962" t="s">
        <v>3460</v>
      </c>
      <c r="T128" s="2960">
        <v>41649</v>
      </c>
      <c r="U128" s="2963"/>
      <c r="V128" s="2964"/>
      <c r="W128" s="2965"/>
      <c r="X128" s="2963"/>
      <c r="Y128" s="2965"/>
      <c r="Z128" s="2964"/>
      <c r="AA128" s="2964"/>
      <c r="AB128" s="2964"/>
      <c r="AC128">
        <f t="shared" si="3"/>
        <v>49870</v>
      </c>
    </row>
    <row r="129" spans="1:29" ht="20.100000000000001" customHeight="1">
      <c r="A129" s="2959" t="s">
        <v>3342</v>
      </c>
      <c r="B129" s="2959" t="s">
        <v>3643</v>
      </c>
      <c r="C129" s="2970" t="str">
        <f t="shared" si="2"/>
        <v>2</v>
      </c>
      <c r="D129" s="2959">
        <v>209</v>
      </c>
      <c r="E129" s="2971">
        <f>VLOOKUP(D129,[2]Sheet1!$A$2:$B$330,2,0)</f>
        <v>134.69999999999999</v>
      </c>
      <c r="F129" s="2971">
        <f>VLOOKUP(D129,[2]房屋建筑面积分户计算明晰表!$A$2:$C$330,3,0)</f>
        <v>100.62</v>
      </c>
      <c r="G129" s="2959" t="s">
        <v>3343</v>
      </c>
      <c r="H129" s="2959" t="s">
        <v>3344</v>
      </c>
      <c r="I129" s="2960">
        <v>133.81</v>
      </c>
      <c r="J129" s="2960">
        <v>100.51</v>
      </c>
      <c r="K129" s="2961" t="s">
        <v>3338</v>
      </c>
      <c r="L129" s="2959" t="s">
        <v>3329</v>
      </c>
      <c r="M129" s="2960">
        <v>7598168</v>
      </c>
      <c r="N129" s="2959" t="s">
        <v>3264</v>
      </c>
      <c r="O129" s="2959" t="s">
        <v>3111</v>
      </c>
      <c r="P129" s="2962" t="s">
        <v>3092</v>
      </c>
      <c r="Q129" s="2962" t="s">
        <v>3092</v>
      </c>
      <c r="R129" s="2963"/>
      <c r="S129" s="2962" t="s">
        <v>3314</v>
      </c>
      <c r="T129" s="2960">
        <v>8316</v>
      </c>
      <c r="U129" s="2963"/>
      <c r="V129" s="2964"/>
      <c r="W129" s="2965"/>
      <c r="X129" s="2963"/>
      <c r="Y129" s="2965"/>
      <c r="Z129" s="2964"/>
      <c r="AA129" s="2964"/>
      <c r="AB129" s="2964"/>
      <c r="AC129">
        <f t="shared" si="3"/>
        <v>56408</v>
      </c>
    </row>
    <row r="130" spans="1:29" ht="20.100000000000001" customHeight="1">
      <c r="A130" s="2959" t="s">
        <v>3325</v>
      </c>
      <c r="B130" s="2959" t="s">
        <v>3644</v>
      </c>
      <c r="C130" s="2970" t="str">
        <f t="shared" ref="C130:C156" si="4">LEFT(B130)</f>
        <v>2</v>
      </c>
      <c r="D130" s="2959">
        <v>112</v>
      </c>
      <c r="E130" s="2971">
        <f>VLOOKUP(D130,[2]Sheet1!$A$2:$B$330,2,0)</f>
        <v>135.03</v>
      </c>
      <c r="F130" s="2971">
        <f>VLOOKUP(D130,[2]房屋建筑面积分户计算明晰表!$A$2:$C$330,3,0)</f>
        <v>115.68</v>
      </c>
      <c r="G130" s="2959" t="s">
        <v>3326</v>
      </c>
      <c r="H130" s="2959" t="s">
        <v>3327</v>
      </c>
      <c r="I130" s="2960">
        <v>132.88999999999999</v>
      </c>
      <c r="J130" s="2960">
        <v>114.81</v>
      </c>
      <c r="K130" s="2961" t="s">
        <v>3328</v>
      </c>
      <c r="L130" s="2959" t="s">
        <v>3329</v>
      </c>
      <c r="M130" s="2960">
        <v>10362176</v>
      </c>
      <c r="N130" s="2959" t="s">
        <v>3330</v>
      </c>
      <c r="O130" s="2959" t="s">
        <v>3111</v>
      </c>
      <c r="P130" s="2962" t="s">
        <v>3092</v>
      </c>
      <c r="Q130" s="2962" t="s">
        <v>3092</v>
      </c>
      <c r="R130" s="2963"/>
      <c r="S130" s="2962" t="s">
        <v>3314</v>
      </c>
      <c r="T130" s="2960">
        <v>78522</v>
      </c>
      <c r="U130" s="2963"/>
      <c r="V130" s="2964"/>
      <c r="W130" s="2965"/>
      <c r="X130" s="2963"/>
      <c r="Y130" s="2965"/>
      <c r="Z130" s="2964"/>
      <c r="AA130" s="2964"/>
      <c r="AB130" s="2964"/>
      <c r="AC130">
        <f t="shared" si="3"/>
        <v>76740</v>
      </c>
    </row>
    <row r="131" spans="1:29" ht="20.100000000000001" customHeight="1">
      <c r="A131" s="2959" t="s">
        <v>3487</v>
      </c>
      <c r="B131" s="2959" t="s">
        <v>3645</v>
      </c>
      <c r="C131" s="2970" t="str">
        <f t="shared" si="4"/>
        <v>2</v>
      </c>
      <c r="D131" s="2959">
        <v>222</v>
      </c>
      <c r="E131" s="2971">
        <f>VLOOKUP(D131,[2]Sheet1!$A$2:$B$330,2,0)</f>
        <v>136.44</v>
      </c>
      <c r="F131" s="2971">
        <f>VLOOKUP(D131,[2]房屋建筑面积分户计算明晰表!$A$2:$C$330,3,0)</f>
        <v>101.92</v>
      </c>
      <c r="G131" s="2959" t="s">
        <v>3488</v>
      </c>
      <c r="H131" s="2959" t="s">
        <v>3354</v>
      </c>
      <c r="I131" s="2960">
        <v>134.91999999999999</v>
      </c>
      <c r="J131" s="2960">
        <v>101.34</v>
      </c>
      <c r="K131" s="2961" t="s">
        <v>3354</v>
      </c>
      <c r="L131" s="2959" t="s">
        <v>3354</v>
      </c>
      <c r="M131" s="2960">
        <v>6892171</v>
      </c>
      <c r="N131" s="2959" t="s">
        <v>3090</v>
      </c>
      <c r="O131" s="2959" t="s">
        <v>3111</v>
      </c>
      <c r="P131" s="2962" t="s">
        <v>3092</v>
      </c>
      <c r="Q131" s="2962" t="s">
        <v>3092</v>
      </c>
      <c r="R131" s="2963"/>
      <c r="S131" s="2962" t="s">
        <v>3104</v>
      </c>
      <c r="T131" s="2960">
        <v>39446</v>
      </c>
      <c r="U131" s="2963"/>
      <c r="V131" s="2964"/>
      <c r="W131" s="2965"/>
      <c r="X131" s="2963"/>
      <c r="Y131" s="2965"/>
      <c r="Z131" s="2964"/>
      <c r="AA131" s="2964"/>
      <c r="AB131" s="2964"/>
      <c r="AC131">
        <f t="shared" ref="AC131:AC140" si="5">ROUND(M131/E131,0)</f>
        <v>50514</v>
      </c>
    </row>
    <row r="132" spans="1:29" ht="20.100000000000001" customHeight="1">
      <c r="A132" s="2959" t="s">
        <v>3472</v>
      </c>
      <c r="B132" s="2959" t="s">
        <v>3646</v>
      </c>
      <c r="C132" s="2970" t="str">
        <f t="shared" si="4"/>
        <v>2</v>
      </c>
      <c r="D132" s="2959">
        <v>217</v>
      </c>
      <c r="E132" s="2971">
        <f>VLOOKUP(D132,[2]Sheet1!$A$2:$B$330,2,0)</f>
        <v>137</v>
      </c>
      <c r="F132" s="2971">
        <f>VLOOKUP(D132,[2]房屋建筑面积分户计算明晰表!$A$2:$C$330,3,0)</f>
        <v>102.34</v>
      </c>
      <c r="G132" s="2959" t="s">
        <v>3473</v>
      </c>
      <c r="H132" s="2959" t="s">
        <v>3344</v>
      </c>
      <c r="I132" s="2960">
        <v>135.41</v>
      </c>
      <c r="J132" s="2960">
        <v>101.71</v>
      </c>
      <c r="K132" s="2961" t="s">
        <v>3344</v>
      </c>
      <c r="L132" s="2959" t="s">
        <v>3344</v>
      </c>
      <c r="M132" s="2960">
        <v>6452500</v>
      </c>
      <c r="N132" s="2959" t="s">
        <v>3090</v>
      </c>
      <c r="O132" s="2959" t="s">
        <v>3095</v>
      </c>
      <c r="P132" s="2962" t="s">
        <v>3092</v>
      </c>
      <c r="Q132" s="2962" t="s">
        <v>3092</v>
      </c>
      <c r="R132" s="2963"/>
      <c r="S132" s="2962" t="s">
        <v>3474</v>
      </c>
      <c r="T132" s="2960">
        <v>39967</v>
      </c>
      <c r="U132" s="2963"/>
      <c r="V132" s="2964"/>
      <c r="W132" s="2965"/>
      <c r="X132" s="2963"/>
      <c r="Y132" s="2965"/>
      <c r="Z132" s="2964"/>
      <c r="AA132" s="2964"/>
      <c r="AB132" s="2964"/>
      <c r="AC132">
        <f t="shared" si="5"/>
        <v>47099</v>
      </c>
    </row>
    <row r="133" spans="1:29" ht="20.100000000000001" customHeight="1">
      <c r="A133" s="2959" t="s">
        <v>3368</v>
      </c>
      <c r="B133" s="2959" t="s">
        <v>3647</v>
      </c>
      <c r="C133" s="2970" t="str">
        <f t="shared" si="4"/>
        <v>2</v>
      </c>
      <c r="D133" s="2959">
        <v>-115</v>
      </c>
      <c r="E133" s="2971">
        <f>VLOOKUP(D133,[2]Sheet1!$A$2:$B$330,2,0)</f>
        <v>137.55000000000001</v>
      </c>
      <c r="F133" s="2971">
        <f>VLOOKUP(D133,[2]房屋建筑面积分户计算明晰表!$A$2:$C$330,3,0)</f>
        <v>102.06</v>
      </c>
      <c r="G133" s="2959" t="s">
        <v>3369</v>
      </c>
      <c r="H133" s="2959" t="s">
        <v>3347</v>
      </c>
      <c r="I133" s="2960">
        <v>137.47</v>
      </c>
      <c r="J133" s="2960">
        <v>101.95</v>
      </c>
      <c r="K133" s="2961" t="s">
        <v>3347</v>
      </c>
      <c r="L133" s="2959" t="s">
        <v>3347</v>
      </c>
      <c r="M133" s="2960">
        <v>9173145</v>
      </c>
      <c r="N133" s="2959" t="s">
        <v>3370</v>
      </c>
      <c r="O133" s="2959" t="s">
        <v>3091</v>
      </c>
      <c r="P133" s="2962" t="s">
        <v>3092</v>
      </c>
      <c r="Q133" s="2962" t="s">
        <v>3092</v>
      </c>
      <c r="R133" s="2963"/>
      <c r="S133" s="2962" t="s">
        <v>3371</v>
      </c>
      <c r="T133" s="2960">
        <v>9897</v>
      </c>
      <c r="U133" s="2963"/>
      <c r="V133" s="2964"/>
      <c r="W133" s="2965"/>
      <c r="X133" s="2963"/>
      <c r="Y133" s="2965"/>
      <c r="Z133" s="2964"/>
      <c r="AA133" s="2964"/>
      <c r="AB133" s="2964"/>
      <c r="AC133">
        <f t="shared" si="5"/>
        <v>66690</v>
      </c>
    </row>
    <row r="134" spans="1:29" ht="20.100000000000001" customHeight="1">
      <c r="A134" s="2959" t="s">
        <v>3446</v>
      </c>
      <c r="B134" s="2959" t="s">
        <v>3648</v>
      </c>
      <c r="C134" s="2970" t="str">
        <f t="shared" si="4"/>
        <v>2</v>
      </c>
      <c r="D134" s="2959">
        <v>212</v>
      </c>
      <c r="E134" s="2971">
        <f>VLOOKUP(D134,[2]Sheet1!$A$2:$B$330,2,0)</f>
        <v>137.75</v>
      </c>
      <c r="F134" s="2971">
        <f>VLOOKUP(D134,[2]房屋建筑面积分户计算明晰表!$A$2:$C$330,3,0)</f>
        <v>102.9</v>
      </c>
      <c r="G134" s="2959" t="s">
        <v>3447</v>
      </c>
      <c r="H134" s="2959" t="s">
        <v>3344</v>
      </c>
      <c r="I134" s="2960">
        <v>136.58000000000001</v>
      </c>
      <c r="J134" s="2960">
        <v>102.59</v>
      </c>
      <c r="K134" s="2961" t="s">
        <v>3344</v>
      </c>
      <c r="L134" s="2959" t="s">
        <v>3344</v>
      </c>
      <c r="M134" s="2960">
        <v>7180953</v>
      </c>
      <c r="N134" s="2959" t="s">
        <v>3406</v>
      </c>
      <c r="O134" s="2959" t="s">
        <v>3111</v>
      </c>
      <c r="P134" s="2962" t="s">
        <v>3092</v>
      </c>
      <c r="Q134" s="2962" t="s">
        <v>3092</v>
      </c>
      <c r="R134" s="2963"/>
      <c r="S134" s="2962" t="s">
        <v>3396</v>
      </c>
      <c r="T134" s="2960">
        <v>21699</v>
      </c>
      <c r="U134" s="2963"/>
      <c r="V134" s="2964"/>
      <c r="W134" s="2965"/>
      <c r="X134" s="2963"/>
      <c r="Y134" s="2965"/>
      <c r="Z134" s="2964"/>
      <c r="AA134" s="2964"/>
      <c r="AB134" s="2964"/>
      <c r="AC134">
        <f t="shared" si="5"/>
        <v>52130</v>
      </c>
    </row>
    <row r="135" spans="1:29" ht="20.100000000000001" customHeight="1">
      <c r="A135" s="2959" t="s">
        <v>3417</v>
      </c>
      <c r="B135" s="2959" t="s">
        <v>3649</v>
      </c>
      <c r="C135" s="2970" t="str">
        <f t="shared" si="4"/>
        <v>2</v>
      </c>
      <c r="D135" s="2959">
        <v>226</v>
      </c>
      <c r="E135" s="2971">
        <f>VLOOKUP(D135,[2]Sheet1!$A$2:$B$330,2,0)</f>
        <v>152.13999999999999</v>
      </c>
      <c r="F135" s="2971">
        <f>VLOOKUP(D135,[2]房屋建筑面积分户计算明晰表!$A$2:$C$330,3,0)</f>
        <v>113.65</v>
      </c>
      <c r="G135" s="2959" t="s">
        <v>3418</v>
      </c>
      <c r="H135" s="2959" t="s">
        <v>3354</v>
      </c>
      <c r="I135" s="2960">
        <v>151.71</v>
      </c>
      <c r="J135" s="2960">
        <v>113.95</v>
      </c>
      <c r="K135" s="2961" t="s">
        <v>3347</v>
      </c>
      <c r="L135" s="2959" t="s">
        <v>3347</v>
      </c>
      <c r="M135" s="2960">
        <v>9491495</v>
      </c>
      <c r="N135" s="2959" t="s">
        <v>3370</v>
      </c>
      <c r="O135" s="2959" t="s">
        <v>3120</v>
      </c>
      <c r="P135" s="2962" t="s">
        <v>3092</v>
      </c>
      <c r="Q135" s="2962" t="s">
        <v>3092</v>
      </c>
      <c r="R135" s="2963"/>
      <c r="S135" s="2962" t="s">
        <v>3396</v>
      </c>
      <c r="T135" s="2960">
        <v>-24989</v>
      </c>
      <c r="U135" s="2963"/>
      <c r="V135" s="2964"/>
      <c r="W135" s="2965"/>
      <c r="X135" s="2963"/>
      <c r="Y135" s="2965"/>
      <c r="Z135" s="2964"/>
      <c r="AA135" s="2964"/>
      <c r="AB135" s="2964"/>
      <c r="AC135">
        <f t="shared" si="5"/>
        <v>62387</v>
      </c>
    </row>
    <row r="136" spans="1:29" ht="20.100000000000001" customHeight="1">
      <c r="A136" s="2959" t="s">
        <v>3497</v>
      </c>
      <c r="B136" s="2959" t="s">
        <v>3650</v>
      </c>
      <c r="C136" s="2970" t="str">
        <f t="shared" si="4"/>
        <v>2</v>
      </c>
      <c r="D136" s="2959">
        <v>149</v>
      </c>
      <c r="E136" s="2971">
        <f>VLOOKUP(D136,[2]Sheet1!$A$2:$B$330,2,0)</f>
        <v>153.81</v>
      </c>
      <c r="F136" s="2971">
        <f>VLOOKUP(D136,[2]房屋建筑面积分户计算明晰表!$A$2:$C$330,3,0)</f>
        <v>131.77000000000001</v>
      </c>
      <c r="G136" s="2959" t="s">
        <v>3498</v>
      </c>
      <c r="H136" s="2959" t="s">
        <v>3354</v>
      </c>
      <c r="I136" s="2960">
        <v>150.97999999999999</v>
      </c>
      <c r="J136" s="2960">
        <v>130.44</v>
      </c>
      <c r="K136" s="2961" t="s">
        <v>3354</v>
      </c>
      <c r="L136" s="2959" t="s">
        <v>3354</v>
      </c>
      <c r="M136" s="2960">
        <v>9794672</v>
      </c>
      <c r="N136" s="2959" t="s">
        <v>3090</v>
      </c>
      <c r="O136" s="2959" t="s">
        <v>3152</v>
      </c>
      <c r="P136" s="2962" t="s">
        <v>3092</v>
      </c>
      <c r="Q136" s="2962" t="s">
        <v>3092</v>
      </c>
      <c r="R136" s="2963"/>
      <c r="S136" s="2962" t="s">
        <v>3235</v>
      </c>
      <c r="T136" s="2960">
        <v>99869</v>
      </c>
      <c r="U136" s="2963"/>
      <c r="V136" s="2964"/>
      <c r="W136" s="2965"/>
      <c r="X136" s="2963"/>
      <c r="Y136" s="2965"/>
      <c r="Z136" s="2964"/>
      <c r="AA136" s="2964"/>
      <c r="AB136" s="2964"/>
      <c r="AC136">
        <f t="shared" si="5"/>
        <v>63680</v>
      </c>
    </row>
    <row r="137" spans="1:29" ht="20.100000000000001" customHeight="1">
      <c r="A137" s="2959" t="s">
        <v>3415</v>
      </c>
      <c r="B137" s="2959" t="s">
        <v>3651</v>
      </c>
      <c r="C137" s="2970" t="str">
        <f t="shared" si="4"/>
        <v>2</v>
      </c>
      <c r="D137" s="2959">
        <v>227</v>
      </c>
      <c r="E137" s="2971">
        <f>VLOOKUP(D137,[2]Sheet1!$A$2:$B$330,2,0)</f>
        <v>192.39</v>
      </c>
      <c r="F137" s="2971">
        <f>VLOOKUP(D137,[2]房屋建筑面积分户计算明晰表!$A$2:$C$330,3,0)</f>
        <v>143.72</v>
      </c>
      <c r="G137" s="2959" t="s">
        <v>3416</v>
      </c>
      <c r="H137" s="2959" t="s">
        <v>3354</v>
      </c>
      <c r="I137" s="2960">
        <v>191.13</v>
      </c>
      <c r="J137" s="2960">
        <v>143.56</v>
      </c>
      <c r="K137" s="2961" t="s">
        <v>3347</v>
      </c>
      <c r="L137" s="2959" t="s">
        <v>3347</v>
      </c>
      <c r="M137" s="2960">
        <v>13411396</v>
      </c>
      <c r="N137" s="2959" t="s">
        <v>3370</v>
      </c>
      <c r="O137" s="2959" t="s">
        <v>3095</v>
      </c>
      <c r="P137" s="2962" t="s">
        <v>3092</v>
      </c>
      <c r="Q137" s="2962" t="s">
        <v>3092</v>
      </c>
      <c r="R137" s="2963"/>
      <c r="S137" s="2962" t="s">
        <v>3358</v>
      </c>
      <c r="T137" s="2960">
        <v>14947</v>
      </c>
      <c r="U137" s="2963"/>
      <c r="V137" s="2964"/>
      <c r="W137" s="2965"/>
      <c r="X137" s="2963"/>
      <c r="Y137" s="2965"/>
      <c r="Z137" s="2964"/>
      <c r="AA137" s="2964"/>
      <c r="AB137" s="2964"/>
      <c r="AC137">
        <f t="shared" si="5"/>
        <v>69709</v>
      </c>
    </row>
    <row r="138" spans="1:29" ht="20.100000000000001" customHeight="1">
      <c r="A138" s="2959" t="s">
        <v>3427</v>
      </c>
      <c r="B138" s="2959" t="s">
        <v>3652</v>
      </c>
      <c r="C138" s="2970" t="str">
        <f t="shared" si="4"/>
        <v>2</v>
      </c>
      <c r="D138" s="2959">
        <v>213</v>
      </c>
      <c r="E138" s="2971">
        <f>VLOOKUP(D138,[2]Sheet1!$A$2:$B$330,2,0)</f>
        <v>209.73</v>
      </c>
      <c r="F138" s="2971">
        <f>VLOOKUP(D138,[2]房屋建筑面积分户计算明晰表!$A$2:$C$330,3,0)</f>
        <v>156.66999999999999</v>
      </c>
      <c r="G138" s="2959" t="s">
        <v>3428</v>
      </c>
      <c r="H138" s="2959" t="s">
        <v>3344</v>
      </c>
      <c r="I138" s="2960">
        <v>208.43</v>
      </c>
      <c r="J138" s="2960">
        <v>156.56</v>
      </c>
      <c r="K138" s="2961" t="s">
        <v>3344</v>
      </c>
      <c r="L138" s="2959" t="s">
        <v>3344</v>
      </c>
      <c r="M138" s="2960">
        <v>10172014</v>
      </c>
      <c r="N138" s="2959" t="s">
        <v>3406</v>
      </c>
      <c r="O138" s="2959" t="s">
        <v>3374</v>
      </c>
      <c r="P138" s="2962" t="s">
        <v>3092</v>
      </c>
      <c r="Q138" s="2962" t="s">
        <v>3092</v>
      </c>
      <c r="R138" s="2963"/>
      <c r="S138" s="2962" t="s">
        <v>3162</v>
      </c>
      <c r="T138" s="2960">
        <v>7147</v>
      </c>
      <c r="U138" s="2963"/>
      <c r="V138" s="2964"/>
      <c r="W138" s="2965"/>
      <c r="X138" s="2963"/>
      <c r="Y138" s="2965"/>
      <c r="Z138" s="2964"/>
      <c r="AA138" s="2964"/>
      <c r="AB138" s="2964"/>
      <c r="AC138">
        <f t="shared" si="5"/>
        <v>48501</v>
      </c>
    </row>
    <row r="139" spans="1:29" ht="20.100000000000001" customHeight="1">
      <c r="A139" s="2959" t="s">
        <v>3388</v>
      </c>
      <c r="B139" s="2959" t="s">
        <v>3653</v>
      </c>
      <c r="C139" s="2970" t="str">
        <f t="shared" si="4"/>
        <v>2</v>
      </c>
      <c r="D139" s="2959">
        <v>201</v>
      </c>
      <c r="E139" s="2971">
        <f>VLOOKUP(D139,[2]Sheet1!$A$2:$B$330,2,0)</f>
        <v>330.02</v>
      </c>
      <c r="F139" s="2971">
        <f>VLOOKUP(D139,[2]房屋建筑面积分户计算明晰表!$A$2:$C$330,3,0)</f>
        <v>246.53</v>
      </c>
      <c r="G139" s="2959" t="s">
        <v>3389</v>
      </c>
      <c r="H139" s="2959" t="s">
        <v>3347</v>
      </c>
      <c r="I139" s="2960">
        <v>327.14999999999998</v>
      </c>
      <c r="J139" s="2960">
        <v>245.73</v>
      </c>
      <c r="K139" s="2961" t="s">
        <v>3347</v>
      </c>
      <c r="L139" s="2959" t="s">
        <v>3347</v>
      </c>
      <c r="M139" s="2960">
        <v>21654731</v>
      </c>
      <c r="N139" s="2959" t="s">
        <v>3090</v>
      </c>
      <c r="O139" s="2959" t="s">
        <v>3091</v>
      </c>
      <c r="P139" s="2962" t="s">
        <v>3092</v>
      </c>
      <c r="Q139" s="2962" t="s">
        <v>3092</v>
      </c>
      <c r="R139" s="2963"/>
      <c r="S139" s="2962" t="s">
        <v>3385</v>
      </c>
      <c r="T139" s="2960">
        <v>70499</v>
      </c>
      <c r="U139" s="2963"/>
      <c r="V139" s="2964"/>
      <c r="W139" s="2965"/>
      <c r="X139" s="2963"/>
      <c r="Y139" s="2965"/>
      <c r="Z139" s="2964"/>
      <c r="AA139" s="2964"/>
      <c r="AB139" s="2964"/>
      <c r="AC139">
        <f t="shared" si="5"/>
        <v>65616</v>
      </c>
    </row>
    <row r="140" spans="1:29" ht="20.100000000000001" customHeight="1">
      <c r="A140" s="2959" t="s">
        <v>3499</v>
      </c>
      <c r="B140" s="2959" t="s">
        <v>3654</v>
      </c>
      <c r="C140" s="2970" t="str">
        <f t="shared" si="4"/>
        <v>2</v>
      </c>
      <c r="D140" s="2959">
        <v>150</v>
      </c>
      <c r="E140" s="2971">
        <f>VLOOKUP(D140,[2]Sheet1!$A$2:$B$330,2,0)</f>
        <v>358.53</v>
      </c>
      <c r="F140" s="2971">
        <f>VLOOKUP(D140,[2]房屋建筑面积分户计算明晰表!$A$2:$C$330,3,0)</f>
        <v>307.16000000000003</v>
      </c>
      <c r="G140" s="2959" t="s">
        <v>3500</v>
      </c>
      <c r="H140" s="2959" t="s">
        <v>3354</v>
      </c>
      <c r="I140" s="2960">
        <v>359.03</v>
      </c>
      <c r="J140" s="2960">
        <v>310.18</v>
      </c>
      <c r="K140" s="2961" t="s">
        <v>3354</v>
      </c>
      <c r="L140" s="2959" t="s">
        <v>3354</v>
      </c>
      <c r="M140" s="2960">
        <v>17196832</v>
      </c>
      <c r="N140" s="2959" t="s">
        <v>3090</v>
      </c>
      <c r="O140" s="2959" t="s">
        <v>3152</v>
      </c>
      <c r="P140" s="2962" t="s">
        <v>3092</v>
      </c>
      <c r="Q140" s="2962" t="s">
        <v>3092</v>
      </c>
      <c r="R140" s="2963"/>
      <c r="S140" s="2962" t="s">
        <v>3235</v>
      </c>
      <c r="T140" s="2960">
        <v>-167433</v>
      </c>
      <c r="U140" s="2963"/>
      <c r="V140" s="2964"/>
      <c r="W140" s="2965"/>
      <c r="X140" s="2963"/>
      <c r="Y140" s="2965"/>
      <c r="Z140" s="2964"/>
      <c r="AA140" s="2964"/>
      <c r="AB140" s="2964"/>
      <c r="AC140">
        <f t="shared" si="5"/>
        <v>47965</v>
      </c>
    </row>
    <row r="141" spans="1:29" ht="20.100000000000001" customHeight="1">
      <c r="A141" s="2959" t="s">
        <v>3655</v>
      </c>
      <c r="B141" s="2959" t="s">
        <v>3656</v>
      </c>
      <c r="C141" s="2970" t="str">
        <f t="shared" si="4"/>
        <v>2</v>
      </c>
      <c r="D141" s="2959">
        <v>-200</v>
      </c>
      <c r="E141" s="2971"/>
      <c r="F141" s="2971"/>
      <c r="G141" s="2959" t="s">
        <v>3118</v>
      </c>
      <c r="H141" s="2959" t="s">
        <v>3110</v>
      </c>
      <c r="I141" s="2960">
        <v>49.6</v>
      </c>
      <c r="J141" s="2960">
        <v>12.72</v>
      </c>
      <c r="K141" s="2961" t="s">
        <v>3110</v>
      </c>
      <c r="L141" s="2959" t="s">
        <v>3119</v>
      </c>
      <c r="M141" s="2960">
        <v>302560</v>
      </c>
      <c r="N141" s="2959" t="s">
        <v>3105</v>
      </c>
      <c r="O141" s="2959" t="s">
        <v>3120</v>
      </c>
      <c r="P141" s="2962" t="s">
        <v>3107</v>
      </c>
      <c r="Q141" s="2962" t="s">
        <v>3107</v>
      </c>
      <c r="R141" s="2963"/>
      <c r="S141" s="2962" t="s">
        <v>3119</v>
      </c>
      <c r="T141" s="2966"/>
      <c r="U141" s="2963"/>
      <c r="V141" s="2964"/>
      <c r="W141" s="2965"/>
      <c r="X141" s="2963"/>
      <c r="Y141" s="2965"/>
      <c r="Z141" s="2964"/>
      <c r="AA141" s="2964"/>
      <c r="AB141" s="2964"/>
    </row>
    <row r="142" spans="1:29" ht="20.100000000000001" customHeight="1">
      <c r="A142" s="2959" t="s">
        <v>3121</v>
      </c>
      <c r="B142" s="2959" t="s">
        <v>3657</v>
      </c>
      <c r="C142" s="2970" t="str">
        <f t="shared" si="4"/>
        <v>2</v>
      </c>
      <c r="D142" s="2959">
        <v>-199</v>
      </c>
      <c r="E142" s="2971"/>
      <c r="F142" s="2971"/>
      <c r="G142" s="2959" t="s">
        <v>3122</v>
      </c>
      <c r="H142" s="2959" t="s">
        <v>3110</v>
      </c>
      <c r="I142" s="2960">
        <v>49.6</v>
      </c>
      <c r="J142" s="2960">
        <v>12.72</v>
      </c>
      <c r="K142" s="2961" t="s">
        <v>3110</v>
      </c>
      <c r="L142" s="2959" t="s">
        <v>3119</v>
      </c>
      <c r="M142" s="2960">
        <v>302560</v>
      </c>
      <c r="N142" s="2959" t="s">
        <v>3105</v>
      </c>
      <c r="O142" s="2959" t="s">
        <v>3120</v>
      </c>
      <c r="P142" s="2962" t="s">
        <v>3107</v>
      </c>
      <c r="Q142" s="2962" t="s">
        <v>3107</v>
      </c>
      <c r="R142" s="2963"/>
      <c r="S142" s="2962" t="s">
        <v>3119</v>
      </c>
      <c r="T142" s="2966"/>
      <c r="U142" s="2963"/>
      <c r="V142" s="2964"/>
      <c r="W142" s="2965"/>
      <c r="X142" s="2963"/>
      <c r="Y142" s="2965"/>
      <c r="Z142" s="2964"/>
      <c r="AA142" s="2964"/>
      <c r="AB142" s="2964"/>
    </row>
    <row r="143" spans="1:29" ht="20.100000000000001" customHeight="1">
      <c r="A143" s="2959" t="s">
        <v>3101</v>
      </c>
      <c r="B143" s="2959" t="s">
        <v>3658</v>
      </c>
      <c r="C143" s="2970" t="str">
        <f t="shared" si="4"/>
        <v>2</v>
      </c>
      <c r="D143" s="2959">
        <v>-197</v>
      </c>
      <c r="E143" s="2971"/>
      <c r="F143" s="2971"/>
      <c r="G143" s="2959" t="s">
        <v>3102</v>
      </c>
      <c r="H143" s="2959" t="s">
        <v>3103</v>
      </c>
      <c r="I143" s="2960">
        <v>49.6</v>
      </c>
      <c r="J143" s="2960">
        <v>12.72</v>
      </c>
      <c r="K143" s="2961" t="s">
        <v>3103</v>
      </c>
      <c r="L143" s="2959" t="s">
        <v>3104</v>
      </c>
      <c r="M143" s="2960">
        <v>302560</v>
      </c>
      <c r="N143" s="2959" t="s">
        <v>3105</v>
      </c>
      <c r="O143" s="2959" t="s">
        <v>3106</v>
      </c>
      <c r="P143" s="2962" t="s">
        <v>3107</v>
      </c>
      <c r="Q143" s="2962" t="s">
        <v>3107</v>
      </c>
      <c r="R143" s="2963"/>
      <c r="S143" s="2962" t="s">
        <v>3104</v>
      </c>
      <c r="T143" s="2966"/>
      <c r="U143" s="2963"/>
      <c r="V143" s="2964"/>
      <c r="W143" s="2965"/>
      <c r="X143" s="2963"/>
      <c r="Y143" s="2965"/>
      <c r="Z143" s="2964"/>
      <c r="AA143" s="2964"/>
      <c r="AB143" s="2964"/>
    </row>
    <row r="144" spans="1:29" ht="20.100000000000001" customHeight="1">
      <c r="A144" s="2959" t="s">
        <v>3133</v>
      </c>
      <c r="B144" s="2959" t="s">
        <v>3659</v>
      </c>
      <c r="C144" s="2970" t="str">
        <f t="shared" si="4"/>
        <v>2</v>
      </c>
      <c r="D144" s="2959">
        <v>-43</v>
      </c>
      <c r="E144" s="2971"/>
      <c r="F144" s="2971"/>
      <c r="G144" s="2959" t="s">
        <v>3134</v>
      </c>
      <c r="H144" s="2959" t="s">
        <v>3125</v>
      </c>
      <c r="I144" s="2960">
        <v>41.33</v>
      </c>
      <c r="J144" s="2960">
        <v>10.6</v>
      </c>
      <c r="K144" s="2961" t="s">
        <v>3125</v>
      </c>
      <c r="L144" s="2959" t="s">
        <v>3104</v>
      </c>
      <c r="M144" s="2960">
        <v>252113</v>
      </c>
      <c r="N144" s="2959" t="s">
        <v>3105</v>
      </c>
      <c r="O144" s="2959" t="s">
        <v>3106</v>
      </c>
      <c r="P144" s="2962" t="s">
        <v>3107</v>
      </c>
      <c r="Q144" s="2962" t="s">
        <v>3107</v>
      </c>
      <c r="R144" s="2963"/>
      <c r="S144" s="2962" t="s">
        <v>3135</v>
      </c>
      <c r="T144" s="2966"/>
      <c r="U144" s="2963"/>
      <c r="V144" s="2964"/>
      <c r="W144" s="2965"/>
      <c r="X144" s="2963"/>
      <c r="Y144" s="2965"/>
      <c r="Z144" s="2964"/>
      <c r="AA144" s="2964"/>
      <c r="AB144" s="2964"/>
    </row>
    <row r="145" spans="1:28" ht="20.100000000000001" customHeight="1">
      <c r="A145" s="2959" t="s">
        <v>3138</v>
      </c>
      <c r="B145" s="2959" t="s">
        <v>3660</v>
      </c>
      <c r="C145" s="2970" t="str">
        <f t="shared" si="4"/>
        <v>2</v>
      </c>
      <c r="D145" s="2959">
        <v>-40</v>
      </c>
      <c r="E145" s="2971"/>
      <c r="F145" s="2971"/>
      <c r="G145" s="2959" t="s">
        <v>3139</v>
      </c>
      <c r="H145" s="2959" t="s">
        <v>3125</v>
      </c>
      <c r="I145" s="2960">
        <v>41.33</v>
      </c>
      <c r="J145" s="2960">
        <v>10.6</v>
      </c>
      <c r="K145" s="2961" t="s">
        <v>3125</v>
      </c>
      <c r="L145" s="2959" t="s">
        <v>3104</v>
      </c>
      <c r="M145" s="2960">
        <v>252113</v>
      </c>
      <c r="N145" s="2959" t="s">
        <v>3105</v>
      </c>
      <c r="O145" s="2959" t="s">
        <v>3106</v>
      </c>
      <c r="P145" s="2962" t="s">
        <v>3107</v>
      </c>
      <c r="Q145" s="2962" t="s">
        <v>3107</v>
      </c>
      <c r="R145" s="2963"/>
      <c r="S145" s="2962" t="s">
        <v>3135</v>
      </c>
      <c r="T145" s="2966"/>
      <c r="U145" s="2963"/>
      <c r="V145" s="2964"/>
      <c r="W145" s="2965"/>
      <c r="X145" s="2963"/>
      <c r="Y145" s="2965"/>
      <c r="Z145" s="2964"/>
      <c r="AA145" s="2964"/>
      <c r="AB145" s="2964"/>
    </row>
    <row r="146" spans="1:28" ht="20.100000000000001" customHeight="1">
      <c r="A146" s="2959" t="s">
        <v>3116</v>
      </c>
      <c r="B146" s="2959" t="s">
        <v>3661</v>
      </c>
      <c r="C146" s="2970" t="str">
        <f t="shared" si="4"/>
        <v>2</v>
      </c>
      <c r="D146" s="2959">
        <v>-38</v>
      </c>
      <c r="E146" s="2971"/>
      <c r="F146" s="2971"/>
      <c r="G146" s="2959" t="s">
        <v>3117</v>
      </c>
      <c r="H146" s="2959" t="s">
        <v>3110</v>
      </c>
      <c r="I146" s="2960">
        <v>49.6</v>
      </c>
      <c r="J146" s="2960">
        <v>12.72</v>
      </c>
      <c r="K146" s="2961" t="s">
        <v>3110</v>
      </c>
      <c r="L146" s="2959" t="s">
        <v>3104</v>
      </c>
      <c r="M146" s="2960">
        <v>302560</v>
      </c>
      <c r="N146" s="2959" t="s">
        <v>3105</v>
      </c>
      <c r="O146" s="2959" t="s">
        <v>3111</v>
      </c>
      <c r="P146" s="2962" t="s">
        <v>3107</v>
      </c>
      <c r="Q146" s="2962" t="s">
        <v>3107</v>
      </c>
      <c r="R146" s="2963"/>
      <c r="S146" s="2962" t="s">
        <v>3104</v>
      </c>
      <c r="T146" s="2966"/>
      <c r="U146" s="2963"/>
      <c r="V146" s="2964"/>
      <c r="W146" s="2965"/>
      <c r="X146" s="2963"/>
      <c r="Y146" s="2965"/>
      <c r="Z146" s="2964"/>
      <c r="AA146" s="2964"/>
      <c r="AB146" s="2964"/>
    </row>
    <row r="147" spans="1:28" ht="20.100000000000001" customHeight="1">
      <c r="A147" s="2959" t="s">
        <v>3114</v>
      </c>
      <c r="B147" s="2959" t="s">
        <v>3662</v>
      </c>
      <c r="C147" s="2970" t="str">
        <f t="shared" si="4"/>
        <v>2</v>
      </c>
      <c r="D147" s="2959">
        <v>-37</v>
      </c>
      <c r="E147" s="2971"/>
      <c r="F147" s="2971"/>
      <c r="G147" s="2959" t="s">
        <v>3115</v>
      </c>
      <c r="H147" s="2959" t="s">
        <v>3110</v>
      </c>
      <c r="I147" s="2960">
        <v>49.6</v>
      </c>
      <c r="J147" s="2960">
        <v>12.72</v>
      </c>
      <c r="K147" s="2961" t="s">
        <v>3110</v>
      </c>
      <c r="L147" s="2959" t="s">
        <v>3104</v>
      </c>
      <c r="M147" s="2960">
        <v>302560</v>
      </c>
      <c r="N147" s="2959" t="s">
        <v>3105</v>
      </c>
      <c r="O147" s="2959" t="s">
        <v>3111</v>
      </c>
      <c r="P147" s="2962" t="s">
        <v>3107</v>
      </c>
      <c r="Q147" s="2962" t="s">
        <v>3107</v>
      </c>
      <c r="R147" s="2963"/>
      <c r="S147" s="2962" t="s">
        <v>3104</v>
      </c>
      <c r="T147" s="2966"/>
      <c r="U147" s="2963"/>
      <c r="V147" s="2964"/>
      <c r="W147" s="2965"/>
      <c r="X147" s="2963"/>
      <c r="Y147" s="2965"/>
      <c r="Z147" s="2964"/>
      <c r="AA147" s="2964"/>
      <c r="AB147" s="2964"/>
    </row>
    <row r="148" spans="1:28" ht="20.100000000000001" customHeight="1">
      <c r="A148" s="2959" t="s">
        <v>3112</v>
      </c>
      <c r="B148" s="2959" t="s">
        <v>3663</v>
      </c>
      <c r="C148" s="2970" t="str">
        <f t="shared" si="4"/>
        <v>2</v>
      </c>
      <c r="D148" s="2959">
        <v>-34</v>
      </c>
      <c r="E148" s="2971"/>
      <c r="F148" s="2971"/>
      <c r="G148" s="2959" t="s">
        <v>3113</v>
      </c>
      <c r="H148" s="2959" t="s">
        <v>3110</v>
      </c>
      <c r="I148" s="2960">
        <v>56.15</v>
      </c>
      <c r="J148" s="2960">
        <v>14.4</v>
      </c>
      <c r="K148" s="2961" t="s">
        <v>3110</v>
      </c>
      <c r="L148" s="2959" t="s">
        <v>3104</v>
      </c>
      <c r="M148" s="2960">
        <v>342515</v>
      </c>
      <c r="N148" s="2959" t="s">
        <v>3105</v>
      </c>
      <c r="O148" s="2959" t="s">
        <v>3111</v>
      </c>
      <c r="P148" s="2962" t="s">
        <v>3107</v>
      </c>
      <c r="Q148" s="2962" t="s">
        <v>3107</v>
      </c>
      <c r="R148" s="2963"/>
      <c r="S148" s="2962" t="s">
        <v>3104</v>
      </c>
      <c r="T148" s="2966"/>
      <c r="U148" s="2963"/>
      <c r="V148" s="2964"/>
      <c r="W148" s="2965"/>
      <c r="X148" s="2963"/>
      <c r="Y148" s="2965"/>
      <c r="Z148" s="2964"/>
      <c r="AA148" s="2964"/>
      <c r="AB148" s="2964"/>
    </row>
    <row r="149" spans="1:28" ht="20.100000000000001" customHeight="1">
      <c r="A149" s="2959" t="s">
        <v>3108</v>
      </c>
      <c r="B149" s="2959" t="s">
        <v>3664</v>
      </c>
      <c r="C149" s="2970" t="str">
        <f t="shared" si="4"/>
        <v>2</v>
      </c>
      <c r="D149" s="2959">
        <v>-31</v>
      </c>
      <c r="E149" s="2971"/>
      <c r="F149" s="2971"/>
      <c r="G149" s="2959" t="s">
        <v>3109</v>
      </c>
      <c r="H149" s="2959" t="s">
        <v>3110</v>
      </c>
      <c r="I149" s="2960">
        <v>49.6</v>
      </c>
      <c r="J149" s="2960">
        <v>12.72</v>
      </c>
      <c r="K149" s="2961" t="s">
        <v>3110</v>
      </c>
      <c r="L149" s="2959" t="s">
        <v>3104</v>
      </c>
      <c r="M149" s="2960">
        <v>302560</v>
      </c>
      <c r="N149" s="2959" t="s">
        <v>3105</v>
      </c>
      <c r="O149" s="2959" t="s">
        <v>3111</v>
      </c>
      <c r="P149" s="2962" t="s">
        <v>3107</v>
      </c>
      <c r="Q149" s="2962" t="s">
        <v>3107</v>
      </c>
      <c r="R149" s="2963"/>
      <c r="S149" s="2962" t="s">
        <v>3104</v>
      </c>
      <c r="T149" s="2966"/>
      <c r="U149" s="2963"/>
      <c r="V149" s="2964"/>
      <c r="W149" s="2965"/>
      <c r="X149" s="2963"/>
      <c r="Y149" s="2965"/>
      <c r="Z149" s="2964"/>
      <c r="AA149" s="2964"/>
      <c r="AB149" s="2964"/>
    </row>
    <row r="150" spans="1:28" ht="20.100000000000001" customHeight="1">
      <c r="A150" s="2959" t="s">
        <v>3148</v>
      </c>
      <c r="B150" s="2959" t="s">
        <v>3665</v>
      </c>
      <c r="C150" s="2970" t="str">
        <f t="shared" si="4"/>
        <v>2</v>
      </c>
      <c r="D150" s="2959">
        <v>-12</v>
      </c>
      <c r="E150" s="2971"/>
      <c r="F150" s="2971"/>
      <c r="G150" s="2959" t="s">
        <v>3149</v>
      </c>
      <c r="H150" s="2959" t="s">
        <v>3125</v>
      </c>
      <c r="I150" s="2960">
        <v>49.6</v>
      </c>
      <c r="J150" s="2960">
        <v>12.72</v>
      </c>
      <c r="K150" s="2961" t="s">
        <v>3125</v>
      </c>
      <c r="L150" s="2959" t="s">
        <v>3104</v>
      </c>
      <c r="M150" s="2960">
        <v>302560</v>
      </c>
      <c r="N150" s="2959" t="s">
        <v>3105</v>
      </c>
      <c r="O150" s="2959" t="s">
        <v>3106</v>
      </c>
      <c r="P150" s="2962" t="s">
        <v>3107</v>
      </c>
      <c r="Q150" s="2962" t="s">
        <v>3107</v>
      </c>
      <c r="R150" s="2963"/>
      <c r="S150" s="2962" t="s">
        <v>3135</v>
      </c>
      <c r="T150" s="2966"/>
      <c r="U150" s="2963"/>
      <c r="V150" s="2964"/>
      <c r="W150" s="2965"/>
      <c r="X150" s="2963"/>
      <c r="Y150" s="2965"/>
      <c r="Z150" s="2964"/>
      <c r="AA150" s="2964"/>
      <c r="AB150" s="2964"/>
    </row>
    <row r="151" spans="1:28" ht="20.100000000000001" customHeight="1">
      <c r="A151" s="2959" t="s">
        <v>3146</v>
      </c>
      <c r="B151" s="2959" t="s">
        <v>3666</v>
      </c>
      <c r="C151" s="2970" t="str">
        <f t="shared" si="4"/>
        <v>2</v>
      </c>
      <c r="D151" s="2959">
        <v>-11</v>
      </c>
      <c r="E151" s="2971"/>
      <c r="F151" s="2971"/>
      <c r="G151" s="2959" t="s">
        <v>3147</v>
      </c>
      <c r="H151" s="2959" t="s">
        <v>3125</v>
      </c>
      <c r="I151" s="2960">
        <v>49.6</v>
      </c>
      <c r="J151" s="2960">
        <v>12.72</v>
      </c>
      <c r="K151" s="2961" t="s">
        <v>3125</v>
      </c>
      <c r="L151" s="2959" t="s">
        <v>3104</v>
      </c>
      <c r="M151" s="2960">
        <v>302560</v>
      </c>
      <c r="N151" s="2959" t="s">
        <v>3105</v>
      </c>
      <c r="O151" s="2959" t="s">
        <v>3106</v>
      </c>
      <c r="P151" s="2962" t="s">
        <v>3107</v>
      </c>
      <c r="Q151" s="2962" t="s">
        <v>3107</v>
      </c>
      <c r="R151" s="2963"/>
      <c r="S151" s="2962" t="s">
        <v>3135</v>
      </c>
      <c r="T151" s="2966"/>
      <c r="U151" s="2963"/>
      <c r="V151" s="2964"/>
      <c r="W151" s="2965"/>
      <c r="X151" s="2963"/>
      <c r="Y151" s="2965"/>
      <c r="Z151" s="2964"/>
      <c r="AA151" s="2964"/>
      <c r="AB151" s="2964"/>
    </row>
    <row r="152" spans="1:28" ht="20.100000000000001" customHeight="1">
      <c r="A152" s="2959" t="s">
        <v>3144</v>
      </c>
      <c r="B152" s="2959" t="s">
        <v>3667</v>
      </c>
      <c r="C152" s="2970" t="str">
        <f t="shared" si="4"/>
        <v>2</v>
      </c>
      <c r="D152" s="2959">
        <v>-10</v>
      </c>
      <c r="E152" s="2971"/>
      <c r="F152" s="2971"/>
      <c r="G152" s="2959" t="s">
        <v>3145</v>
      </c>
      <c r="H152" s="2959" t="s">
        <v>3125</v>
      </c>
      <c r="I152" s="2960">
        <v>49.6</v>
      </c>
      <c r="J152" s="2960">
        <v>12.72</v>
      </c>
      <c r="K152" s="2961" t="s">
        <v>3125</v>
      </c>
      <c r="L152" s="2959" t="s">
        <v>3104</v>
      </c>
      <c r="M152" s="2960">
        <v>302560</v>
      </c>
      <c r="N152" s="2959" t="s">
        <v>3105</v>
      </c>
      <c r="O152" s="2959" t="s">
        <v>3106</v>
      </c>
      <c r="P152" s="2962" t="s">
        <v>3107</v>
      </c>
      <c r="Q152" s="2962" t="s">
        <v>3107</v>
      </c>
      <c r="R152" s="2963"/>
      <c r="S152" s="2962" t="s">
        <v>3135</v>
      </c>
      <c r="T152" s="2966"/>
      <c r="U152" s="2963"/>
      <c r="V152" s="2964"/>
      <c r="W152" s="2965"/>
      <c r="X152" s="2963"/>
      <c r="Y152" s="2965"/>
      <c r="Z152" s="2964"/>
      <c r="AA152" s="2964"/>
      <c r="AB152" s="2964"/>
    </row>
    <row r="153" spans="1:28" ht="20.100000000000001" customHeight="1">
      <c r="A153" s="2959" t="s">
        <v>3142</v>
      </c>
      <c r="B153" s="2959" t="s">
        <v>3668</v>
      </c>
      <c r="C153" s="2970" t="str">
        <f t="shared" si="4"/>
        <v>2</v>
      </c>
      <c r="D153" s="2959">
        <v>-9</v>
      </c>
      <c r="E153" s="2971"/>
      <c r="F153" s="2971"/>
      <c r="G153" s="2959" t="s">
        <v>3143</v>
      </c>
      <c r="H153" s="2959" t="s">
        <v>3125</v>
      </c>
      <c r="I153" s="2960">
        <v>49.6</v>
      </c>
      <c r="J153" s="2960">
        <v>12.72</v>
      </c>
      <c r="K153" s="2961" t="s">
        <v>3125</v>
      </c>
      <c r="L153" s="2959" t="s">
        <v>3104</v>
      </c>
      <c r="M153" s="2960">
        <v>302560</v>
      </c>
      <c r="N153" s="2959" t="s">
        <v>3105</v>
      </c>
      <c r="O153" s="2959" t="s">
        <v>3106</v>
      </c>
      <c r="P153" s="2962" t="s">
        <v>3107</v>
      </c>
      <c r="Q153" s="2962" t="s">
        <v>3107</v>
      </c>
      <c r="R153" s="2963"/>
      <c r="S153" s="2962" t="s">
        <v>3135</v>
      </c>
      <c r="T153" s="2966"/>
      <c r="U153" s="2963"/>
      <c r="V153" s="2964"/>
      <c r="W153" s="2965"/>
      <c r="X153" s="2963"/>
      <c r="Y153" s="2965"/>
      <c r="Z153" s="2964"/>
      <c r="AA153" s="2964"/>
      <c r="AB153" s="2964"/>
    </row>
    <row r="154" spans="1:28" ht="20.100000000000001" customHeight="1">
      <c r="A154" s="2959" t="s">
        <v>3140</v>
      </c>
      <c r="B154" s="2959" t="s">
        <v>3669</v>
      </c>
      <c r="C154" s="2970" t="str">
        <f t="shared" si="4"/>
        <v>2</v>
      </c>
      <c r="D154" s="2959">
        <v>-8</v>
      </c>
      <c r="E154" s="2971"/>
      <c r="F154" s="2971"/>
      <c r="G154" s="2959" t="s">
        <v>3141</v>
      </c>
      <c r="H154" s="2959" t="s">
        <v>3125</v>
      </c>
      <c r="I154" s="2960">
        <v>49.6</v>
      </c>
      <c r="J154" s="2960">
        <v>12.72</v>
      </c>
      <c r="K154" s="2961" t="s">
        <v>3125</v>
      </c>
      <c r="L154" s="2959" t="s">
        <v>3104</v>
      </c>
      <c r="M154" s="2960">
        <v>302560</v>
      </c>
      <c r="N154" s="2959" t="s">
        <v>3105</v>
      </c>
      <c r="O154" s="2959" t="s">
        <v>3106</v>
      </c>
      <c r="P154" s="2962" t="s">
        <v>3107</v>
      </c>
      <c r="Q154" s="2962" t="s">
        <v>3107</v>
      </c>
      <c r="R154" s="2963"/>
      <c r="S154" s="2962" t="s">
        <v>3135</v>
      </c>
      <c r="T154" s="2966"/>
      <c r="U154" s="2963"/>
      <c r="V154" s="2964"/>
      <c r="W154" s="2965"/>
      <c r="X154" s="2963"/>
      <c r="Y154" s="2965"/>
      <c r="Z154" s="2964"/>
      <c r="AA154" s="2964"/>
      <c r="AB154" s="2964"/>
    </row>
    <row r="155" spans="1:28" ht="20.100000000000001" customHeight="1">
      <c r="A155" s="2959" t="s">
        <v>3136</v>
      </c>
      <c r="B155" s="2959" t="s">
        <v>3670</v>
      </c>
      <c r="C155" s="2970" t="str">
        <f t="shared" si="4"/>
        <v>2</v>
      </c>
      <c r="D155" s="2959">
        <v>-7</v>
      </c>
      <c r="E155" s="2971"/>
      <c r="F155" s="2971"/>
      <c r="G155" s="2959" t="s">
        <v>3137</v>
      </c>
      <c r="H155" s="2959" t="s">
        <v>3125</v>
      </c>
      <c r="I155" s="2960">
        <v>49.6</v>
      </c>
      <c r="J155" s="2960">
        <v>12.72</v>
      </c>
      <c r="K155" s="2961" t="s">
        <v>3125</v>
      </c>
      <c r="L155" s="2959" t="s">
        <v>3104</v>
      </c>
      <c r="M155" s="2960">
        <v>302560</v>
      </c>
      <c r="N155" s="2959" t="s">
        <v>3105</v>
      </c>
      <c r="O155" s="2959" t="s">
        <v>3106</v>
      </c>
      <c r="P155" s="2962" t="s">
        <v>3107</v>
      </c>
      <c r="Q155" s="2962" t="s">
        <v>3107</v>
      </c>
      <c r="R155" s="2963"/>
      <c r="S155" s="2962" t="s">
        <v>3135</v>
      </c>
      <c r="T155" s="2966"/>
      <c r="U155" s="2963"/>
      <c r="V155" s="2964"/>
      <c r="W155" s="2965"/>
      <c r="X155" s="2963"/>
      <c r="Y155" s="2965"/>
      <c r="Z155" s="2964"/>
      <c r="AA155" s="2964"/>
      <c r="AB155" s="2964"/>
    </row>
    <row r="156" spans="1:28" ht="20.100000000000001" customHeight="1">
      <c r="A156" s="2959" t="s">
        <v>3150</v>
      </c>
      <c r="B156" s="2959" t="s">
        <v>3671</v>
      </c>
      <c r="C156" s="2970" t="str">
        <f t="shared" si="4"/>
        <v>2</v>
      </c>
      <c r="D156" s="2959">
        <v>-6</v>
      </c>
      <c r="E156" s="2971"/>
      <c r="F156" s="2971"/>
      <c r="G156" s="2959" t="s">
        <v>3151</v>
      </c>
      <c r="H156" s="2959" t="s">
        <v>3125</v>
      </c>
      <c r="I156" s="2960">
        <v>49.6</v>
      </c>
      <c r="J156" s="2960">
        <v>12.72</v>
      </c>
      <c r="K156" s="2961" t="s">
        <v>3125</v>
      </c>
      <c r="L156" s="2959" t="s">
        <v>3104</v>
      </c>
      <c r="M156" s="2960">
        <v>302560</v>
      </c>
      <c r="N156" s="2959" t="s">
        <v>3105</v>
      </c>
      <c r="O156" s="2959" t="s">
        <v>3152</v>
      </c>
      <c r="P156" s="2962" t="s">
        <v>3107</v>
      </c>
      <c r="Q156" s="2962" t="s">
        <v>3107</v>
      </c>
      <c r="R156" s="2963"/>
      <c r="S156" s="2962" t="s">
        <v>3104</v>
      </c>
      <c r="T156" s="2966"/>
      <c r="U156" s="2963"/>
      <c r="V156" s="2964"/>
      <c r="W156" s="2965"/>
      <c r="X156" s="2963"/>
      <c r="Y156" s="2965"/>
      <c r="Z156" s="2964"/>
      <c r="AA156" s="2964"/>
      <c r="AB156" s="2964"/>
    </row>
    <row r="157" spans="1:28" ht="20.100000000000001" customHeight="1">
      <c r="E157" s="2971">
        <f>SUM(E2:E156)</f>
        <v>14322.350000000002</v>
      </c>
      <c r="F157" s="2971"/>
    </row>
  </sheetData>
  <phoneticPr fontId="143" type="noConversion"/>
  <conditionalFormatting sqref="D2:D156">
    <cfRule type="duplicateValues" dxfId="1" priority="2" stopIfTrue="1"/>
  </conditionalFormatting>
  <conditionalFormatting sqref="D1:D65536">
    <cfRule type="duplicateValues" dxfId="0" priority="1" stopIfTrue="1"/>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E3" sqref="E3"/>
    </sheetView>
  </sheetViews>
  <sheetFormatPr defaultRowHeight="13.5"/>
  <cols>
    <col min="1" max="1" width="10.75" customWidth="1"/>
  </cols>
  <sheetData>
    <row r="1" spans="1:3">
      <c r="A1" s="2992" t="s">
        <v>3757</v>
      </c>
      <c r="B1">
        <v>100</v>
      </c>
      <c r="C1">
        <v>5</v>
      </c>
    </row>
    <row r="2" spans="1:3">
      <c r="A2" s="2992" t="s">
        <v>3836</v>
      </c>
      <c r="B2">
        <v>80</v>
      </c>
      <c r="C2">
        <v>5.21</v>
      </c>
    </row>
    <row r="3" spans="1:3">
      <c r="A3" s="2992" t="s">
        <v>3758</v>
      </c>
      <c r="B3">
        <v>260</v>
      </c>
      <c r="C3">
        <v>5.56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1641</v>
      </c>
      <c r="B2" s="3036" t="s">
        <v>1642</v>
      </c>
      <c r="C2" s="3036" t="s">
        <v>1643</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0"/>
      <c r="B3" s="3030"/>
      <c r="C3" s="3030"/>
      <c r="D3" s="1047" t="s">
        <v>1638</v>
      </c>
      <c r="E3" s="1047" t="s">
        <v>1644</v>
      </c>
      <c r="F3" s="1047" t="s">
        <v>1638</v>
      </c>
      <c r="G3" s="1047" t="s">
        <v>1639</v>
      </c>
      <c r="H3" s="1047" t="s">
        <v>1638</v>
      </c>
      <c r="I3" s="1047" t="s">
        <v>1639</v>
      </c>
    </row>
    <row r="4" spans="1:9" ht="15">
      <c r="A4" s="1976" t="str">
        <f>项目基本情况!S2</f>
        <v>北京市房地产</v>
      </c>
      <c r="B4" s="1047">
        <f>项目基本情况!C17</f>
        <v>26196.840000000004</v>
      </c>
      <c r="C4" s="1047">
        <f>项目基本情况!C18</f>
        <v>8931.74</v>
      </c>
      <c r="D4" s="1047">
        <f ca="1">结果表!D118</f>
        <v>56108</v>
      </c>
      <c r="E4" s="1047">
        <f ca="1">结果表!E118</f>
        <v>21417</v>
      </c>
      <c r="F4" s="1047">
        <f ca="1">结果表!F118</f>
        <v>11248</v>
      </c>
      <c r="G4" s="1047">
        <f ca="1">结果表!G118</f>
        <v>4294</v>
      </c>
      <c r="H4" s="1047">
        <f ca="1">结果表!H118</f>
        <v>67356</v>
      </c>
      <c r="I4" s="1047">
        <f ca="1">结果表!I118</f>
        <v>25711</v>
      </c>
    </row>
    <row r="5" spans="1:9" ht="30" customHeight="1">
      <c r="A5" s="3030" t="s">
        <v>1640</v>
      </c>
      <c r="B5" s="3030"/>
      <c r="C5" s="3030"/>
      <c r="D5" s="3031" t="str">
        <f ca="1">结果表!D119</f>
        <v>伍亿陆仟壹佰零捌万元整</v>
      </c>
      <c r="E5" s="3031"/>
      <c r="F5" s="3031" t="str">
        <f ca="1">结果表!F119</f>
        <v>壹亿壹仟贰佰肆拾捌万元整</v>
      </c>
      <c r="G5" s="3031"/>
      <c r="H5" s="3031" t="str">
        <f ca="1">结果表!H119</f>
        <v>陆亿柒仟叁佰伍拾陆万元整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1640</v>
      </c>
      <c r="B7" s="3030"/>
      <c r="C7" s="3030"/>
      <c r="D7" s="3032" t="str">
        <f>结果表!D121</f>
        <v>零元整</v>
      </c>
      <c r="E7" s="3033"/>
      <c r="F7" s="3033"/>
      <c r="G7" s="3033"/>
      <c r="H7" s="3033"/>
      <c r="I7" s="3034"/>
    </row>
    <row r="8" spans="1:9" ht="15.75">
      <c r="A8" s="3029" t="str">
        <f>结果表!A122</f>
        <v>房地产抵押价值</v>
      </c>
      <c r="B8" s="3029"/>
      <c r="C8" s="3029"/>
      <c r="D8" s="3029">
        <f ca="1">结果表!D122</f>
        <v>67356</v>
      </c>
      <c r="E8" s="3029"/>
      <c r="F8" s="3029"/>
      <c r="G8" s="3029"/>
      <c r="H8" s="3029"/>
      <c r="I8" s="3029"/>
    </row>
    <row r="9" spans="1:9" ht="15">
      <c r="A9" s="3030" t="s">
        <v>1640</v>
      </c>
      <c r="B9" s="3030"/>
      <c r="C9" s="3030"/>
      <c r="D9" s="3031" t="str">
        <f ca="1">结果表!D123</f>
        <v>陆亿柒仟叁佰伍拾陆万元整</v>
      </c>
      <c r="E9" s="3031"/>
      <c r="F9" s="3031"/>
      <c r="G9" s="3031"/>
      <c r="H9" s="3031"/>
      <c r="I9" s="3031"/>
    </row>
    <row r="10" spans="1:9" ht="15.75">
      <c r="A10" s="3029" t="str">
        <f>结果表!A124</f>
        <v>抵押担保权已注销时的房地产抵押价值</v>
      </c>
      <c r="B10" s="3029"/>
      <c r="C10" s="3029"/>
      <c r="D10" s="3029">
        <f ca="1">结果表!D124</f>
        <v>67356</v>
      </c>
      <c r="E10" s="3029"/>
      <c r="F10" s="3029"/>
      <c r="G10" s="3029"/>
      <c r="H10" s="3029"/>
      <c r="I10" s="3029"/>
    </row>
    <row r="11" spans="1:9" ht="15">
      <c r="A11" s="3030" t="s">
        <v>1640</v>
      </c>
      <c r="B11" s="3030"/>
      <c r="C11" s="3030"/>
      <c r="D11" s="3031" t="str">
        <f ca="1">结果表!D125</f>
        <v>陆亿柒仟叁佰伍拾陆万元整</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1640</v>
      </c>
      <c r="B13" s="3026"/>
      <c r="C13" s="3026"/>
      <c r="D13" s="3027" t="e">
        <f>结果表!D127</f>
        <v>#VALUE!</v>
      </c>
      <c r="E13" s="3027"/>
      <c r="F13" s="3027"/>
      <c r="G13" s="3027"/>
      <c r="H13" s="3027"/>
      <c r="I13" s="3027"/>
    </row>
    <row r="14" spans="1:9" ht="15" thickTop="1">
      <c r="A14" s="3028" t="s">
        <v>1645</v>
      </c>
      <c r="B14" s="3028"/>
      <c r="C14" s="3028"/>
      <c r="D14" s="3028"/>
      <c r="E14" s="3028"/>
      <c r="F14" s="3028"/>
      <c r="G14" s="3028"/>
      <c r="H14" s="3028"/>
      <c r="I14" s="302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3" t="s">
        <v>1662</v>
      </c>
      <c r="B1" s="3043"/>
      <c r="C1" s="3043"/>
      <c r="D1" s="3043"/>
    </row>
    <row r="2" spans="1:4" ht="18">
      <c r="A2" s="3044" t="s">
        <v>1646</v>
      </c>
      <c r="B2" s="3044"/>
      <c r="C2" s="3044"/>
      <c r="D2" s="3044"/>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刘梅</v>
      </c>
      <c r="B5" s="1982">
        <f ca="1">项目基本情况!E4</f>
        <v>1120140022</v>
      </c>
      <c r="C5" s="1985"/>
      <c r="D5" s="1984" t="s">
        <v>1651</v>
      </c>
    </row>
    <row r="6" spans="1:4" ht="18">
      <c r="A6" s="3044" t="s">
        <v>1652</v>
      </c>
      <c r="B6" s="3044"/>
      <c r="C6" s="3044"/>
      <c r="D6" s="3044"/>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45" t="s">
        <v>1655</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1656</v>
      </c>
      <c r="B16" s="3039"/>
      <c r="C16" s="3039"/>
      <c r="D16" s="3039"/>
    </row>
    <row r="17" spans="1:4" ht="144" customHeight="1">
      <c r="A17" s="3039" t="s">
        <v>1657</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1658</v>
      </c>
      <c r="B22" s="3041"/>
      <c r="C22" s="3041"/>
      <c r="D22" s="3041"/>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1" t="s">
        <v>1669</v>
      </c>
      <c r="B15" s="3046" t="s">
        <v>136</v>
      </c>
      <c r="C15" s="3047"/>
    </row>
    <row r="16" spans="1:7" ht="13.5">
      <c r="A16" s="3052"/>
      <c r="B16" s="3046" t="s">
        <v>69</v>
      </c>
      <c r="C16" s="3047"/>
    </row>
    <row r="17" spans="1:3" ht="13.5">
      <c r="A17" s="3052"/>
      <c r="B17" s="3049" t="s">
        <v>1670</v>
      </c>
      <c r="C17" s="2003" t="s">
        <v>1669</v>
      </c>
    </row>
    <row r="18" spans="1:3" ht="13.5">
      <c r="A18" s="3052"/>
      <c r="B18" s="3049"/>
      <c r="C18" s="2003" t="s">
        <v>1671</v>
      </c>
    </row>
    <row r="19" spans="1:3" ht="13.5">
      <c r="A19" s="3052"/>
      <c r="B19" s="3049"/>
      <c r="C19" s="2003" t="s">
        <v>1672</v>
      </c>
    </row>
    <row r="20" spans="1:3" ht="13.5">
      <c r="A20" s="3053"/>
      <c r="B20" s="3048" t="s">
        <v>1673</v>
      </c>
      <c r="C20" s="3047"/>
    </row>
    <row r="21" spans="1:3" ht="13.5">
      <c r="A21" s="2004" t="s">
        <v>1674</v>
      </c>
      <c r="B21" s="2005"/>
      <c r="C21" s="2006"/>
    </row>
    <row r="22" spans="1:3" ht="13.5">
      <c r="A22" s="3050" t="s">
        <v>1675</v>
      </c>
      <c r="B22" s="3048" t="s">
        <v>1676</v>
      </c>
      <c r="C22" s="3047"/>
    </row>
    <row r="23" spans="1:3" ht="13.5">
      <c r="A23" s="3050"/>
      <c r="B23" s="3048" t="s">
        <v>1677</v>
      </c>
      <c r="C23" s="3047"/>
    </row>
    <row r="24" spans="1:3" ht="13.5">
      <c r="A24" s="3050"/>
      <c r="B24" s="3048" t="s">
        <v>1678</v>
      </c>
      <c r="C24" s="3047"/>
    </row>
    <row r="25" spans="1:3" ht="13.5">
      <c r="A25" s="3050"/>
      <c r="B25" s="3049" t="s">
        <v>1679</v>
      </c>
      <c r="C25" s="2003" t="s">
        <v>1680</v>
      </c>
    </row>
    <row r="26" spans="1:3" ht="13.5">
      <c r="A26" s="3050"/>
      <c r="B26" s="3049"/>
      <c r="C26" s="2003" t="s">
        <v>1681</v>
      </c>
    </row>
    <row r="27" spans="1:3" ht="13.5">
      <c r="A27" s="3050"/>
      <c r="B27" s="3049"/>
      <c r="C27" s="2003" t="s">
        <v>1682</v>
      </c>
    </row>
    <row r="28" spans="1:3" ht="13.5">
      <c r="A28" s="3050"/>
      <c r="B28" s="3049"/>
      <c r="C28" s="2003" t="s">
        <v>1683</v>
      </c>
    </row>
    <row r="29" spans="1:3" ht="13.5">
      <c r="A29" s="3050"/>
      <c r="B29" s="3049"/>
      <c r="C29" s="2003" t="s">
        <v>1684</v>
      </c>
    </row>
    <row r="30" spans="1:3" ht="13.5">
      <c r="A30" s="3050"/>
      <c r="B30" s="3049"/>
      <c r="C30" s="2003" t="s">
        <v>1685</v>
      </c>
    </row>
    <row r="31" spans="1:3" ht="13.5">
      <c r="A31" s="3050"/>
      <c r="B31" s="3049"/>
      <c r="C31" s="2003" t="s">
        <v>1686</v>
      </c>
    </row>
    <row r="32" spans="1:3" ht="13.5">
      <c r="A32" s="3050"/>
      <c r="B32" s="3049"/>
      <c r="C32" s="2003" t="s">
        <v>1687</v>
      </c>
    </row>
    <row r="33" spans="1:3" ht="13.5">
      <c r="A33" s="3050"/>
      <c r="B33" s="304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8">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54" t="s">
        <v>846</v>
      </c>
      <c r="B25" s="3054"/>
      <c r="C25" s="3054"/>
      <c r="D25" s="3054"/>
      <c r="E25" s="3054"/>
      <c r="F25" s="3054"/>
      <c r="G25" s="3054"/>
    </row>
    <row r="26" spans="1:7" s="1028" customFormat="1" ht="24" customHeight="1">
      <c r="A26" s="3055" t="s">
        <v>847</v>
      </c>
      <c r="B26" s="3055"/>
      <c r="C26" s="3056"/>
      <c r="D26" s="3057" t="s">
        <v>848</v>
      </c>
      <c r="E26" s="3055"/>
      <c r="F26" s="3055"/>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2">
      <formula>AND($C28-TODAY()&lt;30,TODAY()&lt;$C28)</formula>
    </cfRule>
  </conditionalFormatting>
  <conditionalFormatting sqref="C28 F4">
    <cfRule type="cellIs" dxfId="202" priority="64" stopIfTrue="1" operator="lessThan">
      <formula>$B$2</formula>
    </cfRule>
  </conditionalFormatting>
  <conditionalFormatting sqref="C5">
    <cfRule type="expression" dxfId="201" priority="59">
      <formula>AND($C5-TODAY()&lt;30,TODAY()&lt;$C5)</formula>
    </cfRule>
  </conditionalFormatting>
  <conditionalFormatting sqref="C5 F5">
    <cfRule type="cellIs" dxfId="200" priority="60" stopIfTrue="1" operator="lessThan">
      <formula>$B$2</formula>
    </cfRule>
  </conditionalFormatting>
  <conditionalFormatting sqref="F6 F8 F10">
    <cfRule type="cellIs" dxfId="199" priority="58" stopIfTrue="1" operator="lessThan">
      <formula>$B$2</formula>
    </cfRule>
  </conditionalFormatting>
  <conditionalFormatting sqref="C4:C11 C13:C23">
    <cfRule type="expression" dxfId="198" priority="56">
      <formula>AND($C4-TODAY()&lt;30,TODAY()&lt;$C4)</formula>
    </cfRule>
  </conditionalFormatting>
  <conditionalFormatting sqref="F7 F9 F11 C4:C11 C13:C23">
    <cfRule type="cellIs" dxfId="197" priority="57" stopIfTrue="1" operator="lessThan">
      <formula>$B$2</formula>
    </cfRule>
  </conditionalFormatting>
  <conditionalFormatting sqref="C14">
    <cfRule type="expression" dxfId="196" priority="50">
      <formula>AND($C14-TODAY()&lt;30,TODAY()&lt;$C14)</formula>
    </cfRule>
  </conditionalFormatting>
  <conditionalFormatting sqref="C14">
    <cfRule type="cellIs" dxfId="195" priority="51" stopIfTrue="1" operator="lessThan">
      <formula>$B$2</formula>
    </cfRule>
  </conditionalFormatting>
  <conditionalFormatting sqref="C16">
    <cfRule type="expression" dxfId="194" priority="48">
      <formula>AND($C16-TODAY()&lt;30,TODAY()&lt;$C16)</formula>
    </cfRule>
  </conditionalFormatting>
  <conditionalFormatting sqref="C16">
    <cfRule type="cellIs" dxfId="193" priority="49" stopIfTrue="1" operator="lessThan">
      <formula>$B$2</formula>
    </cfRule>
  </conditionalFormatting>
  <conditionalFormatting sqref="C18">
    <cfRule type="expression" dxfId="192" priority="46">
      <formula>AND($C18-TODAY()&lt;30,TODAY()&lt;$C18)</formula>
    </cfRule>
  </conditionalFormatting>
  <conditionalFormatting sqref="C18">
    <cfRule type="cellIs" dxfId="191" priority="47" stopIfTrue="1" operator="lessThan">
      <formula>$B$2</formula>
    </cfRule>
  </conditionalFormatting>
  <conditionalFormatting sqref="C20">
    <cfRule type="expression" dxfId="190" priority="44">
      <formula>AND($C20-TODAY()&lt;30,TODAY()&lt;$C20)</formula>
    </cfRule>
  </conditionalFormatting>
  <conditionalFormatting sqref="C20">
    <cfRule type="cellIs" dxfId="189" priority="45"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15">
    <cfRule type="expression" dxfId="186" priority="40">
      <formula>AND($C15-TODAY()&lt;30,TODAY()&lt;$C15)</formula>
    </cfRule>
  </conditionalFormatting>
  <conditionalFormatting sqref="C15">
    <cfRule type="cellIs" dxfId="185" priority="41" stopIfTrue="1" operator="lessThan">
      <formula>$B$2</formula>
    </cfRule>
  </conditionalFormatting>
  <conditionalFormatting sqref="C17">
    <cfRule type="expression" dxfId="184" priority="38">
      <formula>AND($C17-TODAY()&lt;30,TODAY()&lt;$C17)</formula>
    </cfRule>
  </conditionalFormatting>
  <conditionalFormatting sqref="C17">
    <cfRule type="cellIs" dxfId="183" priority="39" stopIfTrue="1" operator="lessThan">
      <formula>$B$2</formula>
    </cfRule>
  </conditionalFormatting>
  <conditionalFormatting sqref="C19">
    <cfRule type="expression" dxfId="182" priority="36">
      <formula>AND($C19-TODAY()&lt;30,TODAY()&lt;$C19)</formula>
    </cfRule>
  </conditionalFormatting>
  <conditionalFormatting sqref="C19">
    <cfRule type="cellIs" dxfId="181" priority="37" stopIfTrue="1" operator="lessThan">
      <formula>$B$2</formula>
    </cfRule>
  </conditionalFormatting>
  <conditionalFormatting sqref="C21">
    <cfRule type="expression" dxfId="180" priority="34">
      <formula>AND($C21-TODAY()&lt;30,TODAY()&lt;$C21)</formula>
    </cfRule>
  </conditionalFormatting>
  <conditionalFormatting sqref="C21">
    <cfRule type="cellIs" dxfId="179" priority="35" stopIfTrue="1" operator="lessThan">
      <formula>$B$2</formula>
    </cfRule>
  </conditionalFormatting>
  <conditionalFormatting sqref="C23">
    <cfRule type="expression" dxfId="178" priority="32">
      <formula>AND($C23-TODAY()&lt;30,TODAY()&lt;$C23)</formula>
    </cfRule>
  </conditionalFormatting>
  <conditionalFormatting sqref="C23">
    <cfRule type="cellIs" dxfId="177" priority="33" stopIfTrue="1" operator="lessThan">
      <formula>$B$2</formula>
    </cfRule>
  </conditionalFormatting>
  <conditionalFormatting sqref="F16">
    <cfRule type="cellIs" dxfId="176" priority="30" stopIfTrue="1" operator="lessThan">
      <formula>$B$2</formula>
    </cfRule>
  </conditionalFormatting>
  <conditionalFormatting sqref="F18">
    <cfRule type="cellIs" dxfId="175" priority="29" stopIfTrue="1" operator="lessThan">
      <formula>$B$2</formula>
    </cfRule>
  </conditionalFormatting>
  <conditionalFormatting sqref="F22">
    <cfRule type="cellIs" dxfId="174" priority="28" stopIfTrue="1" operator="lessThan">
      <formula>$B$2</formula>
    </cfRule>
  </conditionalFormatting>
  <conditionalFormatting sqref="F21">
    <cfRule type="cellIs" dxfId="173" priority="27" stopIfTrue="1" operator="lessThan">
      <formula>$B$2</formula>
    </cfRule>
  </conditionalFormatting>
  <conditionalFormatting sqref="F17">
    <cfRule type="cellIs" dxfId="172" priority="26" stopIfTrue="1" operator="lessThan">
      <formula>$B$2</formula>
    </cfRule>
  </conditionalFormatting>
  <conditionalFormatting sqref="B4:B11 E4:E11 B16:B23 E16:E23 B13:B14 E13:E14">
    <cfRule type="cellIs" dxfId="171" priority="25" stopIfTrue="1" operator="equal">
      <formula>"已过期"</formula>
    </cfRule>
  </conditionalFormatting>
  <conditionalFormatting sqref="A24:F24">
    <cfRule type="cellIs" dxfId="170" priority="21" stopIfTrue="1" operator="equal">
      <formula>"已过期"</formula>
    </cfRule>
  </conditionalFormatting>
  <conditionalFormatting sqref="F28">
    <cfRule type="expression" dxfId="169" priority="19">
      <formula>AND($E28-TODAY()&lt;30,TODAY()&lt;$E28)</formula>
    </cfRule>
  </conditionalFormatting>
  <conditionalFormatting sqref="F28">
    <cfRule type="cellIs" dxfId="168" priority="20" stopIfTrue="1" operator="lessThan">
      <formula>$B$2</formula>
    </cfRule>
  </conditionalFormatting>
  <conditionalFormatting sqref="F29">
    <cfRule type="expression" dxfId="167" priority="15" stopIfTrue="1">
      <formula>AND($E29-TODAY()&lt;30,TODAY()&lt;$E29)</formula>
    </cfRule>
  </conditionalFormatting>
  <conditionalFormatting sqref="F29">
    <cfRule type="cellIs" dxfId="166" priority="16" stopIfTrue="1" operator="lessThan">
      <formula>$B$2</formula>
    </cfRule>
  </conditionalFormatting>
  <conditionalFormatting sqref="B15">
    <cfRule type="cellIs" dxfId="165" priority="13" stopIfTrue="1" operator="equal">
      <formula>"已过期"</formula>
    </cfRule>
  </conditionalFormatting>
  <conditionalFormatting sqref="A15">
    <cfRule type="cellIs" dxfId="164" priority="12" stopIfTrue="1" operator="equal">
      <formula>"已过期"</formula>
    </cfRule>
  </conditionalFormatting>
  <conditionalFormatting sqref="C15">
    <cfRule type="expression" dxfId="163" priority="11">
      <formula>AND($C15-TODAY()&lt;30,TODAY()&lt;$C15)</formula>
    </cfRule>
  </conditionalFormatting>
  <conditionalFormatting sqref="E15">
    <cfRule type="cellIs" dxfId="162" priority="10" stopIfTrue="1" operator="equal">
      <formula>"已过期"</formula>
    </cfRule>
  </conditionalFormatting>
  <conditionalFormatting sqref="D15">
    <cfRule type="cellIs" dxfId="161" priority="9" stopIfTrue="1" operator="equal">
      <formula>"已过期"</formula>
    </cfRule>
  </conditionalFormatting>
  <conditionalFormatting sqref="F13">
    <cfRule type="cellIs" dxfId="160" priority="8" stopIfTrue="1" operator="lessThan">
      <formula>$B$2</formula>
    </cfRule>
  </conditionalFormatting>
  <conditionalFormatting sqref="C12">
    <cfRule type="expression" dxfId="159" priority="6">
      <formula>AND($C12-TODAY()&lt;30,TODAY()&lt;$C12)</formula>
    </cfRule>
  </conditionalFormatting>
  <conditionalFormatting sqref="C12">
    <cfRule type="cellIs" dxfId="158" priority="7" stopIfTrue="1" operator="lessThan">
      <formula>$B$2</formula>
    </cfRule>
  </conditionalFormatting>
  <conditionalFormatting sqref="C12">
    <cfRule type="expression" dxfId="157" priority="4">
      <formula>AND($C12-TODAY()&lt;30,TODAY()&lt;$C12)</formula>
    </cfRule>
  </conditionalFormatting>
  <conditionalFormatting sqref="C12">
    <cfRule type="cellIs" dxfId="156" priority="5" stopIfTrue="1" operator="lessThan">
      <formula>$B$2</formula>
    </cfRule>
  </conditionalFormatting>
  <conditionalFormatting sqref="B12">
    <cfRule type="cellIs" dxfId="155" priority="3" stopIfTrue="1" operator="equal">
      <formula>"已过期"</formula>
    </cfRule>
  </conditionalFormatting>
  <conditionalFormatting sqref="E12">
    <cfRule type="cellIs" dxfId="154" priority="2" stopIfTrue="1" operator="equal">
      <formula>"已过期"</formula>
    </cfRule>
  </conditionalFormatting>
  <conditionalFormatting sqref="F12">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面积清单</vt:lpstr>
      <vt:lpstr>数据-取费表</vt:lpstr>
      <vt:lpstr>估价对象房地状况</vt:lpstr>
      <vt:lpstr>系统读取表</vt:lpstr>
      <vt:lpstr>结果表</vt:lpstr>
      <vt:lpstr>典型户型修正商业</vt:lpstr>
      <vt:lpstr>成本法</vt:lpstr>
      <vt:lpstr>成本法 (元)</vt:lpstr>
      <vt:lpstr>假设开发法</vt:lpstr>
      <vt:lpstr>收益法 (元)</vt:lpstr>
      <vt:lpstr>酒店收入计算</vt:lpstr>
      <vt:lpstr>比较法-住宅</vt:lpstr>
      <vt:lpstr>基准地价修正</vt:lpstr>
      <vt:lpstr>收益法商业</vt:lpstr>
      <vt:lpstr>比较法-商业</vt:lpstr>
      <vt:lpstr>比较法-办公</vt:lpstr>
      <vt:lpstr>收益法办公</vt:lpstr>
      <vt:lpstr>基准地价（汇总）</vt:lpstr>
      <vt:lpstr>收益法（汇总）</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典型户型修正办公</vt:lpstr>
      <vt:lpstr>已售清单</vt:lpstr>
      <vt:lpstr>租金</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2018-06-01T03:33:34Z</dcterms:modified>
</cp:coreProperties>
</file>