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ownloads\"/>
    </mc:Choice>
  </mc:AlternateContent>
  <bookViews>
    <workbookView xWindow="0" yWindow="0" windowWidth="19368" windowHeight="9144" tabRatio="875" firstSheet="16" activeTab="31"/>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73" r:id="rId32"/>
    <sheet name="不动产收益法-商业" sheetId="15" r:id="rId33"/>
    <sheet name="不动产收益法-公寓" sheetId="72" state="hidden" r:id="rId34"/>
    <sheet name="不动产收益法-车库" sheetId="68"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案例" sheetId="71" r:id="rId45"/>
    <sheet name="公寓案例" sheetId="74" r:id="rId46"/>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1" hidden="1">'不动产比较法-公寓'!$A$1:$L$49</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C145" i="73" l="1"/>
  <c r="J142" i="73"/>
  <c r="J140" i="73"/>
  <c r="K145" i="73" s="1"/>
  <c r="K139"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E110" i="73"/>
  <c r="F110" i="73" s="1"/>
  <c r="G110" i="73" s="1"/>
  <c r="H110" i="73" s="1"/>
  <c r="I110" i="73" s="1"/>
  <c r="J110" i="73" s="1"/>
  <c r="K110" i="73" s="1"/>
  <c r="L110" i="73" s="1"/>
  <c r="M110" i="73" s="1"/>
  <c r="D110"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E83" i="73"/>
  <c r="F83" i="73" s="1"/>
  <c r="G83" i="73" s="1"/>
  <c r="D83" i="73"/>
  <c r="D81" i="73"/>
  <c r="E81" i="73" s="1"/>
  <c r="D79" i="73"/>
  <c r="E79" i="73" s="1"/>
  <c r="D77" i="73"/>
  <c r="E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C63" i="73"/>
  <c r="I54" i="73"/>
  <c r="J54" i="73" s="1"/>
  <c r="G54" i="73"/>
  <c r="H54" i="73" s="1"/>
  <c r="E54" i="73"/>
  <c r="F54" i="73" s="1"/>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C23" i="73"/>
  <c r="Q21" i="73"/>
  <c r="Z21" i="73" s="1"/>
  <c r="J21" i="73"/>
  <c r="AC21" i="73" s="1"/>
  <c r="H21" i="73"/>
  <c r="AB21" i="73" s="1"/>
  <c r="F21" i="73"/>
  <c r="AA21" i="73" s="1"/>
  <c r="C21" i="73"/>
  <c r="Q19" i="73"/>
  <c r="Z19" i="73" s="1"/>
  <c r="C19" i="73"/>
  <c r="Q17" i="73"/>
  <c r="Z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Q9" i="73"/>
  <c r="Z9" i="73" s="1"/>
  <c r="J9" i="73"/>
  <c r="AC9" i="73" s="1"/>
  <c r="H9" i="73"/>
  <c r="AB9" i="73" s="1"/>
  <c r="F9" i="73"/>
  <c r="AA9" i="73" s="1"/>
  <c r="S8" i="73"/>
  <c r="J8" i="73"/>
  <c r="AC8" i="73" s="1"/>
  <c r="H8" i="73"/>
  <c r="U8" i="73" s="1"/>
  <c r="F8" i="73"/>
  <c r="AA8" i="73" s="1"/>
  <c r="H113" i="73" l="1"/>
  <c r="J37" i="73"/>
  <c r="AC37" i="73" s="1"/>
  <c r="H37" i="73"/>
  <c r="AB37" i="73" s="1"/>
  <c r="F37" i="73"/>
  <c r="AA37" i="73" s="1"/>
  <c r="F81" i="73"/>
  <c r="G81" i="73" s="1"/>
  <c r="J19" i="73"/>
  <c r="AC19" i="73" s="1"/>
  <c r="H19" i="73"/>
  <c r="AB19" i="73" s="1"/>
  <c r="F19" i="73"/>
  <c r="AA19" i="73" s="1"/>
  <c r="U46" i="73"/>
  <c r="W8" i="73"/>
  <c r="G66" i="73"/>
  <c r="H66" i="73" s="1"/>
  <c r="I66" i="73" s="1"/>
  <c r="J10" i="73"/>
  <c r="AC10" i="73" s="1"/>
  <c r="H10" i="73"/>
  <c r="AB10" i="73" s="1"/>
  <c r="F10" i="73"/>
  <c r="AA10" i="73" s="1"/>
  <c r="F85" i="73"/>
  <c r="G85" i="73" s="1"/>
  <c r="H23" i="73"/>
  <c r="AB23" i="73" s="1"/>
  <c r="J23" i="73"/>
  <c r="AC23" i="73" s="1"/>
  <c r="F23" i="73"/>
  <c r="AA23" i="73" s="1"/>
  <c r="F79" i="73"/>
  <c r="G79" i="73" s="1"/>
  <c r="H17" i="73"/>
  <c r="AB17" i="73" s="1"/>
  <c r="F17" i="73"/>
  <c r="AA17" i="73" s="1"/>
  <c r="J17" i="73"/>
  <c r="AC17" i="73" s="1"/>
  <c r="F77" i="73"/>
  <c r="G77" i="73" s="1"/>
  <c r="H15" i="73"/>
  <c r="AB15" i="73" s="1"/>
  <c r="F15" i="73"/>
  <c r="AA15" i="73" s="1"/>
  <c r="J15" i="73"/>
  <c r="AC15" i="73" s="1"/>
  <c r="AB8" i="73"/>
  <c r="S9" i="73"/>
  <c r="W9" i="73"/>
  <c r="S12" i="73"/>
  <c r="W12" i="73"/>
  <c r="U13" i="73"/>
  <c r="S14" i="73"/>
  <c r="W14" i="73"/>
  <c r="S17" i="73"/>
  <c r="S19" i="73"/>
  <c r="W19" i="73"/>
  <c r="U9" i="73"/>
  <c r="U12" i="73"/>
  <c r="S13" i="73"/>
  <c r="W13" i="73"/>
  <c r="U14" i="73"/>
  <c r="U19" i="73"/>
  <c r="S21" i="73"/>
  <c r="W21" i="73"/>
  <c r="S23" i="73"/>
  <c r="W23" i="73"/>
  <c r="U25" i="73"/>
  <c r="S26" i="73"/>
  <c r="W26" i="73"/>
  <c r="U27" i="73"/>
  <c r="S28" i="73"/>
  <c r="W28" i="73"/>
  <c r="U29" i="73"/>
  <c r="S30" i="73"/>
  <c r="W30" i="73"/>
  <c r="U31" i="73"/>
  <c r="S32" i="73"/>
  <c r="W32" i="73"/>
  <c r="U34" i="73"/>
  <c r="S35" i="73"/>
  <c r="W35" i="73"/>
  <c r="U36" i="73"/>
  <c r="W37" i="73"/>
  <c r="U38" i="73"/>
  <c r="S39" i="73"/>
  <c r="W39" i="73"/>
  <c r="U40" i="73"/>
  <c r="S41" i="73"/>
  <c r="W41" i="73"/>
  <c r="U42" i="73"/>
  <c r="S43" i="73"/>
  <c r="W43" i="73"/>
  <c r="U44" i="73"/>
  <c r="W45" i="73"/>
  <c r="U21"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5" i="73"/>
  <c r="S44" i="73"/>
  <c r="W44" i="73"/>
  <c r="U45" i="73"/>
  <c r="S46" i="73"/>
  <c r="W46" i="73"/>
  <c r="K141" i="73"/>
  <c r="K143" i="73"/>
  <c r="K144" i="73"/>
  <c r="U23" i="73" l="1"/>
  <c r="S10" i="73"/>
  <c r="S15" i="73"/>
  <c r="U15" i="73"/>
  <c r="W10" i="73"/>
  <c r="U17" i="73"/>
  <c r="U10" i="73"/>
  <c r="S37" i="73"/>
  <c r="W17" i="73"/>
  <c r="W15" i="73"/>
  <c r="Q73" i="72" l="1"/>
  <c r="Q60" i="72"/>
  <c r="D60" i="72"/>
  <c r="Q59" i="72"/>
  <c r="K59" i="72"/>
  <c r="P75" i="72" s="1"/>
  <c r="F58" i="72"/>
  <c r="Q52" i="72"/>
  <c r="J50" i="72"/>
  <c r="J51" i="72" s="1"/>
  <c r="M47" i="72"/>
  <c r="L46" i="72" s="1"/>
  <c r="F33" i="72"/>
  <c r="F60" i="72" s="1"/>
  <c r="F31" i="72"/>
  <c r="F23" i="72"/>
  <c r="D24" i="72" s="1"/>
  <c r="F21" i="72"/>
  <c r="F20" i="72"/>
  <c r="M19" i="72"/>
  <c r="F18" i="72"/>
  <c r="M17" i="72"/>
  <c r="F17" i="72"/>
  <c r="F15" i="72"/>
  <c r="P62" i="72" l="1"/>
  <c r="D22" i="72"/>
  <c r="D23" i="72"/>
  <c r="Q73" i="68"/>
  <c r="Q60" i="68"/>
  <c r="D60" i="68"/>
  <c r="Q59" i="68"/>
  <c r="K59" i="68"/>
  <c r="P75" i="68" s="1"/>
  <c r="F58" i="68"/>
  <c r="Q52" i="68"/>
  <c r="J50" i="68"/>
  <c r="M47" i="68"/>
  <c r="F33" i="68"/>
  <c r="F60" i="68" s="1"/>
  <c r="F31" i="68"/>
  <c r="F23" i="68"/>
  <c r="D24" i="68" s="1"/>
  <c r="F21" i="68"/>
  <c r="F20" i="68"/>
  <c r="M19" i="68"/>
  <c r="F18" i="68"/>
  <c r="M17" i="68"/>
  <c r="F17" i="68"/>
  <c r="F15" i="68"/>
  <c r="G22" i="6"/>
  <c r="C22" i="6"/>
  <c r="F21" i="6"/>
  <c r="F20" i="6"/>
  <c r="F19" i="6"/>
  <c r="C21" i="6"/>
  <c r="C20" i="6"/>
  <c r="C19" i="6"/>
  <c r="D22" i="68" l="1"/>
  <c r="D23" i="68"/>
  <c r="P62" i="68"/>
  <c r="J51" i="68"/>
  <c r="AH5" i="59"/>
  <c r="AG5" i="59"/>
  <c r="AE5" i="59"/>
  <c r="AF5" i="59"/>
  <c r="AD5" i="59"/>
  <c r="Q5" i="59"/>
  <c r="Q6" i="59"/>
  <c r="AB6" i="59" s="1"/>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c r="AF3" i="59"/>
  <c r="I3" i="59"/>
  <c r="AH10" i="59"/>
  <c r="AG10" i="59"/>
  <c r="AE10" i="59"/>
  <c r="AF10" i="59"/>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c r="AD12" i="59"/>
  <c r="AE13" i="59"/>
  <c r="AF13" i="59"/>
  <c r="AG13" i="59"/>
  <c r="AH13" i="59"/>
  <c r="AD13" i="59"/>
  <c r="Q13" i="59"/>
  <c r="P13" i="59"/>
  <c r="O13" i="59"/>
  <c r="C13" i="59" s="1"/>
  <c r="N13" i="59"/>
  <c r="N14" i="59"/>
  <c r="Q14" i="59"/>
  <c r="P14" i="59"/>
  <c r="O14" i="59"/>
  <c r="K59" i="15"/>
  <c r="P62" i="15"/>
  <c r="P75" i="15"/>
  <c r="Q74" i="44"/>
  <c r="Q61" i="44"/>
  <c r="Q60" i="44"/>
  <c r="Q53" i="44"/>
  <c r="J51" i="44"/>
  <c r="J52" i="44"/>
  <c r="M48" i="44"/>
  <c r="A16" i="55"/>
  <c r="B67" i="63" s="1"/>
  <c r="A15" i="55"/>
  <c r="B66" i="63" s="1"/>
  <c r="A10" i="55"/>
  <c r="B61" i="63"/>
  <c r="A9" i="55"/>
  <c r="B60" i="63" s="1"/>
  <c r="A8" i="55"/>
  <c r="A6" i="54"/>
  <c r="B49" i="63" s="1"/>
  <c r="A8" i="54"/>
  <c r="A7" i="54"/>
  <c r="B51" i="63" s="1"/>
  <c r="A28" i="51"/>
  <c r="B21" i="63" s="1"/>
  <c r="A27" i="51"/>
  <c r="B20" i="63" s="1"/>
  <c r="Q15" i="59"/>
  <c r="O15" i="59"/>
  <c r="Y13" i="59"/>
  <c r="Z13" i="59" s="1"/>
  <c r="N16" i="59"/>
  <c r="O16" i="59"/>
  <c r="P16" i="59"/>
  <c r="Q16" i="59"/>
  <c r="N15" i="59"/>
  <c r="P15" i="59"/>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7" i="59"/>
  <c r="B13" i="59"/>
  <c r="E13" i="59"/>
  <c r="U13" i="59" s="1"/>
  <c r="E12" i="59"/>
  <c r="E11" i="59" s="1"/>
  <c r="E10" i="59" s="1"/>
  <c r="E9" i="59" s="1"/>
  <c r="E8" i="59" s="1"/>
  <c r="E7" i="59" s="1"/>
  <c r="E6" i="59" s="1"/>
  <c r="E5" i="59" s="1"/>
  <c r="F15" i="59"/>
  <c r="F13" i="59"/>
  <c r="V13" i="59" s="1"/>
  <c r="AD3" i="59"/>
  <c r="AD14" i="59"/>
  <c r="AE14" i="59"/>
  <c r="AF14" i="59"/>
  <c r="AG14" i="59"/>
  <c r="AH14" i="59"/>
  <c r="AD15" i="59"/>
  <c r="AE15" i="59"/>
  <c r="AF15" i="59"/>
  <c r="AG15" i="59"/>
  <c r="AH15" i="59"/>
  <c r="AD16" i="59"/>
  <c r="AE16" i="59"/>
  <c r="AF16" i="59"/>
  <c r="AG16" i="59"/>
  <c r="AH16" i="59"/>
  <c r="AD17" i="59"/>
  <c r="AE17" i="59"/>
  <c r="AF17" i="59" s="1"/>
  <c r="AG17" i="59"/>
  <c r="AH17" i="59"/>
  <c r="AD18" i="59"/>
  <c r="AE18" i="59"/>
  <c r="AF18" i="59" s="1"/>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s="1"/>
  <c r="AG29" i="59"/>
  <c r="AH29" i="59"/>
  <c r="Y24" i="59"/>
  <c r="Z24" i="59" s="1"/>
  <c r="AA26" i="59"/>
  <c r="S2" i="31"/>
  <c r="M2" i="31"/>
  <c r="N2" i="31"/>
  <c r="O2" i="31"/>
  <c r="P2" i="31"/>
  <c r="Q2" i="31"/>
  <c r="R2" i="31"/>
  <c r="C3" i="65"/>
  <c r="C1" i="65"/>
  <c r="N1" i="65"/>
  <c r="B76" i="63"/>
  <c r="M5" i="54"/>
  <c r="A23" i="51"/>
  <c r="Y12" i="46"/>
  <c r="AA9" i="46"/>
  <c r="AA10" i="46" s="1"/>
  <c r="AB9" i="46"/>
  <c r="AB10" i="46"/>
  <c r="AC9" i="46"/>
  <c r="AC10" i="46" s="1"/>
  <c r="AD9" i="46"/>
  <c r="AD10" i="46"/>
  <c r="AE9" i="46"/>
  <c r="AE10" i="46" s="1"/>
  <c r="AF9" i="46"/>
  <c r="AF10" i="46"/>
  <c r="AG9" i="46"/>
  <c r="AG12" i="46" s="1"/>
  <c r="AH9" i="46"/>
  <c r="AH10" i="46"/>
  <c r="AI9" i="46"/>
  <c r="AJ9" i="46"/>
  <c r="AJ10" i="46"/>
  <c r="Z9" i="46"/>
  <c r="Z10" i="46"/>
  <c r="AI10" i="46"/>
  <c r="AG10" i="46"/>
  <c r="Y10" i="46"/>
  <c r="Z12" i="46"/>
  <c r="AI12" i="46"/>
  <c r="AC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s="1"/>
  <c r="B8" i="63"/>
  <c r="A21" i="55"/>
  <c r="B71" i="63" s="1"/>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c r="N4" i="63"/>
  <c r="I19" i="46"/>
  <c r="Q17" i="59"/>
  <c r="F17" i="59" s="1"/>
  <c r="F16" i="59" s="1"/>
  <c r="P17" i="59"/>
  <c r="E17" i="59" s="1"/>
  <c r="O17" i="59"/>
  <c r="Y15" i="59" s="1"/>
  <c r="Z15" i="59" s="1"/>
  <c r="N17" i="59"/>
  <c r="B17" i="59" s="1"/>
  <c r="D78" i="59"/>
  <c r="F77" i="59"/>
  <c r="E77" i="59"/>
  <c r="E76" i="59"/>
  <c r="E75" i="59" s="1"/>
  <c r="C77" i="59"/>
  <c r="D77" i="59"/>
  <c r="B77" i="59"/>
  <c r="F76" i="59"/>
  <c r="F75" i="59"/>
  <c r="B76" i="59"/>
  <c r="B75" i="59" s="1"/>
  <c r="D74" i="59"/>
  <c r="F73" i="59"/>
  <c r="E73" i="59"/>
  <c r="E72" i="59"/>
  <c r="E71" i="59" s="1"/>
  <c r="C73" i="59"/>
  <c r="D73" i="59"/>
  <c r="B73" i="59"/>
  <c r="F72" i="59"/>
  <c r="F71" i="59"/>
  <c r="B72" i="59"/>
  <c r="B71" i="59" s="1"/>
  <c r="D70" i="59"/>
  <c r="Q69" i="59"/>
  <c r="P69" i="59"/>
  <c r="O69" i="59"/>
  <c r="N69" i="59"/>
  <c r="F69" i="59"/>
  <c r="V69" i="59"/>
  <c r="E69" i="59"/>
  <c r="U69" i="59"/>
  <c r="C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c r="C65" i="59"/>
  <c r="D65" i="59" s="1"/>
  <c r="T65" i="59"/>
  <c r="B65" i="59"/>
  <c r="S65" i="59" s="1"/>
  <c r="Q64" i="59"/>
  <c r="P64" i="59"/>
  <c r="O64" i="59"/>
  <c r="N64" i="59"/>
  <c r="F64" i="59"/>
  <c r="F63" i="59" s="1"/>
  <c r="Q63" i="59"/>
  <c r="P63" i="59"/>
  <c r="O63" i="59"/>
  <c r="N63" i="59"/>
  <c r="Q62" i="59"/>
  <c r="P62" i="59"/>
  <c r="O62" i="59"/>
  <c r="N62" i="59"/>
  <c r="D62" i="59"/>
  <c r="Q61" i="59"/>
  <c r="P61" i="59"/>
  <c r="O61" i="59"/>
  <c r="N61" i="59"/>
  <c r="F61" i="59"/>
  <c r="V61" i="59" s="1"/>
  <c r="E61" i="59"/>
  <c r="U61" i="59"/>
  <c r="C61" i="59"/>
  <c r="T61" i="59"/>
  <c r="B61" i="59"/>
  <c r="Q60" i="59"/>
  <c r="P60" i="59"/>
  <c r="O60" i="59"/>
  <c r="N60" i="59"/>
  <c r="Q59" i="59"/>
  <c r="P59" i="59"/>
  <c r="O59" i="59"/>
  <c r="N59" i="59"/>
  <c r="Q58" i="59"/>
  <c r="P58" i="59"/>
  <c r="O58" i="59"/>
  <c r="N58" i="59"/>
  <c r="D58" i="59"/>
  <c r="F57" i="59"/>
  <c r="V57" i="59" s="1"/>
  <c r="E57" i="59"/>
  <c r="E56" i="59"/>
  <c r="E55" i="59" s="1"/>
  <c r="P56" i="59"/>
  <c r="C57" i="59"/>
  <c r="B57" i="59"/>
  <c r="N57" i="59" s="1"/>
  <c r="B56" i="59"/>
  <c r="D54" i="59"/>
  <c r="Q53" i="59"/>
  <c r="P53" i="59"/>
  <c r="O53" i="59"/>
  <c r="N53" i="59"/>
  <c r="Q52" i="59"/>
  <c r="P52" i="59"/>
  <c r="O52" i="59"/>
  <c r="N52" i="59"/>
  <c r="Q51" i="59"/>
  <c r="F52" i="59" s="1"/>
  <c r="F53" i="59" s="1"/>
  <c r="V53" i="59" s="1"/>
  <c r="P51" i="59"/>
  <c r="O51" i="59"/>
  <c r="N51" i="59"/>
  <c r="Q50" i="59"/>
  <c r="F51" i="59"/>
  <c r="P50" i="59"/>
  <c r="E51" i="59"/>
  <c r="E52" i="59" s="1"/>
  <c r="E53" i="59" s="1"/>
  <c r="U53" i="59" s="1"/>
  <c r="O50" i="59"/>
  <c r="C51" i="59"/>
  <c r="C52"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c r="E49" i="59"/>
  <c r="U49" i="59"/>
  <c r="O46" i="59"/>
  <c r="C47" i="59" s="1"/>
  <c r="N46" i="59"/>
  <c r="B47" i="59"/>
  <c r="B48" i="59"/>
  <c r="B49" i="59"/>
  <c r="S49" i="59" s="1"/>
  <c r="D46" i="59"/>
  <c r="Q45" i="59"/>
  <c r="P45" i="59"/>
  <c r="O45" i="59"/>
  <c r="N45" i="59"/>
  <c r="Q44" i="59"/>
  <c r="P44" i="59"/>
  <c r="O44" i="59"/>
  <c r="N44" i="59"/>
  <c r="Q43" i="59"/>
  <c r="F44" i="59" s="1"/>
  <c r="F45" i="59" s="1"/>
  <c r="V45" i="59" s="1"/>
  <c r="P43" i="59"/>
  <c r="O43" i="59"/>
  <c r="N43" i="59"/>
  <c r="Q42" i="59"/>
  <c r="F43" i="59"/>
  <c r="P42" i="59"/>
  <c r="E43" i="59"/>
  <c r="E44" i="59" s="1"/>
  <c r="E45" i="59" s="1"/>
  <c r="U45" i="59" s="1"/>
  <c r="O42" i="59"/>
  <c r="C43" i="59"/>
  <c r="N42" i="59"/>
  <c r="B43" i="59" s="1"/>
  <c r="B44" i="59" s="1"/>
  <c r="B45" i="59" s="1"/>
  <c r="S45" i="59" s="1"/>
  <c r="D42" i="59"/>
  <c r="Q41" i="59"/>
  <c r="P41" i="59"/>
  <c r="O41" i="59"/>
  <c r="N41" i="59"/>
  <c r="Q40" i="59"/>
  <c r="P40" i="59"/>
  <c r="O40" i="59"/>
  <c r="N40" i="59"/>
  <c r="Q39" i="59"/>
  <c r="P39" i="59"/>
  <c r="O39" i="59"/>
  <c r="N39" i="59"/>
  <c r="B40" i="59" s="1"/>
  <c r="B41" i="59" s="1"/>
  <c r="Q38" i="59"/>
  <c r="F39" i="59" s="1"/>
  <c r="F40" i="59" s="1"/>
  <c r="F41" i="59" s="1"/>
  <c r="V41" i="59" s="1"/>
  <c r="P38" i="59"/>
  <c r="E39" i="59"/>
  <c r="E40" i="59" s="1"/>
  <c r="E41" i="59" s="1"/>
  <c r="U41" i="59" s="1"/>
  <c r="O38" i="59"/>
  <c r="C39" i="59" s="1"/>
  <c r="N38" i="59"/>
  <c r="B39" i="59"/>
  <c r="D38" i="59"/>
  <c r="T37" i="59"/>
  <c r="Q37" i="59"/>
  <c r="P37" i="59"/>
  <c r="O37" i="59"/>
  <c r="N37" i="59"/>
  <c r="D37" i="59"/>
  <c r="Q36" i="59"/>
  <c r="P36" i="59"/>
  <c r="O36" i="59"/>
  <c r="N36" i="59"/>
  <c r="Q35" i="59"/>
  <c r="P35" i="59"/>
  <c r="O35" i="59"/>
  <c r="C36" i="59" s="1"/>
  <c r="D36" i="59" s="1"/>
  <c r="N35" i="59"/>
  <c r="Q34" i="59"/>
  <c r="F35" i="59"/>
  <c r="P34" i="59"/>
  <c r="E35" i="59"/>
  <c r="E36" i="59"/>
  <c r="E37" i="59" s="1"/>
  <c r="U37" i="59" s="1"/>
  <c r="O34" i="59"/>
  <c r="C35" i="59"/>
  <c r="D35" i="59" s="1"/>
  <c r="N34" i="59"/>
  <c r="B35" i="59"/>
  <c r="B36" i="59" s="1"/>
  <c r="B37" i="59" s="1"/>
  <c r="S37" i="59" s="1"/>
  <c r="D34" i="59"/>
  <c r="Q33" i="59"/>
  <c r="P33" i="59"/>
  <c r="O33" i="59"/>
  <c r="N33" i="59"/>
  <c r="Q32" i="59"/>
  <c r="P32" i="59"/>
  <c r="O32" i="59"/>
  <c r="N32" i="59"/>
  <c r="B33" i="59" s="1"/>
  <c r="Q31" i="59"/>
  <c r="P31" i="59"/>
  <c r="O31" i="59"/>
  <c r="N31" i="59"/>
  <c r="Q30" i="59"/>
  <c r="F31" i="59"/>
  <c r="F32" i="59" s="1"/>
  <c r="F33" i="59" s="1"/>
  <c r="V33" i="59" s="1"/>
  <c r="P30" i="59"/>
  <c r="E31" i="59" s="1"/>
  <c r="E32" i="59" s="1"/>
  <c r="E33" i="59" s="1"/>
  <c r="U33" i="59" s="1"/>
  <c r="O30" i="59"/>
  <c r="C31" i="59" s="1"/>
  <c r="C32" i="59" s="1"/>
  <c r="C33" i="59" s="1"/>
  <c r="D33" i="59" s="1"/>
  <c r="N30" i="59"/>
  <c r="B31" i="59"/>
  <c r="B32" i="59"/>
  <c r="S33" i="59"/>
  <c r="D30" i="59"/>
  <c r="Q29" i="59"/>
  <c r="P29" i="59"/>
  <c r="O29" i="59"/>
  <c r="N29" i="59"/>
  <c r="Q28" i="59"/>
  <c r="AB28" i="59" s="1"/>
  <c r="P28" i="59"/>
  <c r="O28" i="59"/>
  <c r="Y28" i="59"/>
  <c r="Z28" i="59"/>
  <c r="N28" i="59"/>
  <c r="X28" i="59" s="1"/>
  <c r="Q27" i="59"/>
  <c r="AB27" i="59" s="1"/>
  <c r="P27" i="59"/>
  <c r="AA27" i="59" s="1"/>
  <c r="O27" i="59"/>
  <c r="Y27" i="59" s="1"/>
  <c r="Z27" i="59" s="1"/>
  <c r="N27" i="59"/>
  <c r="X27" i="59" s="1"/>
  <c r="Q26" i="59"/>
  <c r="P26" i="59"/>
  <c r="E27" i="59"/>
  <c r="E28" i="59"/>
  <c r="E29" i="59"/>
  <c r="U29" i="59"/>
  <c r="O26" i="59"/>
  <c r="C27" i="59" s="1"/>
  <c r="N26" i="59"/>
  <c r="X26" i="59" s="1"/>
  <c r="B27" i="59"/>
  <c r="B28" i="59"/>
  <c r="B29" i="59"/>
  <c r="S29" i="59" s="1"/>
  <c r="D26" i="59"/>
  <c r="Q25" i="59"/>
  <c r="AB25" i="59" s="1"/>
  <c r="P25" i="59"/>
  <c r="AA25" i="59" s="1"/>
  <c r="O25" i="59"/>
  <c r="Y25" i="59" s="1"/>
  <c r="Z25" i="59" s="1"/>
  <c r="N25" i="59"/>
  <c r="Q24" i="59"/>
  <c r="AB24" i="59" s="1"/>
  <c r="P24" i="59"/>
  <c r="AA24" i="59" s="1"/>
  <c r="O24" i="59"/>
  <c r="N24" i="59"/>
  <c r="Q23" i="59"/>
  <c r="P23" i="59"/>
  <c r="O23" i="59"/>
  <c r="Y23" i="59" s="1"/>
  <c r="Z23" i="59" s="1"/>
  <c r="N23" i="59"/>
  <c r="Q22" i="59"/>
  <c r="AB22" i="59" s="1"/>
  <c r="F23" i="59"/>
  <c r="P22" i="59"/>
  <c r="E23" i="59"/>
  <c r="E24" i="59" s="1"/>
  <c r="E25" i="59" s="1"/>
  <c r="U25" i="59" s="1"/>
  <c r="O22" i="59"/>
  <c r="Y22" i="59" s="1"/>
  <c r="Z22" i="59" s="1"/>
  <c r="C23" i="59"/>
  <c r="N22" i="59"/>
  <c r="D22" i="59"/>
  <c r="Q21" i="59"/>
  <c r="AB21" i="59" s="1"/>
  <c r="P21" i="59"/>
  <c r="AA21" i="59" s="1"/>
  <c r="O21" i="59"/>
  <c r="Y21" i="59" s="1"/>
  <c r="Z21" i="59" s="1"/>
  <c r="N21" i="59"/>
  <c r="Q20" i="59"/>
  <c r="AB20" i="59" s="1"/>
  <c r="P20" i="59"/>
  <c r="O20" i="59"/>
  <c r="Y20" i="59" s="1"/>
  <c r="Z20" i="59" s="1"/>
  <c r="N20" i="59"/>
  <c r="X20" i="59" s="1"/>
  <c r="Q19" i="59"/>
  <c r="AB19" i="59" s="1"/>
  <c r="P19" i="59"/>
  <c r="O19" i="59"/>
  <c r="Y19" i="59" s="1"/>
  <c r="Z19" i="59" s="1"/>
  <c r="N19" i="59"/>
  <c r="Q18" i="59"/>
  <c r="P18" i="59"/>
  <c r="AA18" i="59" s="1"/>
  <c r="O18" i="59"/>
  <c r="C19" i="59"/>
  <c r="D19" i="59" s="1"/>
  <c r="N18" i="59"/>
  <c r="B19" i="59"/>
  <c r="B20" i="59" s="1"/>
  <c r="B21" i="59" s="1"/>
  <c r="S21" i="59" s="1"/>
  <c r="D18" i="59"/>
  <c r="X17" i="59"/>
  <c r="Y14" i="59"/>
  <c r="Z14" i="59" s="1"/>
  <c r="AB14" i="59"/>
  <c r="E19" i="59"/>
  <c r="E20" i="59" s="1"/>
  <c r="E21" i="59" s="1"/>
  <c r="U21" i="59" s="1"/>
  <c r="S41" i="59"/>
  <c r="AA28" i="59"/>
  <c r="F36" i="59"/>
  <c r="F37" i="59" s="1"/>
  <c r="V37" i="59" s="1"/>
  <c r="C20" i="59"/>
  <c r="C21" i="59" s="1"/>
  <c r="D31" i="59"/>
  <c r="C44" i="59"/>
  <c r="D43" i="59"/>
  <c r="D51" i="59"/>
  <c r="C24" i="59"/>
  <c r="D23" i="59"/>
  <c r="T57" i="59"/>
  <c r="P57" i="59"/>
  <c r="U57" i="59"/>
  <c r="Q57" i="59"/>
  <c r="C60" i="59"/>
  <c r="D60" i="59" s="1"/>
  <c r="E60" i="59"/>
  <c r="E59" i="59" s="1"/>
  <c r="D61" i="59"/>
  <c r="C64" i="59"/>
  <c r="D64" i="59" s="1"/>
  <c r="E64" i="59"/>
  <c r="E63" i="59" s="1"/>
  <c r="E68" i="59"/>
  <c r="E67" i="59"/>
  <c r="D69" i="59"/>
  <c r="C72" i="59"/>
  <c r="D72" i="59" s="1"/>
  <c r="C76" i="59"/>
  <c r="U16" i="4"/>
  <c r="S16" i="4"/>
  <c r="Q16" i="4"/>
  <c r="O16" i="4"/>
  <c r="M16" i="4"/>
  <c r="K16" i="4"/>
  <c r="D76" i="59"/>
  <c r="C75" i="59"/>
  <c r="D75" i="59" s="1"/>
  <c r="C59" i="59"/>
  <c r="D59" i="59" s="1"/>
  <c r="C71" i="59"/>
  <c r="D71" i="59" s="1"/>
  <c r="O27" i="6"/>
  <c r="N27" i="6"/>
  <c r="P26" i="6"/>
  <c r="L26" i="6"/>
  <c r="P25" i="6"/>
  <c r="L25" i="6"/>
  <c r="P24" i="6"/>
  <c r="L24" i="6"/>
  <c r="P23" i="6"/>
  <c r="L23" i="6"/>
  <c r="P22" i="6"/>
  <c r="L22" i="6"/>
  <c r="P21" i="6"/>
  <c r="P27" i="6" s="1"/>
  <c r="L21" i="6"/>
  <c r="P20" i="6"/>
  <c r="P19" i="6"/>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96" i="40" s="1"/>
  <c r="F27" i="40"/>
  <c r="AA27" i="40" s="1"/>
  <c r="Q31" i="39"/>
  <c r="Z31" i="39" s="1"/>
  <c r="D105" i="39"/>
  <c r="E105" i="39" s="1"/>
  <c r="F105" i="39" s="1"/>
  <c r="G105" i="39" s="1"/>
  <c r="F31" i="39"/>
  <c r="AA31" i="39" s="1"/>
  <c r="G20" i="20"/>
  <c r="C27" i="40" s="1"/>
  <c r="B85" i="46"/>
  <c r="C22" i="20"/>
  <c r="B65" i="46" s="1"/>
  <c r="S18" i="36"/>
  <c r="S21" i="37"/>
  <c r="S21" i="34"/>
  <c r="C31" i="39"/>
  <c r="E66" i="36"/>
  <c r="H18" i="35"/>
  <c r="J18" i="35"/>
  <c r="H21" i="37"/>
  <c r="J21" i="37"/>
  <c r="E84" i="34"/>
  <c r="F84" i="34"/>
  <c r="G84" i="34"/>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c r="C30" i="57"/>
  <c r="E26" i="57" s="1"/>
  <c r="C112" i="9"/>
  <c r="C7" i="11"/>
  <c r="F80" i="46"/>
  <c r="H81" i="46"/>
  <c r="D1" i="46"/>
  <c r="F113" i="46"/>
  <c r="D99" i="46"/>
  <c r="D108" i="46" s="1"/>
  <c r="E99" i="46"/>
  <c r="E108" i="46"/>
  <c r="F99" i="46"/>
  <c r="F100" i="46" s="1"/>
  <c r="G99" i="46"/>
  <c r="G108" i="46" s="1"/>
  <c r="H99" i="46"/>
  <c r="H108" i="46"/>
  <c r="I99" i="46"/>
  <c r="I108" i="46" s="1"/>
  <c r="J99" i="46"/>
  <c r="J108" i="46" s="1"/>
  <c r="K99" i="46"/>
  <c r="K108" i="46"/>
  <c r="L99" i="46"/>
  <c r="L100" i="46" s="1"/>
  <c r="M99" i="46"/>
  <c r="M108" i="46" s="1"/>
  <c r="N99" i="46"/>
  <c r="N108" i="46"/>
  <c r="C99" i="46"/>
  <c r="C108" i="46" s="1"/>
  <c r="L108" i="46"/>
  <c r="K58" i="46"/>
  <c r="J58" i="46" s="1"/>
  <c r="D58" i="46"/>
  <c r="K50" i="46"/>
  <c r="D83" i="46"/>
  <c r="D77" i="46"/>
  <c r="B83" i="46"/>
  <c r="B82" i="46"/>
  <c r="B71" i="46"/>
  <c r="B60" i="46"/>
  <c r="B49" i="46"/>
  <c r="M87" i="46"/>
  <c r="N87" i="46" s="1"/>
  <c r="K87" i="46"/>
  <c r="J87" i="46"/>
  <c r="D87" i="46"/>
  <c r="M86" i="46"/>
  <c r="N86" i="46"/>
  <c r="D86" i="46"/>
  <c r="K86" i="46"/>
  <c r="J86" i="46"/>
  <c r="M85" i="46"/>
  <c r="N85" i="46" s="1"/>
  <c r="D85" i="46"/>
  <c r="K85" i="46"/>
  <c r="J85" i="46" s="1"/>
  <c r="M84" i="46"/>
  <c r="N84" i="46" s="1"/>
  <c r="K84" i="46"/>
  <c r="J84" i="46"/>
  <c r="M83" i="46"/>
  <c r="N83" i="46" s="1"/>
  <c r="K83" i="46"/>
  <c r="J83" i="46" s="1"/>
  <c r="M82" i="46"/>
  <c r="N82" i="46"/>
  <c r="K82" i="46"/>
  <c r="J82" i="46" s="1"/>
  <c r="D82" i="46"/>
  <c r="M81" i="46"/>
  <c r="N81" i="46" s="1"/>
  <c r="K81" i="46"/>
  <c r="J81" i="46" s="1"/>
  <c r="M80" i="46"/>
  <c r="N80" i="46"/>
  <c r="K80" i="46"/>
  <c r="J80" i="46" s="1"/>
  <c r="M77" i="46"/>
  <c r="N77" i="46" s="1"/>
  <c r="K77" i="46"/>
  <c r="J77" i="46"/>
  <c r="M76" i="46"/>
  <c r="N76" i="46" s="1"/>
  <c r="D76" i="46"/>
  <c r="K76" i="46"/>
  <c r="J76" i="46" s="1"/>
  <c r="M75" i="46"/>
  <c r="N75" i="46" s="1"/>
  <c r="K75" i="46"/>
  <c r="J75" i="46"/>
  <c r="M74" i="46"/>
  <c r="N74" i="46" s="1"/>
  <c r="K74" i="46"/>
  <c r="J74" i="46" s="1"/>
  <c r="D74" i="46"/>
  <c r="M73" i="46"/>
  <c r="N73" i="46" s="1"/>
  <c r="D73" i="46"/>
  <c r="K73" i="46"/>
  <c r="J73" i="46"/>
  <c r="M72" i="46"/>
  <c r="N72" i="46" s="1"/>
  <c r="K72" i="46"/>
  <c r="J72" i="46" s="1"/>
  <c r="D72" i="46"/>
  <c r="M71" i="46"/>
  <c r="N71" i="46" s="1"/>
  <c r="K71" i="46"/>
  <c r="J71" i="46"/>
  <c r="M70" i="46"/>
  <c r="N70" i="46" s="1"/>
  <c r="K70" i="46"/>
  <c r="J70" i="46" s="1"/>
  <c r="D70" i="46"/>
  <c r="M69" i="46"/>
  <c r="N69" i="46" s="1"/>
  <c r="K69" i="46"/>
  <c r="J69" i="46"/>
  <c r="M66" i="46"/>
  <c r="N66" i="46" s="1"/>
  <c r="K66" i="46"/>
  <c r="J66" i="46" s="1"/>
  <c r="M65" i="46"/>
  <c r="N65" i="46" s="1"/>
  <c r="K65" i="46"/>
  <c r="J65" i="46" s="1"/>
  <c r="D65" i="46"/>
  <c r="M64" i="46"/>
  <c r="N64" i="46" s="1"/>
  <c r="K64" i="46"/>
  <c r="J64" i="46"/>
  <c r="D64" i="46"/>
  <c r="M63" i="46"/>
  <c r="N63" i="46"/>
  <c r="K63" i="46"/>
  <c r="J63" i="46" s="1"/>
  <c r="D63" i="46"/>
  <c r="M62" i="46"/>
  <c r="N62" i="46" s="1"/>
  <c r="K62" i="46"/>
  <c r="J62" i="46" s="1"/>
  <c r="D62" i="46"/>
  <c r="M61" i="46"/>
  <c r="N61" i="46" s="1"/>
  <c r="K61" i="46"/>
  <c r="J61" i="46"/>
  <c r="D61" i="46"/>
  <c r="M60" i="46"/>
  <c r="N60" i="46"/>
  <c r="K60" i="46"/>
  <c r="J60" i="46" s="1"/>
  <c r="D60" i="46"/>
  <c r="M59" i="46"/>
  <c r="N59" i="46" s="1"/>
  <c r="K59" i="46"/>
  <c r="J59" i="46" s="1"/>
  <c r="D59" i="46"/>
  <c r="M58" i="46"/>
  <c r="N58" i="46" s="1"/>
  <c r="M55" i="46"/>
  <c r="N55" i="46"/>
  <c r="K55" i="46"/>
  <c r="J55" i="46"/>
  <c r="M54" i="46"/>
  <c r="N54" i="46" s="1"/>
  <c r="K54" i="46"/>
  <c r="M53" i="46"/>
  <c r="N53" i="46" s="1"/>
  <c r="K53" i="46"/>
  <c r="J53" i="46"/>
  <c r="D53" i="46"/>
  <c r="M52" i="46"/>
  <c r="N52" i="46"/>
  <c r="K52" i="46"/>
  <c r="J52" i="46"/>
  <c r="D52" i="46"/>
  <c r="M51" i="46"/>
  <c r="N51" i="46" s="1"/>
  <c r="K51" i="46"/>
  <c r="J51" i="46" s="1"/>
  <c r="M50" i="46"/>
  <c r="N50" i="46"/>
  <c r="M49" i="46"/>
  <c r="N49" i="46" s="1"/>
  <c r="K49" i="46"/>
  <c r="J49" i="46" s="1"/>
  <c r="D49" i="46"/>
  <c r="M48" i="46"/>
  <c r="N48" i="46" s="1"/>
  <c r="K48" i="46"/>
  <c r="J48" i="46"/>
  <c r="D48" i="46"/>
  <c r="M47" i="46"/>
  <c r="N47" i="46"/>
  <c r="K47" i="46"/>
  <c r="J47" i="46" s="1"/>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c r="M8" i="31" s="1"/>
  <c r="N8" i="31" s="1"/>
  <c r="O8" i="31" s="1"/>
  <c r="P8" i="31" s="1"/>
  <c r="Q8" i="31" s="1"/>
  <c r="R8" i="3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A93" i="3" s="1"/>
  <c r="AZ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A81" i="3" s="1"/>
  <c r="BE81" i="3"/>
  <c r="BD81" i="3"/>
  <c r="BC81" i="3"/>
  <c r="BB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A72" i="3" s="1"/>
  <c r="AZ72" i="3" s="1"/>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L70" i="3" s="1"/>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L67" i="3" s="1"/>
  <c r="BP67" i="3"/>
  <c r="BO67" i="3"/>
  <c r="BN67" i="3"/>
  <c r="BM67" i="3"/>
  <c r="BK67" i="3"/>
  <c r="BJ67" i="3"/>
  <c r="BI67" i="3"/>
  <c r="BH67" i="3"/>
  <c r="BG67" i="3"/>
  <c r="BF67" i="3"/>
  <c r="BE67" i="3"/>
  <c r="BA67" i="3" s="1"/>
  <c r="AZ67" i="3" s="1"/>
  <c r="BD67" i="3"/>
  <c r="BC67" i="3"/>
  <c r="BB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A65" i="3" s="1"/>
  <c r="BE65" i="3"/>
  <c r="BD65" i="3"/>
  <c r="BC65" i="3"/>
  <c r="BB65" i="3"/>
  <c r="AZ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L63" i="3" s="1"/>
  <c r="BO63" i="3"/>
  <c r="BN63" i="3"/>
  <c r="BM63" i="3"/>
  <c r="BK63" i="3"/>
  <c r="BJ63" i="3"/>
  <c r="BI63" i="3"/>
  <c r="BH63" i="3"/>
  <c r="BG63" i="3"/>
  <c r="BF63" i="3"/>
  <c r="BE63" i="3"/>
  <c r="BD63" i="3"/>
  <c r="BA63" i="3" s="1"/>
  <c r="BC63" i="3"/>
  <c r="BB63" i="3"/>
  <c r="AX63" i="3"/>
  <c r="AW63" i="3"/>
  <c r="AV63" i="3"/>
  <c r="AC63" i="3"/>
  <c r="H63" i="3"/>
  <c r="G63" i="3"/>
  <c r="BT62" i="3"/>
  <c r="BS62" i="3"/>
  <c r="BR62" i="3"/>
  <c r="BQ62" i="3"/>
  <c r="BP62" i="3"/>
  <c r="BO62" i="3"/>
  <c r="BN62" i="3"/>
  <c r="BM62" i="3"/>
  <c r="BL62" i="3"/>
  <c r="BK62" i="3"/>
  <c r="BJ62" i="3"/>
  <c r="BI62" i="3"/>
  <c r="BH62" i="3"/>
  <c r="BG62" i="3"/>
  <c r="BF62" i="3"/>
  <c r="BA62" i="3" s="1"/>
  <c r="BE62" i="3"/>
  <c r="BD62" i="3"/>
  <c r="BC62" i="3"/>
  <c r="BB62" i="3"/>
  <c r="AZ62" i="3"/>
  <c r="AX62" i="3"/>
  <c r="AW62" i="3"/>
  <c r="AV62" i="3"/>
  <c r="AC62" i="3"/>
  <c r="H62" i="3"/>
  <c r="G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L47" i="3" s="1"/>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c r="BK44" i="3"/>
  <c r="BJ44" i="3"/>
  <c r="BI44" i="3"/>
  <c r="BH44" i="3"/>
  <c r="BG44" i="3"/>
  <c r="BF44" i="3"/>
  <c r="BA44" i="3" s="1"/>
  <c r="AZ44" i="3" s="1"/>
  <c r="BE44" i="3"/>
  <c r="BD44" i="3"/>
  <c r="BC44" i="3"/>
  <c r="BB44" i="3"/>
  <c r="AX44" i="3"/>
  <c r="AW44" i="3"/>
  <c r="AV44" i="3"/>
  <c r="AC44" i="3"/>
  <c r="H44" i="3"/>
  <c r="G44" i="3"/>
  <c r="BT43" i="3"/>
  <c r="BS43" i="3"/>
  <c r="BR43" i="3"/>
  <c r="BQ43" i="3"/>
  <c r="BP43" i="3"/>
  <c r="BO43" i="3"/>
  <c r="BL43" i="3" s="1"/>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L40" i="3" s="1"/>
  <c r="BP40" i="3"/>
  <c r="BO40" i="3"/>
  <c r="BN40" i="3"/>
  <c r="BM40" i="3"/>
  <c r="BK40" i="3"/>
  <c r="BJ40" i="3"/>
  <c r="BI40" i="3"/>
  <c r="BH40" i="3"/>
  <c r="BG40" i="3"/>
  <c r="BF40" i="3"/>
  <c r="BE40" i="3"/>
  <c r="BA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L148" i="3" s="1"/>
  <c r="AZ148" i="3" s="1"/>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A144" i="3" s="1"/>
  <c r="AZ144" i="3" s="1"/>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A136" i="3" s="1"/>
  <c r="AZ136" i="3" s="1"/>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L126" i="3" s="1"/>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A121" i="3" s="1"/>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A117" i="3" s="1"/>
  <c r="AZ117" i="3" s="1"/>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A293" i="3" s="1"/>
  <c r="BE293" i="3"/>
  <c r="BD293" i="3"/>
  <c r="BC293" i="3"/>
  <c r="BB293" i="3"/>
  <c r="AZ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A288" i="3" s="1"/>
  <c r="AZ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A286" i="3" s="1"/>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G267" i="3"/>
  <c r="BF267" i="3"/>
  <c r="BE267" i="3"/>
  <c r="BD267" i="3"/>
  <c r="BC267" i="3"/>
  <c r="BA267" i="3" s="1"/>
  <c r="AZ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A250" i="3" s="1"/>
  <c r="AZ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L245" i="3" s="1"/>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A231" i="3" s="1"/>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L229" i="3" s="1"/>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A205" i="3" s="1"/>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A368" i="3" s="1"/>
  <c r="AZ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L473" i="3" s="1"/>
  <c r="BO473" i="3"/>
  <c r="BN473" i="3"/>
  <c r="BM473" i="3"/>
  <c r="BK473" i="3"/>
  <c r="BJ473" i="3"/>
  <c r="BI473" i="3"/>
  <c r="BH473" i="3"/>
  <c r="BG473" i="3"/>
  <c r="BF473" i="3"/>
  <c r="BE473" i="3"/>
  <c r="BD473" i="3"/>
  <c r="BA473" i="3" s="1"/>
  <c r="AZ473" i="3" s="1"/>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A421" i="3" s="1"/>
  <c r="AZ421" i="3" s="1"/>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c r="H54" i="40"/>
  <c r="I54" i="40"/>
  <c r="C54" i="40" s="1"/>
  <c r="H63" i="39"/>
  <c r="I63" i="39"/>
  <c r="C63" i="39"/>
  <c r="H59" i="39"/>
  <c r="I59" i="39"/>
  <c r="C59" i="39" s="1"/>
  <c r="H67" i="39"/>
  <c r="I67" i="39"/>
  <c r="C67" i="39"/>
  <c r="H66" i="39"/>
  <c r="I66" i="39"/>
  <c r="C66" i="39" s="1"/>
  <c r="H65" i="39"/>
  <c r="I65" i="39"/>
  <c r="C65" i="39"/>
  <c r="H64" i="39"/>
  <c r="I64" i="39"/>
  <c r="C64" i="39" s="1"/>
  <c r="H62" i="39"/>
  <c r="I62" i="39"/>
  <c r="C62" i="39"/>
  <c r="H61" i="39"/>
  <c r="I61" i="39"/>
  <c r="C61" i="39" s="1"/>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S439" i="31" s="1"/>
  <c r="R440" i="31"/>
  <c r="S440" i="31"/>
  <c r="R441" i="31"/>
  <c r="R442" i="31"/>
  <c r="S442" i="31"/>
  <c r="R443" i="31"/>
  <c r="R444" i="31"/>
  <c r="S444" i="31"/>
  <c r="R445" i="31"/>
  <c r="R446" i="31"/>
  <c r="S446" i="31"/>
  <c r="R447" i="31"/>
  <c r="R448" i="31"/>
  <c r="S448" i="31"/>
  <c r="R449" i="31"/>
  <c r="R450" i="31"/>
  <c r="S450" i="31"/>
  <c r="R451" i="31"/>
  <c r="S451" i="31" s="1"/>
  <c r="R452" i="31"/>
  <c r="S452" i="31"/>
  <c r="R453" i="31"/>
  <c r="R454" i="31"/>
  <c r="S454" i="31"/>
  <c r="R455" i="31"/>
  <c r="R456" i="31"/>
  <c r="S456" i="31"/>
  <c r="R457" i="31"/>
  <c r="R458" i="31"/>
  <c r="S458" i="31"/>
  <c r="R459" i="31"/>
  <c r="R460" i="31"/>
  <c r="S460" i="31"/>
  <c r="R461" i="31"/>
  <c r="R462" i="31"/>
  <c r="S462" i="31"/>
  <c r="R463" i="31"/>
  <c r="S463" i="31" s="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s="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D3" i="73" s="1"/>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c r="D107" i="9"/>
  <c r="C107" i="9" s="1"/>
  <c r="C105" i="9" s="1"/>
  <c r="C110" i="9" s="1"/>
  <c r="C17" i="9"/>
  <c r="C18" i="9" s="1"/>
  <c r="M43" i="9" s="1"/>
  <c r="D17" i="9"/>
  <c r="F17" i="44"/>
  <c r="F19" i="44"/>
  <c r="F22" i="44"/>
  <c r="F25" i="44"/>
  <c r="D25" i="44" s="1"/>
  <c r="F23" i="44"/>
  <c r="E16" i="43"/>
  <c r="F14" i="43"/>
  <c r="F15" i="43"/>
  <c r="F17" i="43"/>
  <c r="F19" i="43"/>
  <c r="F20" i="43"/>
  <c r="F10" i="40"/>
  <c r="AA10" i="40"/>
  <c r="F11" i="40"/>
  <c r="AA11" i="40" s="1"/>
  <c r="C21" i="40"/>
  <c r="C32" i="40"/>
  <c r="F36" i="40"/>
  <c r="AA36" i="40"/>
  <c r="H10" i="40"/>
  <c r="AB10" i="40" s="1"/>
  <c r="H11" i="40"/>
  <c r="AB11" i="40" s="1"/>
  <c r="H36" i="40"/>
  <c r="AB36" i="40"/>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7" i="31"/>
  <c r="S435" i="31"/>
  <c r="S433" i="31"/>
  <c r="S431" i="31"/>
  <c r="S121" i="31"/>
  <c r="S119" i="31"/>
  <c r="S117" i="31"/>
  <c r="S115" i="31"/>
  <c r="S113" i="31"/>
  <c r="S467" i="31"/>
  <c r="S465" i="31"/>
  <c r="S461" i="31"/>
  <c r="S459" i="31"/>
  <c r="S457" i="31"/>
  <c r="S455" i="31"/>
  <c r="S453"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s="1"/>
  <c r="E42" i="36"/>
  <c r="F42" i="36" s="1"/>
  <c r="I44" i="35"/>
  <c r="J44" i="35"/>
  <c r="G44" i="35"/>
  <c r="H44" i="35"/>
  <c r="E44" i="35"/>
  <c r="F44" i="35" s="1"/>
  <c r="I54" i="33"/>
  <c r="J54" i="33"/>
  <c r="G54" i="33"/>
  <c r="H54" i="33" s="1"/>
  <c r="E54" i="33"/>
  <c r="F54" i="33"/>
  <c r="H14" i="3"/>
  <c r="AC14" i="3"/>
  <c r="G14" i="3"/>
  <c r="H15" i="3"/>
  <c r="AC15" i="3"/>
  <c r="H16" i="3"/>
  <c r="G16" i="3" s="1"/>
  <c r="AC16" i="3"/>
  <c r="H17" i="3"/>
  <c r="AC17" i="3"/>
  <c r="G17" i="3" s="1"/>
  <c r="H18" i="3"/>
  <c r="G18" i="3" s="1"/>
  <c r="AC18" i="3"/>
  <c r="BB18" i="3"/>
  <c r="BC18" i="3"/>
  <c r="BD18" i="3"/>
  <c r="BE18" i="3"/>
  <c r="BF18" i="3"/>
  <c r="BG18" i="3"/>
  <c r="BH18" i="3"/>
  <c r="BI18" i="3"/>
  <c r="BJ18" i="3"/>
  <c r="BK18" i="3"/>
  <c r="BM18" i="3"/>
  <c r="BL18" i="3" s="1"/>
  <c r="AZ18" i="3" s="1"/>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G502" i="3" s="1"/>
  <c r="AC502" i="3"/>
  <c r="BB502" i="3"/>
  <c r="BC502" i="3"/>
  <c r="BD502" i="3"/>
  <c r="BE502" i="3"/>
  <c r="BF502" i="3"/>
  <c r="BA502" i="3" s="1"/>
  <c r="BG502" i="3"/>
  <c r="BH502" i="3"/>
  <c r="BI502" i="3"/>
  <c r="BJ502" i="3"/>
  <c r="BK502" i="3"/>
  <c r="BM502" i="3"/>
  <c r="BN502" i="3"/>
  <c r="BO502" i="3"/>
  <c r="BP502" i="3"/>
  <c r="BR502" i="3"/>
  <c r="BS502" i="3"/>
  <c r="BT502" i="3"/>
  <c r="H503" i="3"/>
  <c r="G503" i="3"/>
  <c r="AC503" i="3"/>
  <c r="BB503" i="3"/>
  <c r="BC503" i="3"/>
  <c r="BD503" i="3"/>
  <c r="BD5" i="3" s="1"/>
  <c r="BE503" i="3"/>
  <c r="BF503" i="3"/>
  <c r="BG503" i="3"/>
  <c r="BH503" i="3"/>
  <c r="BI503" i="3"/>
  <c r="BJ503" i="3"/>
  <c r="BK503" i="3"/>
  <c r="BM503" i="3"/>
  <c r="BN503" i="3"/>
  <c r="BO503" i="3"/>
  <c r="BP503" i="3"/>
  <c r="BQ503" i="3"/>
  <c r="BL503" i="3" s="1"/>
  <c r="BR503" i="3"/>
  <c r="BS503" i="3"/>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L509" i="3" s="1"/>
  <c r="BP509" i="3"/>
  <c r="BQ509" i="3"/>
  <c r="BR509" i="3"/>
  <c r="BS509" i="3"/>
  <c r="BT509" i="3"/>
  <c r="H510" i="3"/>
  <c r="G510" i="3" s="1"/>
  <c r="AC510" i="3"/>
  <c r="BB510" i="3"/>
  <c r="BC510" i="3"/>
  <c r="BD510" i="3"/>
  <c r="BE510" i="3"/>
  <c r="BF510" i="3"/>
  <c r="BA510" i="3" s="1"/>
  <c r="BG510" i="3"/>
  <c r="BH510" i="3"/>
  <c r="BI510" i="3"/>
  <c r="BJ510" i="3"/>
  <c r="BK510" i="3"/>
  <c r="BM510" i="3"/>
  <c r="BL510" i="3" s="1"/>
  <c r="BN510" i="3"/>
  <c r="BO510" i="3"/>
  <c r="BP510" i="3"/>
  <c r="BR510" i="3"/>
  <c r="BS510" i="3"/>
  <c r="BT510" i="3"/>
  <c r="H511" i="3"/>
  <c r="AC511" i="3"/>
  <c r="BB511" i="3"/>
  <c r="BC511" i="3"/>
  <c r="BD511" i="3"/>
  <c r="BE511" i="3"/>
  <c r="BA511" i="3" s="1"/>
  <c r="AZ511" i="3" s="1"/>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L512" i="3" s="1"/>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L514" i="3" s="1"/>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L519" i="3" s="1"/>
  <c r="BR519" i="3"/>
  <c r="BS519" i="3"/>
  <c r="BT519" i="3"/>
  <c r="H520" i="3"/>
  <c r="AC520" i="3"/>
  <c r="BB520" i="3"/>
  <c r="BC520" i="3"/>
  <c r="BD520" i="3"/>
  <c r="BE520" i="3"/>
  <c r="BF520" i="3"/>
  <c r="BG520" i="3"/>
  <c r="BH520" i="3"/>
  <c r="BI520" i="3"/>
  <c r="BJ520" i="3"/>
  <c r="BK520" i="3"/>
  <c r="BM520" i="3"/>
  <c r="BN520" i="3"/>
  <c r="BO520" i="3"/>
  <c r="BL520" i="3" s="1"/>
  <c r="BP520" i="3"/>
  <c r="BR520" i="3"/>
  <c r="BS520" i="3"/>
  <c r="BT520" i="3"/>
  <c r="H521" i="3"/>
  <c r="AC521" i="3"/>
  <c r="G521" i="3" s="1"/>
  <c r="BB521" i="3"/>
  <c r="BC521" i="3"/>
  <c r="BD521" i="3"/>
  <c r="BE521" i="3"/>
  <c r="BF521" i="3"/>
  <c r="BG521" i="3"/>
  <c r="BA521" i="3" s="1"/>
  <c r="BH521" i="3"/>
  <c r="BI521" i="3"/>
  <c r="BJ521" i="3"/>
  <c r="BK521" i="3"/>
  <c r="BM521" i="3"/>
  <c r="BN521" i="3"/>
  <c r="BL521" i="3" s="1"/>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A523" i="3" s="1"/>
  <c r="BE523" i="3"/>
  <c r="BF523" i="3"/>
  <c r="BG523" i="3"/>
  <c r="BH523" i="3"/>
  <c r="BI523" i="3"/>
  <c r="BJ523" i="3"/>
  <c r="BK523" i="3"/>
  <c r="BM523" i="3"/>
  <c r="BN523" i="3"/>
  <c r="BO523" i="3"/>
  <c r="BP523" i="3"/>
  <c r="BQ523" i="3"/>
  <c r="BL523" i="3" s="1"/>
  <c r="BR523" i="3"/>
  <c r="BS523" i="3"/>
  <c r="BT523" i="3"/>
  <c r="H524" i="3"/>
  <c r="AC524" i="3"/>
  <c r="G524" i="3" s="1"/>
  <c r="BB524" i="3"/>
  <c r="BA524" i="3" s="1"/>
  <c r="BC524" i="3"/>
  <c r="BD524" i="3"/>
  <c r="BE524" i="3"/>
  <c r="BF524" i="3"/>
  <c r="BG524" i="3"/>
  <c r="BH524" i="3"/>
  <c r="BI524" i="3"/>
  <c r="BJ524" i="3"/>
  <c r="BK524" i="3"/>
  <c r="BM524" i="3"/>
  <c r="BN524" i="3"/>
  <c r="BO524" i="3"/>
  <c r="BL524" i="3" s="1"/>
  <c r="BP524" i="3"/>
  <c r="BR524" i="3"/>
  <c r="BS524" i="3"/>
  <c r="BT524" i="3"/>
  <c r="H525" i="3"/>
  <c r="AC525" i="3"/>
  <c r="BB525" i="3"/>
  <c r="BC525" i="3"/>
  <c r="BD525" i="3"/>
  <c r="BE525" i="3"/>
  <c r="BF525" i="3"/>
  <c r="BA525" i="3" s="1"/>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L531" i="3" s="1"/>
  <c r="BR531" i="3"/>
  <c r="BS531" i="3"/>
  <c r="BT531" i="3"/>
  <c r="H532" i="3"/>
  <c r="AC532" i="3"/>
  <c r="G532" i="3"/>
  <c r="BB532" i="3"/>
  <c r="BC532" i="3"/>
  <c r="BD532" i="3"/>
  <c r="BE532" i="3"/>
  <c r="BF532" i="3"/>
  <c r="BG532" i="3"/>
  <c r="BA532" i="3" s="1"/>
  <c r="BH532" i="3"/>
  <c r="BI532" i="3"/>
  <c r="BJ532" i="3"/>
  <c r="BK532" i="3"/>
  <c r="BM532" i="3"/>
  <c r="BN532" i="3"/>
  <c r="BO532" i="3"/>
  <c r="BP532" i="3"/>
  <c r="BR532" i="3"/>
  <c r="BS532" i="3"/>
  <c r="BT532" i="3"/>
  <c r="H533" i="3"/>
  <c r="G533" i="3" s="1"/>
  <c r="AC533" i="3"/>
  <c r="BB533" i="3"/>
  <c r="BC533" i="3"/>
  <c r="BD533" i="3"/>
  <c r="BE533" i="3"/>
  <c r="BF533" i="3"/>
  <c r="BA533" i="3" s="1"/>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L537" i="3" s="1"/>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L539" i="3" s="1"/>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L540" i="3" s="1"/>
  <c r="BT540" i="3"/>
  <c r="H541" i="3"/>
  <c r="AC541" i="3"/>
  <c r="G541" i="3"/>
  <c r="BB541" i="3"/>
  <c r="BC541" i="3"/>
  <c r="BD541" i="3"/>
  <c r="BE541" i="3"/>
  <c r="BF541" i="3"/>
  <c r="BG541" i="3"/>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AC543" i="3"/>
  <c r="BB543" i="3"/>
  <c r="BC543" i="3"/>
  <c r="BD543" i="3"/>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L556" i="3" s="1"/>
  <c r="BS556" i="3"/>
  <c r="BT556" i="3"/>
  <c r="H557" i="3"/>
  <c r="AC557" i="3"/>
  <c r="BB557" i="3"/>
  <c r="BC557" i="3"/>
  <c r="BD557" i="3"/>
  <c r="BE557" i="3"/>
  <c r="BF557" i="3"/>
  <c r="BG557" i="3"/>
  <c r="BH557" i="3"/>
  <c r="BI557" i="3"/>
  <c r="BJ557" i="3"/>
  <c r="BK557" i="3"/>
  <c r="BM557" i="3"/>
  <c r="BN557" i="3"/>
  <c r="BO557" i="3"/>
  <c r="BP557" i="3"/>
  <c r="BL557" i="3" s="1"/>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L562" i="3" s="1"/>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A568" i="3" s="1"/>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U31" i="35" s="1"/>
  <c r="F31" i="35"/>
  <c r="D87" i="35"/>
  <c r="E87" i="35"/>
  <c r="F87" i="35" s="1"/>
  <c r="G87" i="35" s="1"/>
  <c r="H87" i="35" s="1"/>
  <c r="I87" i="35" s="1"/>
  <c r="J87" i="35" s="1"/>
  <c r="K87" i="35" s="1"/>
  <c r="L87" i="35" s="1"/>
  <c r="M87" i="35" s="1"/>
  <c r="H34" i="37"/>
  <c r="U34" i="37" s="1"/>
  <c r="AB34" i="37"/>
  <c r="D101" i="37"/>
  <c r="E101" i="37" s="1"/>
  <c r="F101" i="37" s="1"/>
  <c r="G101" i="37" s="1"/>
  <c r="H101" i="37" s="1"/>
  <c r="I101" i="37" s="1"/>
  <c r="J101" i="37" s="1"/>
  <c r="F34" i="37"/>
  <c r="D99" i="37"/>
  <c r="E99" i="37" s="1"/>
  <c r="F99" i="37" s="1"/>
  <c r="G99" i="37" s="1"/>
  <c r="H99" i="37" s="1"/>
  <c r="I99" i="37" s="1"/>
  <c r="J99" i="37" s="1"/>
  <c r="K99" i="37" s="1"/>
  <c r="L99" i="37" s="1"/>
  <c r="M99" i="37" s="1"/>
  <c r="H42" i="34"/>
  <c r="U42" i="34" s="1"/>
  <c r="J42" i="34"/>
  <c r="F42" i="34"/>
  <c r="J38" i="34"/>
  <c r="AC38" i="34" s="1"/>
  <c r="D114" i="34"/>
  <c r="F38" i="34"/>
  <c r="D112" i="34"/>
  <c r="E112" i="34" s="1"/>
  <c r="F112" i="34"/>
  <c r="G112" i="34"/>
  <c r="H112" i="34" s="1"/>
  <c r="I112" i="34" s="1"/>
  <c r="J112" i="34" s="1"/>
  <c r="K112" i="34"/>
  <c r="L112" i="34" s="1"/>
  <c r="M112" i="34" s="1"/>
  <c r="F40" i="33"/>
  <c r="AA40" i="33" s="1"/>
  <c r="J41" i="33"/>
  <c r="AC41" i="33"/>
  <c r="D113" i="33"/>
  <c r="E113" i="33" s="1"/>
  <c r="F113" i="33" s="1"/>
  <c r="G113" i="33" s="1"/>
  <c r="H113" i="33" s="1"/>
  <c r="I113" i="33" s="1"/>
  <c r="J113" i="33" s="1"/>
  <c r="K113" i="33" s="1"/>
  <c r="L113" i="33" s="1"/>
  <c r="M113" i="33" s="1"/>
  <c r="F37" i="33"/>
  <c r="S37" i="33" s="1"/>
  <c r="AA37" i="33"/>
  <c r="D111" i="33"/>
  <c r="E111" i="33" s="1"/>
  <c r="F111" i="33" s="1"/>
  <c r="G111" i="33"/>
  <c r="H111" i="33" s="1"/>
  <c r="I111" i="33"/>
  <c r="J111" i="33"/>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H42" i="40" s="1"/>
  <c r="F42" i="40"/>
  <c r="AA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F33" i="40" s="1"/>
  <c r="AA33" i="40" s="1"/>
  <c r="D102" i="40"/>
  <c r="E102" i="40" s="1"/>
  <c r="F102" i="40"/>
  <c r="G102" i="40" s="1"/>
  <c r="H102" i="40" s="1"/>
  <c r="I102" i="40" s="1"/>
  <c r="J102" i="40" s="1"/>
  <c r="K102" i="40" s="1"/>
  <c r="L102" i="40" s="1"/>
  <c r="M102" i="40" s="1"/>
  <c r="D100" i="40"/>
  <c r="E100" i="40"/>
  <c r="D98" i="40"/>
  <c r="E98" i="40" s="1"/>
  <c r="F98" i="40" s="1"/>
  <c r="G98" i="40" s="1"/>
  <c r="H98" i="40" s="1"/>
  <c r="I98" i="40" s="1"/>
  <c r="J98" i="40" s="1"/>
  <c r="K98" i="40" s="1"/>
  <c r="L98" i="40" s="1"/>
  <c r="B97" i="40"/>
  <c r="D94" i="40"/>
  <c r="D92" i="40"/>
  <c r="D90" i="40"/>
  <c r="H21" i="40"/>
  <c r="D88" i="40"/>
  <c r="E88" i="40" s="1"/>
  <c r="F88" i="40" s="1"/>
  <c r="G88" i="40" s="1"/>
  <c r="D86" i="40"/>
  <c r="E86" i="40"/>
  <c r="F86" i="40" s="1"/>
  <c r="J17" i="40"/>
  <c r="B83" i="40"/>
  <c r="F16" i="40"/>
  <c r="AA16" i="40" s="1"/>
  <c r="B81" i="40"/>
  <c r="H15" i="40" s="1"/>
  <c r="AB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c r="Q38" i="40"/>
  <c r="Z38" i="40" s="1"/>
  <c r="Q37" i="40"/>
  <c r="Z37" i="40"/>
  <c r="Q36" i="40"/>
  <c r="Z36" i="40"/>
  <c r="Q35" i="40"/>
  <c r="Z35" i="40" s="1"/>
  <c r="Q34" i="40"/>
  <c r="Z34" i="40"/>
  <c r="Q33" i="40"/>
  <c r="Z33" i="40"/>
  <c r="Q32" i="40"/>
  <c r="Z32" i="40" s="1"/>
  <c r="Q30" i="40"/>
  <c r="Z30" i="40"/>
  <c r="Q29" i="40"/>
  <c r="Z29" i="40"/>
  <c r="Q25" i="40"/>
  <c r="Z25" i="40" s="1"/>
  <c r="Q23" i="40"/>
  <c r="Z23" i="40"/>
  <c r="Q21" i="40"/>
  <c r="Z21" i="40"/>
  <c r="Q19" i="40"/>
  <c r="Z19" i="40" s="1"/>
  <c r="Q17" i="40"/>
  <c r="Z17" i="40"/>
  <c r="Q16" i="40"/>
  <c r="Z16" i="40"/>
  <c r="Q15" i="40"/>
  <c r="Z15" i="40" s="1"/>
  <c r="Q14" i="40"/>
  <c r="Z14" i="40"/>
  <c r="Q13" i="40"/>
  <c r="Z13" i="40"/>
  <c r="Q12" i="40"/>
  <c r="Z12" i="40" s="1"/>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Q41" i="39"/>
  <c r="Z41" i="39"/>
  <c r="Q42" i="39"/>
  <c r="Z42" i="39" s="1"/>
  <c r="Q43" i="39"/>
  <c r="Q44" i="39"/>
  <c r="Z44" i="39" s="1"/>
  <c r="Q45" i="39"/>
  <c r="Z45" i="39" s="1"/>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s="1"/>
  <c r="Q29" i="39"/>
  <c r="Z29" i="39"/>
  <c r="Q27" i="39"/>
  <c r="Z27" i="39"/>
  <c r="Q25" i="39"/>
  <c r="Z25" i="39" s="1"/>
  <c r="Q23" i="39"/>
  <c r="Z23" i="39"/>
  <c r="Q21" i="39"/>
  <c r="Z21" i="39" s="1"/>
  <c r="Q19" i="39"/>
  <c r="Z19" i="39"/>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c r="B110" i="37"/>
  <c r="H39" i="37" s="1"/>
  <c r="J39" i="37"/>
  <c r="AC39" i="37" s="1"/>
  <c r="B108" i="37"/>
  <c r="C23" i="37"/>
  <c r="C19" i="37"/>
  <c r="C17" i="37"/>
  <c r="C15" i="37"/>
  <c r="B112" i="37"/>
  <c r="D107" i="37"/>
  <c r="E107" i="37"/>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AA28" i="37" s="1"/>
  <c r="B84" i="37"/>
  <c r="H27" i="37" s="1"/>
  <c r="U27" i="37"/>
  <c r="B82" i="37"/>
  <c r="D79" i="37"/>
  <c r="E79" i="37"/>
  <c r="D75" i="37"/>
  <c r="E75" i="37" s="1"/>
  <c r="F75" i="37" s="1"/>
  <c r="G75" i="37" s="1"/>
  <c r="D73" i="37"/>
  <c r="E73" i="37" s="1"/>
  <c r="F73" i="37" s="1"/>
  <c r="G73" i="37" s="1"/>
  <c r="D71" i="37"/>
  <c r="E71" i="37"/>
  <c r="F71" i="37" s="1"/>
  <c r="G71" i="37" s="1"/>
  <c r="F15" i="37"/>
  <c r="AA15" i="37"/>
  <c r="B68" i="37"/>
  <c r="H14" i="37"/>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AB10" i="37" s="1"/>
  <c r="U10" i="37"/>
  <c r="C57" i="37"/>
  <c r="H9" i="37" s="1"/>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Q30" i="37"/>
  <c r="Z30" i="37" s="1"/>
  <c r="J30" i="37"/>
  <c r="W30" i="37" s="1"/>
  <c r="H30" i="37"/>
  <c r="AB30" i="37"/>
  <c r="F30" i="37"/>
  <c r="Q29" i="37"/>
  <c r="Z29" i="37"/>
  <c r="H29" i="37"/>
  <c r="U29" i="37" s="1"/>
  <c r="Q28" i="37"/>
  <c r="Z28" i="37"/>
  <c r="Q27" i="37"/>
  <c r="Z27" i="37" s="1"/>
  <c r="Q26" i="37"/>
  <c r="Z26" i="37" s="1"/>
  <c r="J26" i="37"/>
  <c r="H26" i="37"/>
  <c r="AB26" i="37"/>
  <c r="F26" i="37"/>
  <c r="AA26" i="37" s="1"/>
  <c r="Q25" i="37"/>
  <c r="Z25" i="37"/>
  <c r="J25" i="37"/>
  <c r="W25" i="37" s="1"/>
  <c r="F25" i="37"/>
  <c r="AA25" i="37" s="1"/>
  <c r="Q23" i="37"/>
  <c r="Z23" i="37"/>
  <c r="Q19" i="37"/>
  <c r="Z19" i="37" s="1"/>
  <c r="Q17" i="37"/>
  <c r="Z17" i="37" s="1"/>
  <c r="Q15" i="37"/>
  <c r="Z15" i="37"/>
  <c r="Q14" i="37"/>
  <c r="Z14" i="37"/>
  <c r="Q13" i="37"/>
  <c r="Z13" i="37" s="1"/>
  <c r="Q12" i="37"/>
  <c r="Z12" i="37"/>
  <c r="Q11" i="37"/>
  <c r="Z11" i="37" s="1"/>
  <c r="Q10" i="37"/>
  <c r="Z10" i="37" s="1"/>
  <c r="F10" i="37"/>
  <c r="AA10" i="37"/>
  <c r="Q9" i="37"/>
  <c r="Z9" i="37"/>
  <c r="J8" i="37"/>
  <c r="H8" i="37"/>
  <c r="AB8" i="37"/>
  <c r="F8" i="37"/>
  <c r="C7" i="37"/>
  <c r="J31" i="36"/>
  <c r="W31" i="36" s="1"/>
  <c r="H31" i="36"/>
  <c r="AB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c r="F79" i="36"/>
  <c r="E79" i="36"/>
  <c r="D79" i="36"/>
  <c r="C79" i="36"/>
  <c r="B93" i="36"/>
  <c r="J33" i="36" s="1"/>
  <c r="W33" i="36" s="1"/>
  <c r="B91" i="36"/>
  <c r="B95" i="36"/>
  <c r="H34" i="36"/>
  <c r="D83" i="36"/>
  <c r="E83" i="36"/>
  <c r="F83" i="36" s="1"/>
  <c r="G83" i="36" s="1"/>
  <c r="H83" i="36" s="1"/>
  <c r="I83" i="36" s="1"/>
  <c r="J83" i="36" s="1"/>
  <c r="K83" i="36" s="1"/>
  <c r="L83" i="36" s="1"/>
  <c r="M83" i="36" s="1"/>
  <c r="D78" i="36"/>
  <c r="J26" i="36"/>
  <c r="W26" i="36"/>
  <c r="B75" i="36"/>
  <c r="B73" i="36"/>
  <c r="J24" i="36"/>
  <c r="B71" i="36"/>
  <c r="F23" i="36" s="1"/>
  <c r="AA23" i="36" s="1"/>
  <c r="D70" i="36"/>
  <c r="H22" i="36"/>
  <c r="AB22" i="36"/>
  <c r="D68" i="36"/>
  <c r="E68" i="36" s="1"/>
  <c r="D64" i="36"/>
  <c r="E64" i="36"/>
  <c r="F64" i="36" s="1"/>
  <c r="G64" i="36"/>
  <c r="J16" i="36"/>
  <c r="D62" i="36"/>
  <c r="E62" i="36"/>
  <c r="B59" i="36"/>
  <c r="B57" i="36"/>
  <c r="J12" i="36"/>
  <c r="W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c r="H26" i="36"/>
  <c r="AB26" i="36" s="1"/>
  <c r="Q25" i="36"/>
  <c r="Z25" i="36" s="1"/>
  <c r="Q24" i="36"/>
  <c r="Z24" i="36"/>
  <c r="H24" i="36"/>
  <c r="AB24" i="36"/>
  <c r="Q23" i="36"/>
  <c r="Z23" i="36" s="1"/>
  <c r="J23" i="36"/>
  <c r="AC23" i="36" s="1"/>
  <c r="H23" i="36"/>
  <c r="Q22" i="36"/>
  <c r="Z22" i="36" s="1"/>
  <c r="J22" i="36"/>
  <c r="W22" i="36" s="1"/>
  <c r="AC22" i="36"/>
  <c r="Q20" i="36"/>
  <c r="Z20" i="36" s="1"/>
  <c r="Q16" i="36"/>
  <c r="Z16" i="36"/>
  <c r="Q14" i="36"/>
  <c r="Z14" i="36" s="1"/>
  <c r="Q13" i="36"/>
  <c r="Z13" i="36" s="1"/>
  <c r="Q12" i="36"/>
  <c r="Z12" i="36" s="1"/>
  <c r="H12" i="36"/>
  <c r="U12" i="36"/>
  <c r="Q11" i="36"/>
  <c r="Z11" i="36" s="1"/>
  <c r="Q10" i="36"/>
  <c r="Z10" i="36"/>
  <c r="F10" i="36"/>
  <c r="Q9" i="36"/>
  <c r="Z9" i="36" s="1"/>
  <c r="J9" i="36"/>
  <c r="AC9" i="36"/>
  <c r="H9" i="36"/>
  <c r="U9" i="36" s="1"/>
  <c r="AB9" i="36"/>
  <c r="F9" i="36"/>
  <c r="AA9" i="36" s="1"/>
  <c r="J8" i="36"/>
  <c r="AC8" i="36" s="1"/>
  <c r="H8" i="36"/>
  <c r="U8" i="36"/>
  <c r="F8" i="36"/>
  <c r="AA8" i="36" s="1"/>
  <c r="C7" i="36"/>
  <c r="D89" i="35"/>
  <c r="E89" i="35" s="1"/>
  <c r="H30" i="35"/>
  <c r="U30" i="35"/>
  <c r="M90" i="35"/>
  <c r="L90" i="35"/>
  <c r="K90" i="35"/>
  <c r="J90" i="35"/>
  <c r="I90" i="35"/>
  <c r="H90" i="35"/>
  <c r="G90" i="35"/>
  <c r="F90" i="35"/>
  <c r="E90" i="35"/>
  <c r="D90" i="35"/>
  <c r="C90" i="35"/>
  <c r="F85" i="35"/>
  <c r="E85" i="35"/>
  <c r="D85" i="35"/>
  <c r="C85" i="35"/>
  <c r="J27" i="35"/>
  <c r="H27" i="35"/>
  <c r="F27" i="35"/>
  <c r="AA27" i="35"/>
  <c r="J22" i="35"/>
  <c r="AC22" i="35" s="1"/>
  <c r="B101" i="35"/>
  <c r="B99" i="35"/>
  <c r="B97" i="35"/>
  <c r="B77" i="35"/>
  <c r="B75" i="35"/>
  <c r="J24" i="35"/>
  <c r="AC24" i="35" s="1"/>
  <c r="B73" i="35"/>
  <c r="B57" i="35"/>
  <c r="J11" i="35" s="1"/>
  <c r="AC11" i="35" s="1"/>
  <c r="B61" i="35"/>
  <c r="B59" i="35"/>
  <c r="H12" i="35"/>
  <c r="AB12" i="35" s="1"/>
  <c r="B131" i="34"/>
  <c r="H47" i="34" s="1"/>
  <c r="B129" i="34"/>
  <c r="B127" i="34"/>
  <c r="H45" i="34" s="1"/>
  <c r="U45" i="34" s="1"/>
  <c r="B99" i="34"/>
  <c r="H32" i="34" s="1"/>
  <c r="U32" i="34" s="1"/>
  <c r="B97" i="34"/>
  <c r="B95" i="34"/>
  <c r="H30" i="34" s="1"/>
  <c r="U30" i="34" s="1"/>
  <c r="B93" i="34"/>
  <c r="J29" i="34" s="1"/>
  <c r="B75" i="34"/>
  <c r="B73" i="34"/>
  <c r="B71" i="34"/>
  <c r="J12" i="34" s="1"/>
  <c r="W12" i="34" s="1"/>
  <c r="B130" i="33"/>
  <c r="B128" i="33"/>
  <c r="B126" i="33"/>
  <c r="B98" i="33"/>
  <c r="H31" i="33" s="1"/>
  <c r="AB31" i="33" s="1"/>
  <c r="B96" i="33"/>
  <c r="B94" i="33"/>
  <c r="B74" i="33"/>
  <c r="H14" i="33" s="1"/>
  <c r="B72" i="33"/>
  <c r="B70" i="33"/>
  <c r="D96" i="35"/>
  <c r="E96" i="35"/>
  <c r="F96" i="35" s="1"/>
  <c r="G96" i="35"/>
  <c r="D94" i="35"/>
  <c r="D84" i="35"/>
  <c r="E84" i="35"/>
  <c r="F84" i="35" s="1"/>
  <c r="G84" i="35" s="1"/>
  <c r="H84" i="35" s="1"/>
  <c r="I84" i="35" s="1"/>
  <c r="J84" i="35"/>
  <c r="K84" i="35" s="1"/>
  <c r="L84" i="35" s="1"/>
  <c r="M84" i="35" s="1"/>
  <c r="D80" i="35"/>
  <c r="D72" i="35"/>
  <c r="D70" i="35"/>
  <c r="E70" i="35" s="1"/>
  <c r="F70" i="35" s="1"/>
  <c r="G70" i="35" s="1"/>
  <c r="D66" i="35"/>
  <c r="E66" i="35" s="1"/>
  <c r="F66" i="35"/>
  <c r="G66" i="35"/>
  <c r="D64" i="35"/>
  <c r="E64" i="35" s="1"/>
  <c r="F64" i="35" s="1"/>
  <c r="G64" i="35" s="1"/>
  <c r="F56" i="35"/>
  <c r="G56" i="35"/>
  <c r="H56" i="35"/>
  <c r="I56" i="35" s="1"/>
  <c r="C53" i="35"/>
  <c r="H9" i="35" s="1"/>
  <c r="P39" i="35"/>
  <c r="P38" i="35"/>
  <c r="V37" i="35"/>
  <c r="T37" i="35"/>
  <c r="R37" i="35"/>
  <c r="P37" i="35"/>
  <c r="Q36" i="35"/>
  <c r="Z36" i="35"/>
  <c r="Q35" i="35"/>
  <c r="Z35" i="35" s="1"/>
  <c r="Q34" i="35"/>
  <c r="Z34" i="35" s="1"/>
  <c r="F34" i="35"/>
  <c r="AA34" i="35" s="1"/>
  <c r="Q33" i="35"/>
  <c r="Z33" i="35"/>
  <c r="Q32" i="35"/>
  <c r="Z32" i="35"/>
  <c r="H32" i="35"/>
  <c r="AB32" i="35" s="1"/>
  <c r="F32" i="35"/>
  <c r="AA32" i="35"/>
  <c r="Q31" i="35"/>
  <c r="Z31" i="35"/>
  <c r="AC31" i="35"/>
  <c r="AB31" i="35"/>
  <c r="AA31" i="35"/>
  <c r="Q30" i="35"/>
  <c r="Z30" i="35"/>
  <c r="Q29" i="35"/>
  <c r="Z29" i="35"/>
  <c r="Q28" i="35"/>
  <c r="Z28" i="35" s="1"/>
  <c r="J28" i="35"/>
  <c r="H28" i="35"/>
  <c r="F28" i="35"/>
  <c r="AA28" i="35"/>
  <c r="Q27" i="35"/>
  <c r="Z27" i="35" s="1"/>
  <c r="Q26" i="35"/>
  <c r="Z26" i="35" s="1"/>
  <c r="Q25" i="35"/>
  <c r="Z25" i="35" s="1"/>
  <c r="Q24" i="35"/>
  <c r="Z24" i="35" s="1"/>
  <c r="Q23" i="35"/>
  <c r="Z23" i="35"/>
  <c r="J23" i="35"/>
  <c r="AC23" i="35"/>
  <c r="Q22" i="35"/>
  <c r="Z22" i="35" s="1"/>
  <c r="Q20" i="35"/>
  <c r="Z20" i="35" s="1"/>
  <c r="Q16" i="35"/>
  <c r="Z16" i="35" s="1"/>
  <c r="Q14" i="35"/>
  <c r="Z14" i="35" s="1"/>
  <c r="Q13" i="35"/>
  <c r="Z13" i="35" s="1"/>
  <c r="Q12" i="35"/>
  <c r="Z12" i="35"/>
  <c r="J12" i="35"/>
  <c r="W12" i="35" s="1"/>
  <c r="F12" i="35"/>
  <c r="AA12" i="35"/>
  <c r="Q11" i="35"/>
  <c r="Z11" i="35"/>
  <c r="Q10" i="35"/>
  <c r="Z10" i="35" s="1"/>
  <c r="Q9" i="35"/>
  <c r="Z9" i="35"/>
  <c r="F9" i="35"/>
  <c r="J8" i="35"/>
  <c r="W8" i="35" s="1"/>
  <c r="H8" i="35"/>
  <c r="F8" i="35"/>
  <c r="AA8" i="35"/>
  <c r="C7" i="35"/>
  <c r="D120" i="34"/>
  <c r="E120" i="34"/>
  <c r="F120" i="34" s="1"/>
  <c r="G120" i="34"/>
  <c r="H120" i="34" s="1"/>
  <c r="I120" i="34" s="1"/>
  <c r="J120" i="34" s="1"/>
  <c r="K120" i="34" s="1"/>
  <c r="L120" i="34"/>
  <c r="M120" i="34" s="1"/>
  <c r="D90" i="34"/>
  <c r="E90" i="34" s="1"/>
  <c r="F90" i="34" s="1"/>
  <c r="C15" i="34"/>
  <c r="F67" i="34"/>
  <c r="G67" i="34"/>
  <c r="H67" i="34" s="1"/>
  <c r="I67" i="34" s="1"/>
  <c r="H10" i="34"/>
  <c r="AB10" i="34"/>
  <c r="D126" i="34"/>
  <c r="E126" i="34"/>
  <c r="F126" i="34"/>
  <c r="G126" i="34" s="1"/>
  <c r="D124" i="34"/>
  <c r="E124" i="34"/>
  <c r="F124" i="34" s="1"/>
  <c r="G124" i="34"/>
  <c r="H124" i="34" s="1"/>
  <c r="I124" i="34" s="1"/>
  <c r="J124" i="34" s="1"/>
  <c r="K124" i="34" s="1"/>
  <c r="L124" i="34" s="1"/>
  <c r="M124" i="34" s="1"/>
  <c r="J43" i="34"/>
  <c r="D118" i="34"/>
  <c r="E118" i="34"/>
  <c r="F118" i="34" s="1"/>
  <c r="G118" i="34" s="1"/>
  <c r="H40" i="34"/>
  <c r="AB40" i="34" s="1"/>
  <c r="U40" i="34"/>
  <c r="D116" i="34"/>
  <c r="E116" i="34"/>
  <c r="F116" i="34"/>
  <c r="G116" i="34" s="1"/>
  <c r="H116" i="34" s="1"/>
  <c r="I116" i="34"/>
  <c r="J116" i="34" s="1"/>
  <c r="K116" i="34" s="1"/>
  <c r="L116" i="34" s="1"/>
  <c r="M116" i="34" s="1"/>
  <c r="F110" i="34"/>
  <c r="E110" i="34"/>
  <c r="D110" i="34"/>
  <c r="C110" i="34"/>
  <c r="D109" i="34"/>
  <c r="E109" i="34" s="1"/>
  <c r="F109" i="34" s="1"/>
  <c r="G109" i="34"/>
  <c r="H109" i="34" s="1"/>
  <c r="I109" i="34"/>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c r="G102" i="34" s="1"/>
  <c r="H102" i="34" s="1"/>
  <c r="I102" i="34"/>
  <c r="J102" i="34" s="1"/>
  <c r="K102" i="34"/>
  <c r="L102" i="34" s="1"/>
  <c r="M102" i="34" s="1"/>
  <c r="H33" i="34"/>
  <c r="U33" i="34" s="1"/>
  <c r="D92" i="34"/>
  <c r="E92" i="34"/>
  <c r="F92" i="34"/>
  <c r="G92" i="34"/>
  <c r="H92" i="34" s="1"/>
  <c r="I92" i="34" s="1"/>
  <c r="J92" i="34" s="1"/>
  <c r="K92" i="34" s="1"/>
  <c r="L92" i="34" s="1"/>
  <c r="M92" i="34" s="1"/>
  <c r="B91" i="34"/>
  <c r="J28" i="34" s="1"/>
  <c r="W28" i="34" s="1"/>
  <c r="F28" i="34"/>
  <c r="B89" i="34"/>
  <c r="J27" i="34"/>
  <c r="D88" i="34"/>
  <c r="E88" i="34"/>
  <c r="F88" i="34"/>
  <c r="G88" i="34" s="1"/>
  <c r="H88" i="34"/>
  <c r="I88" i="34" s="1"/>
  <c r="J88" i="34" s="1"/>
  <c r="K88" i="34" s="1"/>
  <c r="L88" i="34" s="1"/>
  <c r="M88" i="34" s="1"/>
  <c r="D86" i="34"/>
  <c r="E86" i="34"/>
  <c r="F86" i="34" s="1"/>
  <c r="G86" i="34" s="1"/>
  <c r="D82" i="34"/>
  <c r="E82" i="34"/>
  <c r="F82" i="34"/>
  <c r="G82" i="34" s="1"/>
  <c r="D80" i="34"/>
  <c r="D78" i="34"/>
  <c r="D70" i="34"/>
  <c r="E70" i="34" s="1"/>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c r="Q43" i="34"/>
  <c r="Z43" i="34" s="1"/>
  <c r="F43" i="34"/>
  <c r="AA43" i="34" s="1"/>
  <c r="Q42" i="34"/>
  <c r="Z42" i="34"/>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c r="Q33" i="34"/>
  <c r="Z33" i="34"/>
  <c r="Q32" i="34"/>
  <c r="Z32" i="34" s="1"/>
  <c r="Q31" i="34"/>
  <c r="Z31" i="34"/>
  <c r="Q30" i="34"/>
  <c r="Z30" i="34"/>
  <c r="Q29" i="34"/>
  <c r="Z29" i="34" s="1"/>
  <c r="Q28" i="34"/>
  <c r="Z28" i="34"/>
  <c r="Q27" i="34"/>
  <c r="Z27" i="34"/>
  <c r="Q25" i="34"/>
  <c r="Z25" i="34" s="1"/>
  <c r="Q23" i="34"/>
  <c r="Z23" i="34" s="1"/>
  <c r="C23" i="34"/>
  <c r="Q19" i="34"/>
  <c r="Z19" i="34"/>
  <c r="C19" i="34"/>
  <c r="Q17" i="34"/>
  <c r="Z17" i="34" s="1"/>
  <c r="C17" i="34"/>
  <c r="Q15" i="34"/>
  <c r="Z15" i="34" s="1"/>
  <c r="Q14" i="34"/>
  <c r="Z14" i="34"/>
  <c r="Q13" i="34"/>
  <c r="Z13" i="34"/>
  <c r="Q12" i="34"/>
  <c r="Z12" i="34" s="1"/>
  <c r="Q11" i="34"/>
  <c r="Z11" i="34"/>
  <c r="Q10" i="34"/>
  <c r="Z10" i="34"/>
  <c r="F10" i="34"/>
  <c r="AA10" i="34" s="1"/>
  <c r="Q9" i="34"/>
  <c r="Z9" i="34"/>
  <c r="J9" i="34"/>
  <c r="AC9" i="34"/>
  <c r="H9" i="34"/>
  <c r="AB9" i="34" s="1"/>
  <c r="F9" i="34"/>
  <c r="AA9" i="34"/>
  <c r="J8" i="34"/>
  <c r="AC8" i="34"/>
  <c r="H8" i="34"/>
  <c r="U8" i="34" s="1"/>
  <c r="F8" i="34"/>
  <c r="AA8" i="34"/>
  <c r="C7" i="34"/>
  <c r="C59" i="34"/>
  <c r="D121" i="33"/>
  <c r="E121" i="33" s="1"/>
  <c r="F121" i="33" s="1"/>
  <c r="G121" i="33" s="1"/>
  <c r="H121" i="33" s="1"/>
  <c r="I121" i="33" s="1"/>
  <c r="J121" i="33" s="1"/>
  <c r="K121" i="33" s="1"/>
  <c r="F109" i="33"/>
  <c r="E109" i="33"/>
  <c r="D109" i="33"/>
  <c r="C109" i="33"/>
  <c r="D91" i="33"/>
  <c r="E91" i="33"/>
  <c r="F91" i="33" s="1"/>
  <c r="G91" i="33" s="1"/>
  <c r="H91" i="33" s="1"/>
  <c r="I91" i="33" s="1"/>
  <c r="J91" i="33" s="1"/>
  <c r="K91" i="33"/>
  <c r="L91" i="33" s="1"/>
  <c r="M91" i="33" s="1"/>
  <c r="B88" i="33"/>
  <c r="J26" i="33" s="1"/>
  <c r="AC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c r="F108" i="33" s="1"/>
  <c r="G108" i="33" s="1"/>
  <c r="H108" i="33"/>
  <c r="I108" i="33" s="1"/>
  <c r="J108" i="33" s="1"/>
  <c r="K108" i="33" s="1"/>
  <c r="L108" i="33"/>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2" i="33"/>
  <c r="F28" i="33" s="1"/>
  <c r="B90" i="33"/>
  <c r="H27" i="33"/>
  <c r="U27" i="33" s="1"/>
  <c r="D87" i="33"/>
  <c r="E87" i="33" s="1"/>
  <c r="F87" i="33" s="1"/>
  <c r="D85" i="33"/>
  <c r="E85" i="33"/>
  <c r="F85" i="33" s="1"/>
  <c r="G85" i="33" s="1"/>
  <c r="D81" i="33"/>
  <c r="E81" i="33" s="1"/>
  <c r="F81" i="33"/>
  <c r="G81" i="33"/>
  <c r="D79" i="33"/>
  <c r="E79" i="33"/>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F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Q39" i="33"/>
  <c r="Z39" i="33"/>
  <c r="J39" i="33"/>
  <c r="W39" i="33" s="1"/>
  <c r="AC39" i="33"/>
  <c r="Q38" i="33"/>
  <c r="Z38" i="33" s="1"/>
  <c r="J38" i="33"/>
  <c r="AC38" i="33"/>
  <c r="H38" i="33"/>
  <c r="U38" i="33" s="1"/>
  <c r="AB38" i="33"/>
  <c r="F38" i="33"/>
  <c r="Q37" i="33"/>
  <c r="Z37" i="33"/>
  <c r="Q36" i="33"/>
  <c r="Z36" i="33"/>
  <c r="Q35" i="33"/>
  <c r="Z35" i="33" s="1"/>
  <c r="H35" i="33"/>
  <c r="AB35" i="33"/>
  <c r="Q34" i="33"/>
  <c r="Z34" i="33"/>
  <c r="Q33" i="33"/>
  <c r="Z33" i="33" s="1"/>
  <c r="J33" i="33"/>
  <c r="AC33" i="33"/>
  <c r="H33" i="33"/>
  <c r="AB33" i="33" s="1"/>
  <c r="F33" i="33"/>
  <c r="AA33" i="33" s="1"/>
  <c r="Q32" i="33"/>
  <c r="Z32" i="33"/>
  <c r="Q31" i="33"/>
  <c r="Z31" i="33"/>
  <c r="Q30" i="33"/>
  <c r="Z30" i="33" s="1"/>
  <c r="Q29" i="33"/>
  <c r="Z29" i="33"/>
  <c r="Q28" i="33"/>
  <c r="Z28" i="33"/>
  <c r="Q27" i="33"/>
  <c r="Z27" i="33" s="1"/>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c r="J9" i="33"/>
  <c r="H9" i="33"/>
  <c r="AB9" i="33"/>
  <c r="AA9" i="33"/>
  <c r="J8" i="33"/>
  <c r="W8" i="33"/>
  <c r="H8" i="33"/>
  <c r="F8" i="33"/>
  <c r="C7" i="33"/>
  <c r="C58" i="33"/>
  <c r="M102" i="21"/>
  <c r="D102" i="21"/>
  <c r="E102" i="21"/>
  <c r="F102" i="21"/>
  <c r="G102" i="21"/>
  <c r="H102" i="21"/>
  <c r="I102" i="21"/>
  <c r="J102" i="21"/>
  <c r="K102" i="21"/>
  <c r="L102" i="21"/>
  <c r="C102" i="21"/>
  <c r="C63" i="21"/>
  <c r="G18" i="20"/>
  <c r="B87" i="46" s="1"/>
  <c r="C25" i="40"/>
  <c r="G16" i="20"/>
  <c r="B81" i="46" s="1"/>
  <c r="G15" i="20"/>
  <c r="B80" i="46"/>
  <c r="C24" i="20"/>
  <c r="B72" i="46"/>
  <c r="C21" i="20"/>
  <c r="B73" i="46" s="1"/>
  <c r="C20" i="20"/>
  <c r="B76" i="46" s="1"/>
  <c r="C18" i="20"/>
  <c r="C23" i="39" s="1"/>
  <c r="B70" i="46"/>
  <c r="C17" i="20"/>
  <c r="B58" i="46"/>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D85" i="21"/>
  <c r="E85" i="21" s="1"/>
  <c r="D81" i="21"/>
  <c r="E81" i="21" s="1"/>
  <c r="D77" i="21"/>
  <c r="E77" i="21" s="1"/>
  <c r="B130" i="21"/>
  <c r="F46" i="21" s="1"/>
  <c r="AA46" i="21" s="1"/>
  <c r="B128" i="21"/>
  <c r="J45" i="21" s="1"/>
  <c r="W45" i="21" s="1"/>
  <c r="B126" i="21"/>
  <c r="B98" i="21"/>
  <c r="B96" i="21"/>
  <c r="F30" i="21" s="1"/>
  <c r="S30" i="21" s="1"/>
  <c r="B94" i="21"/>
  <c r="J29" i="21" s="1"/>
  <c r="AC29" i="21" s="1"/>
  <c r="B92" i="21"/>
  <c r="B90" i="21"/>
  <c r="H27" i="21" s="1"/>
  <c r="B74" i="21"/>
  <c r="F14" i="21" s="1"/>
  <c r="B72" i="21"/>
  <c r="B70" i="21"/>
  <c r="H12" i="21" s="1"/>
  <c r="U12" i="21" s="1"/>
  <c r="F12" i="21"/>
  <c r="AA12" i="21" s="1"/>
  <c r="F10" i="21"/>
  <c r="AA10" i="21" s="1"/>
  <c r="C7" i="21"/>
  <c r="C58"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c r="J38" i="21"/>
  <c r="W38" i="21" s="1"/>
  <c r="Q38" i="21"/>
  <c r="Z38" i="21" s="1"/>
  <c r="J39" i="21"/>
  <c r="AC39" i="21" s="1"/>
  <c r="Q39" i="21"/>
  <c r="Z39" i="21"/>
  <c r="Q40" i="21"/>
  <c r="Z40" i="21" s="1"/>
  <c r="Q41" i="21"/>
  <c r="Z41" i="21" s="1"/>
  <c r="Q42" i="21"/>
  <c r="Z42" i="21"/>
  <c r="J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A570" i="3" s="1"/>
  <c r="AZ570" i="3" s="1"/>
  <c r="BJ570" i="3"/>
  <c r="BK570" i="3"/>
  <c r="BM570" i="3"/>
  <c r="BN570" i="3"/>
  <c r="BO570" i="3"/>
  <c r="BP570" i="3"/>
  <c r="BL570" i="3" s="1"/>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U36" i="21" s="1"/>
  <c r="F35" i="21"/>
  <c r="AA35" i="21" s="1"/>
  <c r="J10" i="21"/>
  <c r="AC10" i="21" s="1"/>
  <c r="H26" i="21"/>
  <c r="AB26" i="21" s="1"/>
  <c r="J12" i="21"/>
  <c r="AC12" i="21" s="1"/>
  <c r="J26" i="21"/>
  <c r="W26" i="21" s="1"/>
  <c r="F26" i="21"/>
  <c r="AA26" i="21" s="1"/>
  <c r="AB41" i="21"/>
  <c r="S41" i="21"/>
  <c r="AA41" i="21"/>
  <c r="S10" i="39"/>
  <c r="U30" i="37"/>
  <c r="E103" i="37"/>
  <c r="F103" i="37"/>
  <c r="F39" i="37"/>
  <c r="W39" i="37"/>
  <c r="F29" i="36"/>
  <c r="AA29" i="36"/>
  <c r="F16" i="36"/>
  <c r="AA16" i="36"/>
  <c r="U22" i="36"/>
  <c r="W23" i="36"/>
  <c r="U26" i="36"/>
  <c r="W24" i="35"/>
  <c r="S31" i="35"/>
  <c r="W31" i="35"/>
  <c r="F36" i="34"/>
  <c r="S36" i="34"/>
  <c r="W9" i="34"/>
  <c r="S34" i="34"/>
  <c r="W39" i="34"/>
  <c r="H39" i="33"/>
  <c r="AB39" i="33"/>
  <c r="F26" i="33"/>
  <c r="U9" i="33"/>
  <c r="U33" i="33"/>
  <c r="W38" i="33"/>
  <c r="S40" i="33"/>
  <c r="S33" i="33"/>
  <c r="W33" i="33"/>
  <c r="W8" i="21"/>
  <c r="AB39" i="37"/>
  <c r="S10" i="40"/>
  <c r="W10" i="40"/>
  <c r="S11" i="40"/>
  <c r="U11" i="40"/>
  <c r="S36" i="40"/>
  <c r="U36" i="40"/>
  <c r="S36" i="39"/>
  <c r="AC35" i="21"/>
  <c r="U36" i="39"/>
  <c r="S42" i="39"/>
  <c r="H32" i="33"/>
  <c r="AB32" i="33"/>
  <c r="F100" i="40"/>
  <c r="G100" i="40" s="1"/>
  <c r="H100" i="40" s="1"/>
  <c r="I100" i="40" s="1"/>
  <c r="J27" i="36"/>
  <c r="W27" i="36"/>
  <c r="J34" i="36"/>
  <c r="W34" i="36"/>
  <c r="J30" i="35"/>
  <c r="W30" i="35"/>
  <c r="F22" i="35"/>
  <c r="S22" i="35" s="1"/>
  <c r="AA22" i="35"/>
  <c r="H10" i="35"/>
  <c r="U10" i="35"/>
  <c r="U29" i="36"/>
  <c r="U24" i="36"/>
  <c r="E85" i="36"/>
  <c r="F85" i="36"/>
  <c r="G85" i="36" s="1"/>
  <c r="H85" i="36" s="1"/>
  <c r="I85" i="36" s="1"/>
  <c r="J85" i="36" s="1"/>
  <c r="K85" i="36" s="1"/>
  <c r="L85" i="36" s="1"/>
  <c r="M85" i="36"/>
  <c r="J29" i="36"/>
  <c r="AC29" i="36"/>
  <c r="F12" i="36"/>
  <c r="S12" i="36"/>
  <c r="F24" i="36"/>
  <c r="AA24" i="36"/>
  <c r="F34" i="36"/>
  <c r="S34" i="36"/>
  <c r="AB8" i="36"/>
  <c r="H16" i="35"/>
  <c r="AB16" i="35" s="1"/>
  <c r="U16" i="35"/>
  <c r="H33" i="35"/>
  <c r="AB33" i="35"/>
  <c r="AC8" i="35"/>
  <c r="F35" i="37"/>
  <c r="AA35" i="37" s="1"/>
  <c r="K101" i="37"/>
  <c r="L101" i="37" s="1"/>
  <c r="M101" i="37" s="1"/>
  <c r="J34" i="37"/>
  <c r="W34" i="37"/>
  <c r="H43" i="34"/>
  <c r="E114" i="34"/>
  <c r="F114" i="34" s="1"/>
  <c r="H36" i="34"/>
  <c r="U36" i="34" s="1"/>
  <c r="F37" i="34"/>
  <c r="S37" i="34" s="1"/>
  <c r="AA37" i="34"/>
  <c r="F33" i="34"/>
  <c r="S33" i="34"/>
  <c r="F19" i="34"/>
  <c r="AA19" i="34"/>
  <c r="J10" i="34"/>
  <c r="AC10" i="34" s="1"/>
  <c r="W8" i="34"/>
  <c r="F36" i="33"/>
  <c r="F19" i="33"/>
  <c r="S19" i="33"/>
  <c r="J19" i="33"/>
  <c r="G86" i="40"/>
  <c r="AB30" i="36"/>
  <c r="AC34" i="36"/>
  <c r="H29" i="35"/>
  <c r="S34" i="37"/>
  <c r="AA34" i="37"/>
  <c r="AC43" i="34"/>
  <c r="AB42" i="34"/>
  <c r="J19" i="34"/>
  <c r="AC19" i="34" s="1"/>
  <c r="H37" i="33"/>
  <c r="W43" i="34"/>
  <c r="AC42" i="34"/>
  <c r="W42" i="34"/>
  <c r="W38" i="34"/>
  <c r="AA38" i="34"/>
  <c r="S38" i="34"/>
  <c r="J37" i="33"/>
  <c r="W37" i="33" s="1"/>
  <c r="J44" i="34"/>
  <c r="AC44" i="34"/>
  <c r="F44" i="34"/>
  <c r="J10" i="35"/>
  <c r="W10" i="35" s="1"/>
  <c r="AL5" i="3"/>
  <c r="BQ13" i="3"/>
  <c r="BL572" i="3"/>
  <c r="J28" i="21"/>
  <c r="AC28" i="21" s="1"/>
  <c r="H30" i="21"/>
  <c r="U30" i="21" s="1"/>
  <c r="J30" i="21"/>
  <c r="H46" i="21"/>
  <c r="AB46" i="21" s="1"/>
  <c r="J46" i="21"/>
  <c r="W46" i="21" s="1"/>
  <c r="H26" i="33"/>
  <c r="U26" i="33" s="1"/>
  <c r="F33" i="35"/>
  <c r="S33" i="35"/>
  <c r="J33" i="35"/>
  <c r="W33" i="35" s="1"/>
  <c r="F30" i="35"/>
  <c r="AA30" i="35" s="1"/>
  <c r="F89" i="35"/>
  <c r="G89" i="35"/>
  <c r="H89" i="35"/>
  <c r="I89" i="35" s="1"/>
  <c r="J89" i="35" s="1"/>
  <c r="K89" i="35" s="1"/>
  <c r="L89" i="35" s="1"/>
  <c r="M89" i="35" s="1"/>
  <c r="H10" i="36"/>
  <c r="AB10" i="36"/>
  <c r="F28" i="36"/>
  <c r="S28" i="36" s="1"/>
  <c r="F27" i="36"/>
  <c r="S27" i="36" s="1"/>
  <c r="H13" i="21"/>
  <c r="U13" i="21" s="1"/>
  <c r="J13" i="21"/>
  <c r="AC13" i="21" s="1"/>
  <c r="F13" i="21"/>
  <c r="AA13" i="21" s="1"/>
  <c r="AB27" i="21"/>
  <c r="J27" i="21"/>
  <c r="W27" i="21" s="1"/>
  <c r="F27" i="21"/>
  <c r="AA27" i="21" s="1"/>
  <c r="H29" i="21"/>
  <c r="U29" i="21" s="1"/>
  <c r="F29" i="21"/>
  <c r="S29" i="21" s="1"/>
  <c r="J31" i="21"/>
  <c r="AC31" i="21" s="1"/>
  <c r="H31" i="21"/>
  <c r="U31" i="21" s="1"/>
  <c r="F31" i="21"/>
  <c r="S31" i="21" s="1"/>
  <c r="F45" i="21"/>
  <c r="AA45" i="21" s="1"/>
  <c r="H45" i="21"/>
  <c r="U45" i="21" s="1"/>
  <c r="J27" i="33"/>
  <c r="AC27" i="33"/>
  <c r="F27" i="33"/>
  <c r="S27" i="33" s="1"/>
  <c r="F13" i="33"/>
  <c r="J29" i="33"/>
  <c r="W29" i="33"/>
  <c r="H28" i="36"/>
  <c r="U28" i="36" s="1"/>
  <c r="J11" i="36"/>
  <c r="W11" i="36"/>
  <c r="H13" i="36"/>
  <c r="AB13" i="36" s="1"/>
  <c r="J13" i="36"/>
  <c r="F13" i="36"/>
  <c r="S13" i="36" s="1"/>
  <c r="E89" i="37"/>
  <c r="F89" i="37" s="1"/>
  <c r="G89" i="37"/>
  <c r="H89" i="37"/>
  <c r="I89" i="37" s="1"/>
  <c r="J89" i="37" s="1"/>
  <c r="K89" i="37" s="1"/>
  <c r="L89" i="37" s="1"/>
  <c r="M89" i="37" s="1"/>
  <c r="J29" i="37"/>
  <c r="AC29" i="37" s="1"/>
  <c r="W29" i="37"/>
  <c r="F29" i="37"/>
  <c r="AA29" i="37"/>
  <c r="AB36" i="37"/>
  <c r="F107" i="37"/>
  <c r="J37" i="37"/>
  <c r="AC37" i="37"/>
  <c r="H37" i="37"/>
  <c r="H40" i="37"/>
  <c r="J40" i="37"/>
  <c r="F40" i="37"/>
  <c r="AA40" i="37"/>
  <c r="U14" i="33"/>
  <c r="F14" i="33"/>
  <c r="AA14" i="33" s="1"/>
  <c r="J14" i="33"/>
  <c r="AC14" i="33" s="1"/>
  <c r="F30" i="33"/>
  <c r="AA30" i="33" s="1"/>
  <c r="H44" i="33"/>
  <c r="J44" i="33"/>
  <c r="F44" i="33"/>
  <c r="S44" i="33"/>
  <c r="J46" i="33"/>
  <c r="AC46" i="33"/>
  <c r="F46" i="33"/>
  <c r="H46" i="33"/>
  <c r="AB46" i="33"/>
  <c r="J13" i="34"/>
  <c r="W13" i="34" s="1"/>
  <c r="AC29" i="34"/>
  <c r="F29" i="34"/>
  <c r="H29" i="34"/>
  <c r="U29" i="34" s="1"/>
  <c r="J31" i="34"/>
  <c r="AC31" i="34"/>
  <c r="H31" i="34"/>
  <c r="U31" i="34" s="1"/>
  <c r="AB31" i="34"/>
  <c r="F31" i="34"/>
  <c r="S31" i="34" s="1"/>
  <c r="J45" i="34"/>
  <c r="W45" i="34"/>
  <c r="F45" i="34"/>
  <c r="S45" i="34" s="1"/>
  <c r="AA45" i="34"/>
  <c r="U47" i="34"/>
  <c r="F47" i="34"/>
  <c r="AA47" i="34"/>
  <c r="J47" i="34"/>
  <c r="AC47" i="34" s="1"/>
  <c r="H13" i="35"/>
  <c r="J35" i="35"/>
  <c r="AC35" i="35"/>
  <c r="F35" i="35"/>
  <c r="H35" i="35"/>
  <c r="U35" i="35"/>
  <c r="F25" i="36"/>
  <c r="AA25" i="36"/>
  <c r="H13" i="37"/>
  <c r="AB13" i="37"/>
  <c r="F13" i="37"/>
  <c r="S13" i="37" s="1"/>
  <c r="J13" i="37"/>
  <c r="AC13" i="37"/>
  <c r="H38" i="37"/>
  <c r="AB38" i="37"/>
  <c r="J38" i="37"/>
  <c r="AC38" i="37"/>
  <c r="F38" i="37"/>
  <c r="S38" i="37" s="1"/>
  <c r="F14" i="37"/>
  <c r="AA14" i="37"/>
  <c r="F27" i="37"/>
  <c r="J14" i="37"/>
  <c r="W14" i="37" s="1"/>
  <c r="J27" i="37"/>
  <c r="W27" i="37"/>
  <c r="W35" i="35"/>
  <c r="W46" i="33"/>
  <c r="J36" i="37"/>
  <c r="AC36" i="37" s="1"/>
  <c r="G105" i="37"/>
  <c r="AB28" i="36"/>
  <c r="AB31" i="21"/>
  <c r="AB13" i="21"/>
  <c r="S46" i="21"/>
  <c r="AB30" i="21"/>
  <c r="W31" i="34"/>
  <c r="U36" i="37"/>
  <c r="AA27" i="33"/>
  <c r="AB27" i="33"/>
  <c r="G529" i="3"/>
  <c r="G508" i="3"/>
  <c r="G493" i="3"/>
  <c r="G485" i="3"/>
  <c r="G565" i="3"/>
  <c r="G561" i="3"/>
  <c r="G557" i="3"/>
  <c r="BL569" i="3"/>
  <c r="BL527" i="3"/>
  <c r="BL511" i="3"/>
  <c r="BL551" i="3"/>
  <c r="BL525" i="3"/>
  <c r="G518" i="3"/>
  <c r="BA565" i="3"/>
  <c r="BA561" i="3"/>
  <c r="BA551" i="3"/>
  <c r="AZ551" i="3"/>
  <c r="BA487" i="3"/>
  <c r="BA19" i="3"/>
  <c r="AZ19" i="3" s="1"/>
  <c r="BA550" i="3"/>
  <c r="AZ550" i="3"/>
  <c r="BA540" i="3"/>
  <c r="AZ540" i="3" s="1"/>
  <c r="BA528" i="3"/>
  <c r="BA508" i="3"/>
  <c r="BA488" i="3"/>
  <c r="AZ488" i="3" s="1"/>
  <c r="BA484" i="3"/>
  <c r="BA20" i="3"/>
  <c r="G560" i="3"/>
  <c r="G556" i="3"/>
  <c r="G550" i="3"/>
  <c r="G546" i="3"/>
  <c r="BA542" i="3"/>
  <c r="AZ542" i="3" s="1"/>
  <c r="AC542" i="3"/>
  <c r="G542" i="3"/>
  <c r="BQ542" i="3"/>
  <c r="BQ568" i="3"/>
  <c r="BQ566" i="3"/>
  <c r="BQ564" i="3"/>
  <c r="BQ562" i="3"/>
  <c r="BQ560" i="3"/>
  <c r="BL560" i="3"/>
  <c r="BQ558" i="3"/>
  <c r="BQ556" i="3"/>
  <c r="BQ554" i="3"/>
  <c r="BQ552" i="3"/>
  <c r="BQ550" i="3"/>
  <c r="BL550" i="3"/>
  <c r="BQ548" i="3"/>
  <c r="BQ546" i="3"/>
  <c r="BL546" i="3" s="1"/>
  <c r="BQ544" i="3"/>
  <c r="G544" i="3"/>
  <c r="G538" i="3"/>
  <c r="G534" i="3"/>
  <c r="G526" i="3"/>
  <c r="G522" i="3"/>
  <c r="BQ540" i="3"/>
  <c r="BQ538" i="3"/>
  <c r="BQ536" i="3"/>
  <c r="BQ534" i="3"/>
  <c r="BQ532" i="3"/>
  <c r="BL532" i="3"/>
  <c r="BQ530" i="3"/>
  <c r="BQ528" i="3"/>
  <c r="BQ526" i="3"/>
  <c r="BQ524" i="3"/>
  <c r="BQ522" i="3"/>
  <c r="BQ520" i="3"/>
  <c r="BQ518" i="3"/>
  <c r="BQ516" i="3"/>
  <c r="BL516" i="3" s="1"/>
  <c r="BQ514" i="3"/>
  <c r="BQ512" i="3"/>
  <c r="BQ510" i="3"/>
  <c r="BQ508" i="3"/>
  <c r="BL508" i="3"/>
  <c r="AC506" i="3"/>
  <c r="BQ506" i="3"/>
  <c r="G498" i="3"/>
  <c r="BQ504" i="3"/>
  <c r="BQ502" i="3"/>
  <c r="BQ500" i="3"/>
  <c r="BQ498" i="3"/>
  <c r="BQ496" i="3"/>
  <c r="AC494" i="3"/>
  <c r="BQ494" i="3"/>
  <c r="G488" i="3"/>
  <c r="G484" i="3"/>
  <c r="G20" i="3"/>
  <c r="BQ492" i="3"/>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c r="H43" i="33"/>
  <c r="AB43" i="33" s="1"/>
  <c r="U43" i="33"/>
  <c r="H17" i="37"/>
  <c r="U17" i="37"/>
  <c r="F23" i="37"/>
  <c r="S23" i="37"/>
  <c r="F79" i="37"/>
  <c r="AB27" i="37"/>
  <c r="F39" i="33"/>
  <c r="AA39" i="33"/>
  <c r="E123" i="33"/>
  <c r="F42" i="33"/>
  <c r="F22" i="36"/>
  <c r="S22" i="36" s="1"/>
  <c r="H35" i="34"/>
  <c r="U35" i="34"/>
  <c r="F41" i="34"/>
  <c r="H41" i="34"/>
  <c r="U41" i="34" s="1"/>
  <c r="J41" i="34"/>
  <c r="AC41" i="34" s="1"/>
  <c r="W41" i="34"/>
  <c r="F10" i="35"/>
  <c r="S10" i="35" s="1"/>
  <c r="AA10" i="35"/>
  <c r="F24" i="35"/>
  <c r="AA24" i="35" s="1"/>
  <c r="H24" i="35"/>
  <c r="AB24" i="35"/>
  <c r="H23" i="37"/>
  <c r="AB23" i="37"/>
  <c r="J32" i="37"/>
  <c r="F36" i="37"/>
  <c r="F37" i="37"/>
  <c r="AA37" i="37"/>
  <c r="U23" i="37"/>
  <c r="F123" i="33"/>
  <c r="G123" i="33"/>
  <c r="H123" i="33" s="1"/>
  <c r="I123" i="33" s="1"/>
  <c r="J123" i="33" s="1"/>
  <c r="K123" i="33" s="1"/>
  <c r="L123" i="33" s="1"/>
  <c r="M123" i="33" s="1"/>
  <c r="H42" i="33"/>
  <c r="U42" i="33" s="1"/>
  <c r="J43" i="33"/>
  <c r="AC43" i="33" s="1"/>
  <c r="G79" i="37"/>
  <c r="J23" i="37"/>
  <c r="W23" i="37"/>
  <c r="F17" i="37"/>
  <c r="AA17" i="37" s="1"/>
  <c r="D3" i="21"/>
  <c r="AC33" i="36"/>
  <c r="AC12" i="35"/>
  <c r="W23" i="35"/>
  <c r="AC23" i="37"/>
  <c r="U39" i="37"/>
  <c r="AC36" i="34"/>
  <c r="AB8" i="34"/>
  <c r="AC37" i="33"/>
  <c r="S39" i="33"/>
  <c r="F43" i="33"/>
  <c r="AA43" i="33" s="1"/>
  <c r="AA23" i="37"/>
  <c r="G107" i="37"/>
  <c r="H107" i="37" s="1"/>
  <c r="I107" i="37" s="1"/>
  <c r="J107" i="37" s="1"/>
  <c r="K107" i="37" s="1"/>
  <c r="L107" i="37" s="1"/>
  <c r="M107" i="37" s="1"/>
  <c r="H19" i="34"/>
  <c r="U19" i="34" s="1"/>
  <c r="AB19" i="34"/>
  <c r="J10" i="37"/>
  <c r="W10" i="37"/>
  <c r="J9" i="37"/>
  <c r="W9" i="37"/>
  <c r="U9" i="37"/>
  <c r="F9" i="37"/>
  <c r="S9" i="37" s="1"/>
  <c r="F11" i="37"/>
  <c r="S11" i="37"/>
  <c r="J12" i="37"/>
  <c r="AC12" i="37"/>
  <c r="H12" i="37"/>
  <c r="F12" i="37"/>
  <c r="AA12" i="37"/>
  <c r="H15" i="37"/>
  <c r="U15" i="37"/>
  <c r="E94" i="37"/>
  <c r="F31" i="37"/>
  <c r="S31" i="37"/>
  <c r="F94" i="37"/>
  <c r="G94" i="37" s="1"/>
  <c r="H94" i="37" s="1"/>
  <c r="I94" i="37" s="1"/>
  <c r="J94" i="37" s="1"/>
  <c r="K94" i="37" s="1"/>
  <c r="L94" i="37" s="1"/>
  <c r="M94" i="37" s="1"/>
  <c r="H31" i="37"/>
  <c r="AB31" i="37"/>
  <c r="J15" i="37"/>
  <c r="J11" i="37"/>
  <c r="W11" i="37"/>
  <c r="U31" i="37"/>
  <c r="E90" i="40"/>
  <c r="F90" i="40" s="1"/>
  <c r="G90" i="40" s="1"/>
  <c r="F21" i="40"/>
  <c r="W36" i="40"/>
  <c r="J21" i="40"/>
  <c r="AC21" i="40"/>
  <c r="S27" i="31"/>
  <c r="G483" i="3"/>
  <c r="G515" i="3"/>
  <c r="G501" i="3"/>
  <c r="BA15" i="3"/>
  <c r="BL17" i="3"/>
  <c r="BL15" i="3"/>
  <c r="AZ15" i="3" s="1"/>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G321" i="3"/>
  <c r="BL322" i="3"/>
  <c r="AZ322" i="3" s="1"/>
  <c r="G323" i="3"/>
  <c r="BL324" i="3"/>
  <c r="BA326" i="3"/>
  <c r="BA327" i="3"/>
  <c r="BL327" i="3"/>
  <c r="AZ327" i="3"/>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c r="BA361" i="3"/>
  <c r="AZ361" i="3" s="1"/>
  <c r="BL361" i="3"/>
  <c r="G362" i="3"/>
  <c r="BA363" i="3"/>
  <c r="G371" i="3"/>
  <c r="BL372" i="3"/>
  <c r="G373" i="3"/>
  <c r="BL374" i="3"/>
  <c r="BA376" i="3"/>
  <c r="AZ376" i="3"/>
  <c r="BA377" i="3"/>
  <c r="AZ377" i="3"/>
  <c r="BL377" i="3"/>
  <c r="G378" i="3"/>
  <c r="BA379" i="3"/>
  <c r="BA114" i="3"/>
  <c r="AZ114" i="3"/>
  <c r="BL115" i="3"/>
  <c r="G116" i="3"/>
  <c r="BA118" i="3"/>
  <c r="AZ118" i="3"/>
  <c r="BL119" i="3"/>
  <c r="G120" i="3"/>
  <c r="BA122" i="3"/>
  <c r="AZ122" i="3" s="1"/>
  <c r="BL123" i="3"/>
  <c r="G124" i="3"/>
  <c r="BA126" i="3"/>
  <c r="AZ126" i="3" s="1"/>
  <c r="BL127" i="3"/>
  <c r="G128" i="3"/>
  <c r="BA130" i="3"/>
  <c r="BL131" i="3"/>
  <c r="AZ131" i="3" s="1"/>
  <c r="G132" i="3"/>
  <c r="BA134" i="3"/>
  <c r="BL135" i="3"/>
  <c r="AZ135" i="3"/>
  <c r="G136" i="3"/>
  <c r="BA138" i="3"/>
  <c r="AZ138" i="3"/>
  <c r="BL139" i="3"/>
  <c r="AZ139" i="3"/>
  <c r="G140" i="3"/>
  <c r="BA142" i="3"/>
  <c r="AZ142" i="3" s="1"/>
  <c r="BL143" i="3"/>
  <c r="G144" i="3"/>
  <c r="BA146" i="3"/>
  <c r="BL147" i="3"/>
  <c r="AZ147" i="3" s="1"/>
  <c r="G148" i="3"/>
  <c r="BA150" i="3"/>
  <c r="BL151" i="3"/>
  <c r="AZ151" i="3" s="1"/>
  <c r="BA153" i="3"/>
  <c r="BL154" i="3"/>
  <c r="AZ154" i="3" s="1"/>
  <c r="G155" i="3"/>
  <c r="BA157" i="3"/>
  <c r="BL158" i="3"/>
  <c r="G159" i="3"/>
  <c r="BA161" i="3"/>
  <c r="AZ161" i="3"/>
  <c r="BL162" i="3"/>
  <c r="AZ162" i="3" s="1"/>
  <c r="G163" i="3"/>
  <c r="BA165" i="3"/>
  <c r="AZ165" i="3"/>
  <c r="BL166" i="3"/>
  <c r="G167" i="3"/>
  <c r="BA169" i="3"/>
  <c r="BL170" i="3"/>
  <c r="G171" i="3"/>
  <c r="BA173" i="3"/>
  <c r="AZ173" i="3"/>
  <c r="BL174" i="3"/>
  <c r="AZ174" i="3" s="1"/>
  <c r="G175" i="3"/>
  <c r="BA178" i="3"/>
  <c r="BL179" i="3"/>
  <c r="AZ179" i="3" s="1"/>
  <c r="G180" i="3"/>
  <c r="AZ31" i="3"/>
  <c r="AZ39" i="3"/>
  <c r="AZ43" i="3"/>
  <c r="G537" i="3"/>
  <c r="BL181" i="3"/>
  <c r="G182" i="3"/>
  <c r="BA184" i="3"/>
  <c r="BL185" i="3"/>
  <c r="G186" i="3"/>
  <c r="BA188" i="3"/>
  <c r="BL189" i="3"/>
  <c r="G190" i="3"/>
  <c r="BA192" i="3"/>
  <c r="BL193" i="3"/>
  <c r="G194" i="3"/>
  <c r="BA196" i="3"/>
  <c r="BL197" i="3"/>
  <c r="G198" i="3"/>
  <c r="BA200" i="3"/>
  <c r="BL201" i="3"/>
  <c r="AZ70" i="3"/>
  <c r="AZ74" i="3"/>
  <c r="AZ86" i="3"/>
  <c r="AZ102" i="3"/>
  <c r="AZ106" i="3"/>
  <c r="AZ110" i="3"/>
  <c r="G491" i="3"/>
  <c r="BA298" i="3"/>
  <c r="AZ298" i="3"/>
  <c r="BA299" i="3"/>
  <c r="AZ299" i="3"/>
  <c r="BL299" i="3"/>
  <c r="G300" i="3"/>
  <c r="G303" i="3"/>
  <c r="BL304" i="3"/>
  <c r="AZ304" i="3" s="1"/>
  <c r="BA306" i="3"/>
  <c r="BA307" i="3"/>
  <c r="BL307" i="3"/>
  <c r="AZ307" i="3" s="1"/>
  <c r="G308" i="3"/>
  <c r="G319" i="3"/>
  <c r="BL320" i="3"/>
  <c r="BA322" i="3"/>
  <c r="BA323" i="3"/>
  <c r="AZ323" i="3" s="1"/>
  <c r="BL323" i="3"/>
  <c r="G324" i="3"/>
  <c r="G327" i="3"/>
  <c r="BL328" i="3"/>
  <c r="BA330" i="3"/>
  <c r="BA331" i="3"/>
  <c r="AZ331" i="3" s="1"/>
  <c r="BL331" i="3"/>
  <c r="G332" i="3"/>
  <c r="G335" i="3"/>
  <c r="BL336" i="3"/>
  <c r="AZ336" i="3" s="1"/>
  <c r="BA338" i="3"/>
  <c r="BA339" i="3"/>
  <c r="BL339" i="3"/>
  <c r="G340" i="3"/>
  <c r="G343" i="3"/>
  <c r="BL344" i="3"/>
  <c r="BA346" i="3"/>
  <c r="AZ346" i="3" s="1"/>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AZ370" i="3"/>
  <c r="BA372" i="3"/>
  <c r="AZ372" i="3" s="1"/>
  <c r="BA373" i="3"/>
  <c r="BL373" i="3"/>
  <c r="AZ373" i="3"/>
  <c r="G374" i="3"/>
  <c r="G377" i="3"/>
  <c r="BL378" i="3"/>
  <c r="BA380" i="3"/>
  <c r="AZ380" i="3" s="1"/>
  <c r="BA381" i="3"/>
  <c r="BL381" i="3"/>
  <c r="AZ381" i="3" s="1"/>
  <c r="G382" i="3"/>
  <c r="G385" i="3"/>
  <c r="AZ158" i="3"/>
  <c r="G523" i="3"/>
  <c r="BL297" i="3"/>
  <c r="AZ297" i="3" s="1"/>
  <c r="G298" i="3"/>
  <c r="BA300" i="3"/>
  <c r="AZ300" i="3" s="1"/>
  <c r="BL301" i="3"/>
  <c r="AZ301" i="3"/>
  <c r="G302" i="3"/>
  <c r="BA304" i="3"/>
  <c r="BL305" i="3"/>
  <c r="AZ305" i="3" s="1"/>
  <c r="G306" i="3"/>
  <c r="BA308" i="3"/>
  <c r="BL309" i="3"/>
  <c r="G310" i="3"/>
  <c r="BA310" i="3"/>
  <c r="AZ310" i="3" s="1"/>
  <c r="BL311" i="3"/>
  <c r="AZ311" i="3" s="1"/>
  <c r="G312" i="3"/>
  <c r="BA312" i="3"/>
  <c r="BL313" i="3"/>
  <c r="G314" i="3"/>
  <c r="BA314" i="3"/>
  <c r="AZ314" i="3"/>
  <c r="BL315" i="3"/>
  <c r="G316" i="3"/>
  <c r="BA316" i="3"/>
  <c r="BL317" i="3"/>
  <c r="AZ317" i="3" s="1"/>
  <c r="G318" i="3"/>
  <c r="BA320" i="3"/>
  <c r="AZ320" i="3" s="1"/>
  <c r="BL321" i="3"/>
  <c r="G322" i="3"/>
  <c r="BA324" i="3"/>
  <c r="AZ324" i="3"/>
  <c r="BL325" i="3"/>
  <c r="G326" i="3"/>
  <c r="BA328" i="3"/>
  <c r="AZ328" i="3" s="1"/>
  <c r="BL329" i="3"/>
  <c r="AZ329" i="3" s="1"/>
  <c r="G330" i="3"/>
  <c r="BA332" i="3"/>
  <c r="AZ332" i="3"/>
  <c r="BL333" i="3"/>
  <c r="G334" i="3"/>
  <c r="BA336" i="3"/>
  <c r="BL337" i="3"/>
  <c r="AZ337" i="3" s="1"/>
  <c r="G338" i="3"/>
  <c r="BA340" i="3"/>
  <c r="BL341" i="3"/>
  <c r="G342" i="3"/>
  <c r="BA344" i="3"/>
  <c r="AZ344" i="3"/>
  <c r="BL345" i="3"/>
  <c r="AZ345" i="3" s="1"/>
  <c r="G346" i="3"/>
  <c r="BA348" i="3"/>
  <c r="AZ348" i="3"/>
  <c r="BL349" i="3"/>
  <c r="G350" i="3"/>
  <c r="BA352" i="3"/>
  <c r="AZ352" i="3" s="1"/>
  <c r="BL353" i="3"/>
  <c r="G354" i="3"/>
  <c r="BA356" i="3"/>
  <c r="AZ356" i="3"/>
  <c r="BL357" i="3"/>
  <c r="G358" i="3"/>
  <c r="BA362" i="3"/>
  <c r="AZ362" i="3" s="1"/>
  <c r="BL363" i="3"/>
  <c r="G364" i="3"/>
  <c r="BA366" i="3"/>
  <c r="BL367" i="3"/>
  <c r="AZ217" i="3"/>
  <c r="AZ229" i="3"/>
  <c r="AZ233" i="3"/>
  <c r="AZ241" i="3"/>
  <c r="AZ309" i="3"/>
  <c r="AZ349" i="3"/>
  <c r="AZ353" i="3"/>
  <c r="AZ357" i="3"/>
  <c r="AZ363" i="3"/>
  <c r="G368" i="3"/>
  <c r="BA370" i="3"/>
  <c r="BL371" i="3"/>
  <c r="G372" i="3"/>
  <c r="BA374" i="3"/>
  <c r="AZ374" i="3" s="1"/>
  <c r="BL375" i="3"/>
  <c r="G376" i="3"/>
  <c r="BA378" i="3"/>
  <c r="AZ378" i="3"/>
  <c r="BL379" i="3"/>
  <c r="AZ379" i="3" s="1"/>
  <c r="G380" i="3"/>
  <c r="BA382" i="3"/>
  <c r="BL383" i="3"/>
  <c r="AZ383" i="3" s="1"/>
  <c r="G384" i="3"/>
  <c r="AZ257" i="3"/>
  <c r="AZ375" i="3"/>
  <c r="AZ278" i="3"/>
  <c r="AZ286" i="3"/>
  <c r="AZ295" i="3"/>
  <c r="AZ313" i="3"/>
  <c r="AZ319" i="3"/>
  <c r="AZ339" i="3"/>
  <c r="AZ347" i="3"/>
  <c r="AZ390" i="3"/>
  <c r="AZ394" i="3"/>
  <c r="AZ398" i="3"/>
  <c r="AZ438" i="3"/>
  <c r="AZ450" i="3"/>
  <c r="AZ455" i="3"/>
  <c r="AZ463" i="3"/>
  <c r="AZ479" i="3"/>
  <c r="H7" i="48"/>
  <c r="F33" i="46"/>
  <c r="H16" i="48"/>
  <c r="H9" i="48"/>
  <c r="H8" i="48"/>
  <c r="C12" i="46"/>
  <c r="AB15" i="37"/>
  <c r="E78" i="40"/>
  <c r="F78" i="40" s="1"/>
  <c r="G78" i="40" s="1"/>
  <c r="H78" i="40" s="1"/>
  <c r="I78" i="40" s="1"/>
  <c r="J78" i="40"/>
  <c r="K78" i="40" s="1"/>
  <c r="L78" i="40" s="1"/>
  <c r="M78" i="40" s="1"/>
  <c r="R16" i="4"/>
  <c r="P16" i="4"/>
  <c r="D3" i="35"/>
  <c r="G4" i="4"/>
  <c r="J16" i="35"/>
  <c r="AC16" i="35" s="1"/>
  <c r="W16" i="35"/>
  <c r="AC26" i="36"/>
  <c r="H11" i="37"/>
  <c r="AB11" i="37"/>
  <c r="W37" i="37"/>
  <c r="U32" i="33"/>
  <c r="AB17" i="37"/>
  <c r="AC29" i="33"/>
  <c r="AC11" i="36"/>
  <c r="AC10" i="36"/>
  <c r="AB45" i="34"/>
  <c r="AC14" i="37"/>
  <c r="AB35" i="35"/>
  <c r="J33" i="34"/>
  <c r="AC33" i="34"/>
  <c r="J40" i="34"/>
  <c r="W40" i="34"/>
  <c r="F16" i="35"/>
  <c r="AA16" i="35" s="1"/>
  <c r="S24" i="36"/>
  <c r="W42" i="33"/>
  <c r="J35" i="34"/>
  <c r="W35" i="34"/>
  <c r="F107" i="34"/>
  <c r="G107" i="34" s="1"/>
  <c r="H107" i="34" s="1"/>
  <c r="I107" i="34" s="1"/>
  <c r="J107" i="34" s="1"/>
  <c r="K107" i="34" s="1"/>
  <c r="L107" i="34" s="1"/>
  <c r="M107" i="34" s="1"/>
  <c r="S30" i="36"/>
  <c r="H16" i="36"/>
  <c r="AB16" i="36" s="1"/>
  <c r="G103" i="37"/>
  <c r="H103" i="37"/>
  <c r="I103" i="37" s="1"/>
  <c r="J103" i="37" s="1"/>
  <c r="K103" i="37" s="1"/>
  <c r="L103" i="37" s="1"/>
  <c r="M103" i="37" s="1"/>
  <c r="H35" i="37"/>
  <c r="AB35" i="37"/>
  <c r="S26" i="21"/>
  <c r="AB12" i="21"/>
  <c r="H32" i="21"/>
  <c r="U32" i="21" s="1"/>
  <c r="U26" i="21"/>
  <c r="J32" i="21"/>
  <c r="AC32" i="21" s="1"/>
  <c r="G13" i="3"/>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c r="H19" i="33"/>
  <c r="U19" i="33" s="1"/>
  <c r="AB19" i="33"/>
  <c r="F32" i="33"/>
  <c r="AA32" i="33" s="1"/>
  <c r="J32" i="33"/>
  <c r="W32" i="33" s="1"/>
  <c r="AC32" i="33"/>
  <c r="F35" i="33"/>
  <c r="AA35" i="33"/>
  <c r="AB39" i="34"/>
  <c r="F11" i="34"/>
  <c r="S11" i="34"/>
  <c r="E80" i="34"/>
  <c r="F80" i="34" s="1"/>
  <c r="G80" i="34" s="1"/>
  <c r="H17" i="34"/>
  <c r="AB17" i="34"/>
  <c r="AC27" i="34"/>
  <c r="W27" i="34"/>
  <c r="S12" i="35"/>
  <c r="AB28" i="35"/>
  <c r="U28" i="35"/>
  <c r="J13" i="33"/>
  <c r="W13" i="33" s="1"/>
  <c r="H13" i="33"/>
  <c r="U13" i="33"/>
  <c r="H29" i="33"/>
  <c r="F29" i="33"/>
  <c r="AA29" i="33" s="1"/>
  <c r="AC12" i="34"/>
  <c r="F12" i="34"/>
  <c r="J14" i="34"/>
  <c r="W14" i="34"/>
  <c r="F14" i="34"/>
  <c r="AA14" i="34" s="1"/>
  <c r="H14" i="34"/>
  <c r="AB14" i="34" s="1"/>
  <c r="AB30" i="34"/>
  <c r="F30" i="34"/>
  <c r="S30" i="34"/>
  <c r="J30" i="34"/>
  <c r="W30" i="34" s="1"/>
  <c r="F32" i="34"/>
  <c r="AA32" i="34"/>
  <c r="H46" i="34"/>
  <c r="AB46" i="34"/>
  <c r="F46" i="34"/>
  <c r="AA46" i="34"/>
  <c r="J46" i="34"/>
  <c r="F96" i="37"/>
  <c r="G96" i="37" s="1"/>
  <c r="H96" i="37" s="1"/>
  <c r="I96" i="37" s="1"/>
  <c r="J96" i="37" s="1"/>
  <c r="K96" i="37" s="1"/>
  <c r="H32" i="37"/>
  <c r="AB32" i="37" s="1"/>
  <c r="F43" i="39"/>
  <c r="H43" i="39"/>
  <c r="J43" i="39"/>
  <c r="W43" i="39" s="1"/>
  <c r="AC27" i="37"/>
  <c r="AC40" i="37"/>
  <c r="W40" i="37"/>
  <c r="W27" i="33"/>
  <c r="AC45" i="21"/>
  <c r="AB29" i="35"/>
  <c r="U29" i="35"/>
  <c r="AC19" i="33"/>
  <c r="W19" i="33"/>
  <c r="U43" i="34"/>
  <c r="AB43" i="34"/>
  <c r="AC34" i="37"/>
  <c r="S35" i="37"/>
  <c r="AB10" i="35"/>
  <c r="AA32" i="21"/>
  <c r="BL571" i="3"/>
  <c r="AB40" i="33"/>
  <c r="U40" i="33"/>
  <c r="AA35" i="34"/>
  <c r="S35" i="34"/>
  <c r="H27" i="34"/>
  <c r="U27" i="34" s="1"/>
  <c r="AB27" i="34"/>
  <c r="AB8" i="35"/>
  <c r="U8" i="35"/>
  <c r="J14" i="35"/>
  <c r="AC14" i="35"/>
  <c r="F14" i="35"/>
  <c r="AA14" i="35" s="1"/>
  <c r="H14" i="35"/>
  <c r="E80" i="35"/>
  <c r="E94" i="35"/>
  <c r="F94" i="35"/>
  <c r="G94" i="35"/>
  <c r="H94" i="35"/>
  <c r="I94" i="35" s="1"/>
  <c r="J94" i="35" s="1"/>
  <c r="K94" i="35" s="1"/>
  <c r="L94" i="35" s="1"/>
  <c r="M94" i="35" s="1"/>
  <c r="J32" i="35"/>
  <c r="AC32" i="35"/>
  <c r="H11" i="36"/>
  <c r="AB11" i="36"/>
  <c r="F11" i="36"/>
  <c r="S11" i="36"/>
  <c r="W16" i="36"/>
  <c r="AC16" i="36"/>
  <c r="E78" i="36"/>
  <c r="F78" i="36"/>
  <c r="G78" i="36"/>
  <c r="H78" i="36"/>
  <c r="I78" i="36" s="1"/>
  <c r="J78" i="36" s="1"/>
  <c r="K78" i="36" s="1"/>
  <c r="L78" i="36" s="1"/>
  <c r="M78" i="36"/>
  <c r="F26" i="36"/>
  <c r="S26" i="36"/>
  <c r="U34" i="36"/>
  <c r="AB34" i="36"/>
  <c r="H33" i="36"/>
  <c r="U33" i="36"/>
  <c r="F33" i="36"/>
  <c r="AA33" i="36"/>
  <c r="H27" i="36"/>
  <c r="AB27" i="36" s="1"/>
  <c r="AA31" i="36"/>
  <c r="AC25" i="37"/>
  <c r="AC26" i="37"/>
  <c r="W26" i="37"/>
  <c r="AB29"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AA39" i="39" s="1"/>
  <c r="H39" i="39"/>
  <c r="AB39" i="39"/>
  <c r="J39" i="39"/>
  <c r="AC39" i="39" s="1"/>
  <c r="J29" i="35"/>
  <c r="F29" i="35"/>
  <c r="S29" i="35"/>
  <c r="W30" i="36"/>
  <c r="AC30" i="36"/>
  <c r="F37" i="39"/>
  <c r="S37" i="39" s="1"/>
  <c r="H37" i="39"/>
  <c r="U37" i="39" s="1"/>
  <c r="J37" i="39"/>
  <c r="W37" i="39" s="1"/>
  <c r="BL568" i="3"/>
  <c r="BL567" i="3"/>
  <c r="BL565" i="3"/>
  <c r="BA552" i="3"/>
  <c r="BL549" i="3"/>
  <c r="BA549" i="3"/>
  <c r="AZ549" i="3" s="1"/>
  <c r="BL547" i="3"/>
  <c r="BA547" i="3"/>
  <c r="AZ547" i="3" s="1"/>
  <c r="BL530" i="3"/>
  <c r="BA530" i="3"/>
  <c r="AZ530" i="3" s="1"/>
  <c r="BL529" i="3"/>
  <c r="AZ528" i="3"/>
  <c r="BA527" i="3"/>
  <c r="AZ527" i="3" s="1"/>
  <c r="BA526" i="3"/>
  <c r="AZ525" i="3"/>
  <c r="AZ521" i="3"/>
  <c r="BA518" i="3"/>
  <c r="BL517" i="3"/>
  <c r="BA517" i="3"/>
  <c r="AZ517" i="3" s="1"/>
  <c r="BL507" i="3"/>
  <c r="BA507" i="3"/>
  <c r="AZ507" i="3" s="1"/>
  <c r="BA506" i="3"/>
  <c r="BL505" i="3"/>
  <c r="BL498" i="3"/>
  <c r="BL497" i="3"/>
  <c r="BA496" i="3"/>
  <c r="G494" i="3"/>
  <c r="BA491" i="3"/>
  <c r="BL489" i="3"/>
  <c r="AZ489" i="3" s="1"/>
  <c r="BA489" i="3"/>
  <c r="BL486" i="3"/>
  <c r="AZ486" i="3" s="1"/>
  <c r="BA486" i="3"/>
  <c r="BA485" i="3"/>
  <c r="BA482" i="3"/>
  <c r="BL481" i="3"/>
  <c r="BL19" i="3"/>
  <c r="BA18" i="3"/>
  <c r="G114" i="34"/>
  <c r="H114" i="34" s="1"/>
  <c r="I114" i="34" s="1"/>
  <c r="J114" i="34" s="1"/>
  <c r="K114" i="34" s="1"/>
  <c r="L114" i="34" s="1"/>
  <c r="M114" i="34" s="1"/>
  <c r="H38" i="34"/>
  <c r="AB38" i="34" s="1"/>
  <c r="U38" i="34"/>
  <c r="H30" i="40"/>
  <c r="AB30" i="40" s="1"/>
  <c r="J30" i="40"/>
  <c r="AC30" i="40"/>
  <c r="F38" i="40"/>
  <c r="AA38" i="40"/>
  <c r="AA36" i="34"/>
  <c r="S35" i="21"/>
  <c r="U8" i="21"/>
  <c r="AB8" i="21"/>
  <c r="AC36" i="21"/>
  <c r="AB8" i="33"/>
  <c r="U8" i="33"/>
  <c r="H34" i="33"/>
  <c r="U34" i="33" s="1"/>
  <c r="F34" i="33"/>
  <c r="S34" i="33"/>
  <c r="F41" i="33"/>
  <c r="AA41" i="33" s="1"/>
  <c r="S41" i="33"/>
  <c r="AC34" i="34"/>
  <c r="W34" i="34"/>
  <c r="AA39" i="34"/>
  <c r="S39" i="34"/>
  <c r="S43" i="34"/>
  <c r="E78" i="34"/>
  <c r="F78" i="34" s="1"/>
  <c r="G78" i="34" s="1"/>
  <c r="F15" i="34"/>
  <c r="AC28" i="35"/>
  <c r="W28" i="35"/>
  <c r="J20" i="35"/>
  <c r="W20" i="35" s="1"/>
  <c r="AC20" i="35"/>
  <c r="E72" i="35"/>
  <c r="F72" i="35" s="1"/>
  <c r="G72" i="35" s="1"/>
  <c r="H22" i="35"/>
  <c r="U22" i="35" s="1"/>
  <c r="AB22" i="35"/>
  <c r="H23" i="35"/>
  <c r="F23" i="35"/>
  <c r="AA23" i="35"/>
  <c r="AC12" i="36"/>
  <c r="U31" i="36"/>
  <c r="S8" i="37"/>
  <c r="AA8" i="37"/>
  <c r="F14" i="39"/>
  <c r="AA14" i="39" s="1"/>
  <c r="H14" i="39"/>
  <c r="AB14" i="39" s="1"/>
  <c r="J14" i="39"/>
  <c r="AC14" i="39" s="1"/>
  <c r="F16" i="39"/>
  <c r="H16" i="39"/>
  <c r="U16" i="39" s="1"/>
  <c r="J16" i="39"/>
  <c r="AC16" i="39" s="1"/>
  <c r="E97" i="39"/>
  <c r="H23" i="39" s="1"/>
  <c r="AB23" i="39" s="1"/>
  <c r="J15" i="40"/>
  <c r="E92" i="40"/>
  <c r="F92" i="40"/>
  <c r="H23" i="40"/>
  <c r="U23" i="40" s="1"/>
  <c r="H41" i="40"/>
  <c r="AB41" i="40"/>
  <c r="F41" i="40"/>
  <c r="AA41" i="40"/>
  <c r="J41" i="40"/>
  <c r="AC41" i="40" s="1"/>
  <c r="H36" i="33"/>
  <c r="AB36" i="33" s="1"/>
  <c r="H37" i="34"/>
  <c r="F15" i="39"/>
  <c r="H15" i="39"/>
  <c r="U15" i="39" s="1"/>
  <c r="J15" i="39"/>
  <c r="AC15" i="39" s="1"/>
  <c r="H25" i="39"/>
  <c r="U25" i="39" s="1"/>
  <c r="F45" i="39"/>
  <c r="AA45" i="39"/>
  <c r="H45" i="39"/>
  <c r="J45" i="39"/>
  <c r="AC45" i="39"/>
  <c r="F47" i="39"/>
  <c r="S47" i="39" s="1"/>
  <c r="AA47" i="39"/>
  <c r="H47" i="39"/>
  <c r="J47" i="39"/>
  <c r="F41" i="39"/>
  <c r="AA41" i="39" s="1"/>
  <c r="H41" i="39"/>
  <c r="AB41" i="39" s="1"/>
  <c r="J41" i="39"/>
  <c r="AC41" i="39" s="1"/>
  <c r="E94" i="40"/>
  <c r="J25" i="40"/>
  <c r="J32" i="40"/>
  <c r="AC32" i="40"/>
  <c r="H32" i="40"/>
  <c r="AB32" i="40" s="1"/>
  <c r="U32" i="40"/>
  <c r="H33" i="40"/>
  <c r="AB33" i="40" s="1"/>
  <c r="J33" i="40"/>
  <c r="AC33" i="40"/>
  <c r="H35" i="40"/>
  <c r="AB35" i="40"/>
  <c r="F35" i="40"/>
  <c r="AA35" i="40"/>
  <c r="J35" i="40"/>
  <c r="AC35" i="40"/>
  <c r="J38" i="39"/>
  <c r="AC38" i="39" s="1"/>
  <c r="W38" i="39"/>
  <c r="H38" i="39"/>
  <c r="U38" i="39"/>
  <c r="J16" i="40"/>
  <c r="W16" i="40"/>
  <c r="J14" i="40"/>
  <c r="W14" i="40"/>
  <c r="H40" i="40"/>
  <c r="U40" i="40"/>
  <c r="H34" i="40"/>
  <c r="AB34" i="40" s="1"/>
  <c r="U34" i="40"/>
  <c r="AZ431" i="3"/>
  <c r="B41" i="1"/>
  <c r="F66" i="9" s="1"/>
  <c r="P72" i="9" s="1"/>
  <c r="J42" i="40"/>
  <c r="AC42" i="40"/>
  <c r="J40" i="40"/>
  <c r="J34" i="40"/>
  <c r="AC34" i="40"/>
  <c r="H16" i="40"/>
  <c r="AB16" i="40" s="1"/>
  <c r="H14" i="40"/>
  <c r="F32" i="40"/>
  <c r="AA32" i="40"/>
  <c r="M1" i="46"/>
  <c r="M6" i="46"/>
  <c r="M10" i="46"/>
  <c r="N2" i="46"/>
  <c r="N5" i="46"/>
  <c r="F58" i="46"/>
  <c r="H61" i="46"/>
  <c r="N7" i="46"/>
  <c r="AZ461" i="3"/>
  <c r="AZ469" i="3"/>
  <c r="AZ388" i="3"/>
  <c r="AZ220" i="3"/>
  <c r="AZ223" i="3"/>
  <c r="AZ236" i="3"/>
  <c r="AZ244" i="3"/>
  <c r="AZ247" i="3"/>
  <c r="AZ255" i="3"/>
  <c r="AZ273" i="3"/>
  <c r="AZ276" i="3"/>
  <c r="AZ281" i="3"/>
  <c r="AZ121" i="3"/>
  <c r="AZ140" i="3"/>
  <c r="M7" i="46"/>
  <c r="M11" i="46"/>
  <c r="N3" i="46"/>
  <c r="N6" i="46"/>
  <c r="N10" i="46"/>
  <c r="F69" i="46"/>
  <c r="H71" i="46" s="1"/>
  <c r="AZ40" i="3"/>
  <c r="AZ56" i="3"/>
  <c r="AZ63" i="3"/>
  <c r="AZ79" i="3"/>
  <c r="AZ91" i="3"/>
  <c r="AZ99" i="3"/>
  <c r="AZ112" i="3"/>
  <c r="J13" i="40"/>
  <c r="F27" i="43"/>
  <c r="AC14" i="40"/>
  <c r="W35" i="40"/>
  <c r="S33" i="40"/>
  <c r="U37" i="34"/>
  <c r="AB37" i="34"/>
  <c r="W41" i="40"/>
  <c r="U41" i="40"/>
  <c r="J23" i="40"/>
  <c r="AC23" i="40"/>
  <c r="G92" i="40"/>
  <c r="F23" i="40"/>
  <c r="S23" i="40"/>
  <c r="AB16" i="39"/>
  <c r="U23" i="35"/>
  <c r="AB23" i="35"/>
  <c r="H20" i="35"/>
  <c r="F20" i="35"/>
  <c r="S20" i="35"/>
  <c r="H15" i="34"/>
  <c r="AB15" i="34"/>
  <c r="J15" i="34"/>
  <c r="W15" i="34" s="1"/>
  <c r="H41" i="33"/>
  <c r="L121" i="33"/>
  <c r="M121" i="33" s="1"/>
  <c r="F30" i="40"/>
  <c r="AA30" i="40"/>
  <c r="J100" i="40"/>
  <c r="K100" i="40" s="1"/>
  <c r="L100" i="40" s="1"/>
  <c r="M100" i="40" s="1"/>
  <c r="AA29" i="35"/>
  <c r="U39" i="39"/>
  <c r="U21" i="39"/>
  <c r="AB33" i="36"/>
  <c r="AA11" i="36"/>
  <c r="S14" i="35"/>
  <c r="F33" i="37"/>
  <c r="S33" i="37" s="1"/>
  <c r="U46" i="34"/>
  <c r="U17" i="34"/>
  <c r="AA11" i="34"/>
  <c r="H15" i="33"/>
  <c r="AB15" i="33" s="1"/>
  <c r="U15" i="33"/>
  <c r="AA11" i="33"/>
  <c r="W34" i="40"/>
  <c r="AB42" i="40"/>
  <c r="U42" i="40"/>
  <c r="AC16" i="40"/>
  <c r="W32" i="40"/>
  <c r="H25" i="40"/>
  <c r="AB25" i="40" s="1"/>
  <c r="F94" i="40"/>
  <c r="G94" i="40"/>
  <c r="W15" i="39"/>
  <c r="J37" i="34"/>
  <c r="AC37" i="34" s="1"/>
  <c r="J36" i="33"/>
  <c r="W36" i="33"/>
  <c r="S41" i="40"/>
  <c r="F97" i="39"/>
  <c r="G97" i="39" s="1"/>
  <c r="S15" i="34"/>
  <c r="AA15" i="34"/>
  <c r="AA34" i="33"/>
  <c r="J34" i="33"/>
  <c r="AC34" i="33"/>
  <c r="U30" i="40"/>
  <c r="S39" i="39"/>
  <c r="AB46" i="39"/>
  <c r="AC33" i="39"/>
  <c r="S33" i="39"/>
  <c r="U11" i="36"/>
  <c r="F80" i="35"/>
  <c r="G80" i="35"/>
  <c r="H80" i="35" s="1"/>
  <c r="I80" i="35" s="1"/>
  <c r="J80" i="35" s="1"/>
  <c r="K80" i="35"/>
  <c r="L80" i="35" s="1"/>
  <c r="M80" i="35" s="1"/>
  <c r="W14" i="35"/>
  <c r="G90" i="34"/>
  <c r="H90" i="34"/>
  <c r="I90" i="34"/>
  <c r="J90" i="34" s="1"/>
  <c r="K90" i="34" s="1"/>
  <c r="L90" i="34" s="1"/>
  <c r="M90" i="34" s="1"/>
  <c r="F27" i="34"/>
  <c r="AA27" i="34" s="1"/>
  <c r="S27" i="34"/>
  <c r="AA43" i="39"/>
  <c r="S43" i="39"/>
  <c r="L96" i="37"/>
  <c r="M96" i="37" s="1"/>
  <c r="F32" i="37"/>
  <c r="S32" i="37"/>
  <c r="S46" i="34"/>
  <c r="U14" i="34"/>
  <c r="AC14" i="34"/>
  <c r="AB13" i="33"/>
  <c r="F17" i="34"/>
  <c r="AA17" i="34"/>
  <c r="J17" i="34"/>
  <c r="AC17" i="34"/>
  <c r="H11" i="34"/>
  <c r="AB11" i="34" s="1"/>
  <c r="J35" i="33"/>
  <c r="W35" i="33"/>
  <c r="AC15" i="33"/>
  <c r="H11" i="33"/>
  <c r="U11" i="33" s="1"/>
  <c r="H10" i="33"/>
  <c r="U10" i="33"/>
  <c r="J10" i="33"/>
  <c r="AC10" i="33"/>
  <c r="U11" i="37"/>
  <c r="J11" i="34"/>
  <c r="W11" i="34" s="1"/>
  <c r="S17" i="34"/>
  <c r="AC36" i="33"/>
  <c r="F25" i="40"/>
  <c r="AA25" i="40"/>
  <c r="J11" i="33"/>
  <c r="H33" i="37"/>
  <c r="AB33" i="37"/>
  <c r="AC15" i="34"/>
  <c r="U20" i="35"/>
  <c r="AB20" i="35"/>
  <c r="W23" i="40"/>
  <c r="D73" i="9"/>
  <c r="N73" i="9" s="1"/>
  <c r="AP11" i="1"/>
  <c r="B11" i="1"/>
  <c r="E11" i="1" s="1"/>
  <c r="K11" i="1"/>
  <c r="M11" i="1" s="1"/>
  <c r="O11" i="1" s="1"/>
  <c r="P11" i="1" s="1"/>
  <c r="B9" i="1"/>
  <c r="E9" i="1" s="1"/>
  <c r="K9" i="1"/>
  <c r="M9" i="1" s="1"/>
  <c r="O9" i="1" s="1"/>
  <c r="P9" i="1" s="1"/>
  <c r="B7" i="1"/>
  <c r="E7" i="1" s="1"/>
  <c r="K7" i="1"/>
  <c r="M7" i="1" s="1"/>
  <c r="C20" i="43"/>
  <c r="F6" i="1"/>
  <c r="AP6" i="1" s="1"/>
  <c r="G11" i="1"/>
  <c r="F70" i="9"/>
  <c r="F31" i="43"/>
  <c r="S23" i="36"/>
  <c r="S8" i="36"/>
  <c r="AA26" i="36"/>
  <c r="AA28" i="36"/>
  <c r="H20" i="36"/>
  <c r="U20" i="36"/>
  <c r="F68" i="36"/>
  <c r="G68" i="36" s="1"/>
  <c r="J20" i="36"/>
  <c r="AC20" i="36"/>
  <c r="F20" i="36"/>
  <c r="S20" i="36"/>
  <c r="F62" i="36"/>
  <c r="G62" i="36" s="1"/>
  <c r="J14" i="36"/>
  <c r="AC14" i="36" s="1"/>
  <c r="H14" i="36"/>
  <c r="F14" i="36"/>
  <c r="AA14" i="36"/>
  <c r="W20" i="36"/>
  <c r="AB12" i="36"/>
  <c r="S33" i="36"/>
  <c r="S16" i="36"/>
  <c r="S29" i="36"/>
  <c r="AC33" i="35"/>
  <c r="S8" i="35"/>
  <c r="U33" i="35"/>
  <c r="AA20" i="35"/>
  <c r="S23" i="35"/>
  <c r="S16" i="35"/>
  <c r="AC10" i="35"/>
  <c r="AC18" i="35"/>
  <c r="W18" i="35"/>
  <c r="U18" i="35"/>
  <c r="AB18" i="35"/>
  <c r="S30" i="35"/>
  <c r="AB30" i="35"/>
  <c r="S27" i="35"/>
  <c r="S28" i="35"/>
  <c r="J26" i="35"/>
  <c r="W26" i="35" s="1"/>
  <c r="AB9" i="37"/>
  <c r="W12" i="37"/>
  <c r="S17" i="37"/>
  <c r="AA31" i="37"/>
  <c r="AA33" i="37"/>
  <c r="U32" i="37"/>
  <c r="AA32" i="37"/>
  <c r="J33" i="37"/>
  <c r="W33" i="37"/>
  <c r="S29" i="37"/>
  <c r="J19" i="37"/>
  <c r="AC19" i="37"/>
  <c r="F19" i="37"/>
  <c r="AA19" i="37"/>
  <c r="H19" i="37"/>
  <c r="J17" i="37"/>
  <c r="S15" i="37"/>
  <c r="AC10" i="37"/>
  <c r="AC21" i="37"/>
  <c r="W21" i="37"/>
  <c r="AC11" i="37"/>
  <c r="AC9" i="37"/>
  <c r="U35" i="37"/>
  <c r="U8" i="37"/>
  <c r="AB25" i="37"/>
  <c r="AB21" i="37"/>
  <c r="U21" i="37"/>
  <c r="S37" i="37"/>
  <c r="S40" i="37"/>
  <c r="AA11" i="37"/>
  <c r="S10" i="37"/>
  <c r="AC45" i="34"/>
  <c r="AA40" i="34"/>
  <c r="W33" i="34"/>
  <c r="S32" i="34"/>
  <c r="AB33" i="34"/>
  <c r="AC35" i="34"/>
  <c r="AA30" i="34"/>
  <c r="AA33" i="34"/>
  <c r="U44" i="34"/>
  <c r="U34" i="34"/>
  <c r="J25" i="34"/>
  <c r="H25" i="34"/>
  <c r="U25" i="34" s="1"/>
  <c r="F25" i="34"/>
  <c r="S25" i="34" s="1"/>
  <c r="J23" i="34"/>
  <c r="AC23" i="34" s="1"/>
  <c r="F23" i="34"/>
  <c r="H23" i="34"/>
  <c r="U23" i="34" s="1"/>
  <c r="W17" i="34"/>
  <c r="AC11" i="34"/>
  <c r="W10" i="34"/>
  <c r="U10" i="34"/>
  <c r="AC40" i="34"/>
  <c r="W44" i="34"/>
  <c r="W19" i="34"/>
  <c r="W29" i="34"/>
  <c r="AC21" i="34"/>
  <c r="W21" i="34"/>
  <c r="U15" i="34"/>
  <c r="AB21" i="34"/>
  <c r="U21" i="34"/>
  <c r="AB41" i="34"/>
  <c r="S9" i="34"/>
  <c r="S10" i="34"/>
  <c r="U39" i="33"/>
  <c r="S35" i="33"/>
  <c r="W34" i="33"/>
  <c r="AC35" i="33"/>
  <c r="S29" i="33"/>
  <c r="W43" i="33"/>
  <c r="U46" i="33"/>
  <c r="U35" i="33"/>
  <c r="W26" i="33"/>
  <c r="AB26" i="33"/>
  <c r="H25" i="33"/>
  <c r="AB25" i="33"/>
  <c r="J25" i="33"/>
  <c r="W25" i="33" s="1"/>
  <c r="G87" i="33"/>
  <c r="H87" i="33" s="1"/>
  <c r="I87" i="33" s="1"/>
  <c r="J87" i="33" s="1"/>
  <c r="K87" i="33" s="1"/>
  <c r="L87" i="33" s="1"/>
  <c r="M87" i="33" s="1"/>
  <c r="F25" i="33"/>
  <c r="J23" i="33"/>
  <c r="F23" i="33"/>
  <c r="S23" i="33" s="1"/>
  <c r="H23" i="33"/>
  <c r="AB23" i="33" s="1"/>
  <c r="F79" i="33"/>
  <c r="G79" i="33" s="1"/>
  <c r="F17" i="33"/>
  <c r="H17" i="33"/>
  <c r="U17" i="33" s="1"/>
  <c r="J17" i="33"/>
  <c r="S10" i="33"/>
  <c r="S14" i="33"/>
  <c r="W10" i="33"/>
  <c r="AC21" i="33"/>
  <c r="W21" i="33"/>
  <c r="W14" i="33"/>
  <c r="AB10" i="33"/>
  <c r="U25" i="33"/>
  <c r="AB21" i="33"/>
  <c r="U21" i="33"/>
  <c r="AA21" i="33"/>
  <c r="S21" i="33"/>
  <c r="AA44" i="33"/>
  <c r="U35" i="21"/>
  <c r="W28" i="21"/>
  <c r="AC46" i="21"/>
  <c r="AC26" i="21"/>
  <c r="W13" i="21"/>
  <c r="AC21" i="21"/>
  <c r="W21" i="21"/>
  <c r="AC38" i="21"/>
  <c r="AB21" i="21"/>
  <c r="U21" i="21"/>
  <c r="AB29" i="21"/>
  <c r="AA30" i="21"/>
  <c r="AA31" i="21"/>
  <c r="W33" i="40"/>
  <c r="U33" i="40"/>
  <c r="S35" i="40"/>
  <c r="S14" i="40"/>
  <c r="AB13" i="40"/>
  <c r="S16" i="40"/>
  <c r="W11" i="40"/>
  <c r="U25" i="40"/>
  <c r="W42" i="40"/>
  <c r="U35" i="40"/>
  <c r="F37" i="40"/>
  <c r="J37" i="40"/>
  <c r="AC37" i="40"/>
  <c r="H37" i="40"/>
  <c r="F39" i="40"/>
  <c r="AA39" i="40" s="1"/>
  <c r="S38" i="40"/>
  <c r="H39" i="40"/>
  <c r="J39" i="40"/>
  <c r="W38" i="40"/>
  <c r="F29" i="40"/>
  <c r="H29" i="40"/>
  <c r="U29" i="40" s="1"/>
  <c r="J29" i="40"/>
  <c r="M98" i="40"/>
  <c r="S30" i="40"/>
  <c r="S25" i="40"/>
  <c r="AA23" i="40"/>
  <c r="F19" i="40"/>
  <c r="S19" i="40" s="1"/>
  <c r="H19" i="40"/>
  <c r="AB19" i="40" s="1"/>
  <c r="J19" i="40"/>
  <c r="W17" i="40"/>
  <c r="AC17" i="40"/>
  <c r="F17" i="40"/>
  <c r="AA17" i="40"/>
  <c r="H17" i="40"/>
  <c r="W21" i="40"/>
  <c r="AB40" i="40"/>
  <c r="U10" i="40"/>
  <c r="U27" i="40"/>
  <c r="AB27" i="40"/>
  <c r="S11" i="39"/>
  <c r="AA21" i="39"/>
  <c r="U11" i="39"/>
  <c r="AB38" i="39"/>
  <c r="U31" i="39"/>
  <c r="AB31" i="39"/>
  <c r="D18" i="9"/>
  <c r="M44" i="9" s="1"/>
  <c r="D96" i="9"/>
  <c r="M18" i="15"/>
  <c r="A18" i="64"/>
  <c r="B74" i="63"/>
  <c r="C53" i="10"/>
  <c r="A18" i="51"/>
  <c r="B14" i="63"/>
  <c r="BA16" i="3"/>
  <c r="AZ16" i="3" s="1"/>
  <c r="BA17" i="3"/>
  <c r="AZ17" i="3"/>
  <c r="F3" i="35"/>
  <c r="K1" i="43"/>
  <c r="K1" i="12"/>
  <c r="G1" i="44"/>
  <c r="I4" i="6"/>
  <c r="G3" i="46"/>
  <c r="BL16" i="3"/>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s="1"/>
  <c r="B46" i="50"/>
  <c r="B4" i="63" s="1"/>
  <c r="C46" i="36"/>
  <c r="D46" i="36" s="1"/>
  <c r="E46" i="36" s="1"/>
  <c r="F46" i="36" s="1"/>
  <c r="C48" i="35"/>
  <c r="D48" i="35"/>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AC27" i="36"/>
  <c r="W28" i="36"/>
  <c r="U13" i="36"/>
  <c r="AA22" i="36"/>
  <c r="U10" i="36"/>
  <c r="AA13" i="36"/>
  <c r="W29" i="36"/>
  <c r="W9" i="36"/>
  <c r="S9" i="36"/>
  <c r="W8" i="36"/>
  <c r="AC30" i="35"/>
  <c r="U24" i="35"/>
  <c r="W32" i="35"/>
  <c r="S24" i="35"/>
  <c r="AA33" i="35"/>
  <c r="U32" i="35"/>
  <c r="W22" i="35"/>
  <c r="S32" i="35"/>
  <c r="W35" i="37"/>
  <c r="AC33" i="37"/>
  <c r="U33" i="37"/>
  <c r="S12" i="37"/>
  <c r="W38" i="37"/>
  <c r="W36" i="37"/>
  <c r="U26" i="37"/>
  <c r="W13" i="37"/>
  <c r="U38" i="37"/>
  <c r="S26" i="37"/>
  <c r="AA31" i="34"/>
  <c r="AB35" i="34"/>
  <c r="AB29" i="34"/>
  <c r="AB47" i="34"/>
  <c r="AC13" i="34"/>
  <c r="S47" i="34"/>
  <c r="S19" i="34"/>
  <c r="S8" i="34"/>
  <c r="AA19" i="33"/>
  <c r="AC25" i="33"/>
  <c r="AB42" i="33"/>
  <c r="AB14" i="33"/>
  <c r="S15" i="33"/>
  <c r="S9" i="33"/>
  <c r="AB25" i="21"/>
  <c r="AB45" i="21"/>
  <c r="AA25" i="21"/>
  <c r="AA29" i="21"/>
  <c r="U27" i="21"/>
  <c r="W31" i="21"/>
  <c r="AC27" i="21"/>
  <c r="W29" i="21"/>
  <c r="G96" i="40"/>
  <c r="J27" i="40"/>
  <c r="W37" i="40"/>
  <c r="S17" i="40"/>
  <c r="W30" i="40"/>
  <c r="S34" i="40"/>
  <c r="U38" i="40"/>
  <c r="S40" i="40"/>
  <c r="J31" i="39"/>
  <c r="W31" i="39" s="1"/>
  <c r="S45" i="39"/>
  <c r="AB33" i="39"/>
  <c r="AC46" i="39"/>
  <c r="W42" i="39"/>
  <c r="W36" i="39"/>
  <c r="W16"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B18" i="36"/>
  <c r="S19" i="37"/>
  <c r="W19" i="37"/>
  <c r="AB19" i="37"/>
  <c r="U19" i="37"/>
  <c r="AC17" i="37"/>
  <c r="W17" i="37"/>
  <c r="AA25" i="34"/>
  <c r="W25" i="34"/>
  <c r="AC25" i="34"/>
  <c r="AA23" i="34"/>
  <c r="S23" i="34"/>
  <c r="AA25" i="33"/>
  <c r="S25" i="33"/>
  <c r="U23" i="33"/>
  <c r="W23" i="33"/>
  <c r="AC23" i="33"/>
  <c r="W17" i="33"/>
  <c r="AC17" i="33"/>
  <c r="AA17" i="33"/>
  <c r="S17" i="33"/>
  <c r="AB39" i="40"/>
  <c r="U39" i="40"/>
  <c r="AC39" i="40"/>
  <c r="W39" i="40"/>
  <c r="U37" i="40"/>
  <c r="AB37" i="40"/>
  <c r="AA37" i="40"/>
  <c r="S37" i="40"/>
  <c r="AA29" i="40"/>
  <c r="S29" i="40"/>
  <c r="W19" i="40"/>
  <c r="AC19" i="40"/>
  <c r="AA19" i="40"/>
  <c r="A17" i="51"/>
  <c r="B13" i="63" s="1"/>
  <c r="AT6" i="3"/>
  <c r="A9" i="64"/>
  <c r="A9" i="51"/>
  <c r="B9" i="63" s="1"/>
  <c r="A3" i="55"/>
  <c r="B56" i="63"/>
  <c r="G66" i="36"/>
  <c r="J18" i="36"/>
  <c r="AE6" i="1"/>
  <c r="W18" i="36"/>
  <c r="AC18" i="36"/>
  <c r="AG6" i="1"/>
  <c r="L20" i="6"/>
  <c r="C45" i="9"/>
  <c r="H14" i="66"/>
  <c r="B7" i="66" s="1"/>
  <c r="O40" i="9"/>
  <c r="R7" i="54" s="1"/>
  <c r="B52" i="63" s="1"/>
  <c r="K31" i="9"/>
  <c r="K32" i="9" s="1"/>
  <c r="N76" i="9"/>
  <c r="D58" i="21"/>
  <c r="E58" i="21" s="1"/>
  <c r="F58" i="21" s="1"/>
  <c r="D70" i="39"/>
  <c r="D72" i="39" s="1"/>
  <c r="C72" i="39"/>
  <c r="D58" i="33"/>
  <c r="E58" i="33" s="1"/>
  <c r="D65" i="40"/>
  <c r="E65" i="40" s="1"/>
  <c r="F65" i="40" s="1"/>
  <c r="H58" i="46"/>
  <c r="J17" i="46"/>
  <c r="C17" i="46"/>
  <c r="F34" i="46"/>
  <c r="F38" i="46"/>
  <c r="F37" i="46"/>
  <c r="H113" i="46"/>
  <c r="H49" i="46"/>
  <c r="H53" i="46"/>
  <c r="U9" i="59"/>
  <c r="F12" i="59"/>
  <c r="F11" i="59"/>
  <c r="F10" i="59" s="1"/>
  <c r="F9" i="59" s="1"/>
  <c r="Y11" i="59"/>
  <c r="Z11" i="59" s="1"/>
  <c r="AA11" i="59"/>
  <c r="AB11" i="59"/>
  <c r="Y10" i="59"/>
  <c r="Z10" i="59"/>
  <c r="Y9" i="59"/>
  <c r="Z9" i="59" s="1"/>
  <c r="Y8" i="59"/>
  <c r="Z8" i="59" s="1"/>
  <c r="AB10" i="59"/>
  <c r="AB9" i="59"/>
  <c r="AB8" i="59"/>
  <c r="AA13" i="59"/>
  <c r="X11" i="59"/>
  <c r="X9" i="59"/>
  <c r="X8" i="59"/>
  <c r="AA9" i="59"/>
  <c r="AA8" i="59"/>
  <c r="H1" i="65"/>
  <c r="H51" i="46"/>
  <c r="X7" i="46"/>
  <c r="E17" i="46"/>
  <c r="N17" i="46"/>
  <c r="O17" i="46"/>
  <c r="M17" i="46"/>
  <c r="L17" i="46"/>
  <c r="O13" i="1"/>
  <c r="O12" i="1"/>
  <c r="AP7" i="1"/>
  <c r="G13" i="1"/>
  <c r="E48" i="35"/>
  <c r="D59" i="34"/>
  <c r="J7" i="34" s="1"/>
  <c r="W7" i="34" s="1"/>
  <c r="H70" i="46"/>
  <c r="H73" i="46"/>
  <c r="F35" i="46"/>
  <c r="I17" i="46"/>
  <c r="H63" i="46"/>
  <c r="I101" i="46"/>
  <c r="I105" i="46" s="1"/>
  <c r="H64" i="46"/>
  <c r="H66" i="46"/>
  <c r="D100" i="46"/>
  <c r="H62" i="46"/>
  <c r="AF12" i="46"/>
  <c r="K100" i="46"/>
  <c r="AB12" i="46"/>
  <c r="AJ12" i="46"/>
  <c r="J101" i="46"/>
  <c r="J106" i="46" s="1"/>
  <c r="AF11" i="46"/>
  <c r="AF13" i="46" s="1"/>
  <c r="H60" i="46"/>
  <c r="H59" i="46"/>
  <c r="H74" i="46"/>
  <c r="H65" i="46"/>
  <c r="H75" i="46"/>
  <c r="E10" i="46"/>
  <c r="E9" i="46"/>
  <c r="E11" i="46"/>
  <c r="E8" i="46"/>
  <c r="H72" i="46"/>
  <c r="H76" i="46"/>
  <c r="H54" i="46"/>
  <c r="H52" i="46"/>
  <c r="AD12" i="46"/>
  <c r="AH12" i="46"/>
  <c r="P21" i="46"/>
  <c r="P22" i="46"/>
  <c r="P23" i="46"/>
  <c r="P25" i="46"/>
  <c r="B73" i="39" s="1"/>
  <c r="P24" i="46"/>
  <c r="B68" i="40" s="1"/>
  <c r="E70" i="39"/>
  <c r="F48" i="35"/>
  <c r="G48" i="35" s="1"/>
  <c r="E59" i="34"/>
  <c r="F59" i="34" s="1"/>
  <c r="G59" i="34" s="1"/>
  <c r="H59" i="34" s="1"/>
  <c r="I59" i="34" s="1"/>
  <c r="J59" i="34" s="1"/>
  <c r="K59" i="34" s="1"/>
  <c r="L59" i="34" s="1"/>
  <c r="M59" i="34" s="1"/>
  <c r="N59" i="34" s="1"/>
  <c r="O59" i="34" s="1"/>
  <c r="C7" i="46"/>
  <c r="E67" i="40"/>
  <c r="G20" i="46"/>
  <c r="E41" i="46" s="1"/>
  <c r="C41" i="46" s="1"/>
  <c r="S2" i="46"/>
  <c r="F7" i="34"/>
  <c r="H48" i="35"/>
  <c r="I48" i="35" s="1"/>
  <c r="J48" i="35" s="1"/>
  <c r="K48" i="35" s="1"/>
  <c r="L48" i="35"/>
  <c r="M48" i="35" s="1"/>
  <c r="F33" i="44"/>
  <c r="F31" i="15"/>
  <c r="F8" i="44"/>
  <c r="L48" i="15"/>
  <c r="M25" i="44"/>
  <c r="C19" i="44"/>
  <c r="F6" i="15"/>
  <c r="F10" i="67"/>
  <c r="E8" i="67"/>
  <c r="F36" i="15"/>
  <c r="N5" i="65"/>
  <c r="J36" i="15"/>
  <c r="B12" i="67"/>
  <c r="M23" i="44"/>
  <c r="F18" i="44"/>
  <c r="M29" i="15"/>
  <c r="F45" i="44"/>
  <c r="M26" i="44"/>
  <c r="I7" i="65"/>
  <c r="M30" i="44"/>
  <c r="F8" i="15"/>
  <c r="F40" i="15"/>
  <c r="J4" i="65"/>
  <c r="F7" i="15"/>
  <c r="M6" i="15"/>
  <c r="E9" i="67"/>
  <c r="B13" i="67"/>
  <c r="M8" i="15"/>
  <c r="N4" i="65"/>
  <c r="M24" i="44"/>
  <c r="F13" i="67"/>
  <c r="F11" i="67"/>
  <c r="F12" i="67"/>
  <c r="F14" i="67"/>
  <c r="M28" i="15"/>
  <c r="B14" i="67"/>
  <c r="F43" i="15"/>
  <c r="F8" i="67"/>
  <c r="N7" i="65"/>
  <c r="M27" i="15"/>
  <c r="F37" i="15"/>
  <c r="J15" i="15"/>
  <c r="F42" i="15"/>
  <c r="F9" i="67"/>
  <c r="M24" i="15"/>
  <c r="F16" i="15"/>
  <c r="E14" i="67"/>
  <c r="J17" i="44"/>
  <c r="M23" i="15"/>
  <c r="F13" i="15"/>
  <c r="J7" i="65"/>
  <c r="J3" i="65"/>
  <c r="B11" i="67"/>
  <c r="N6" i="65"/>
  <c r="M28" i="44"/>
  <c r="F46" i="44"/>
  <c r="M9" i="15"/>
  <c r="F9" i="44"/>
  <c r="E10" i="67"/>
  <c r="F38" i="15"/>
  <c r="F9" i="15"/>
  <c r="B10" i="67"/>
  <c r="E11" i="67"/>
  <c r="M8" i="44"/>
  <c r="N3" i="65"/>
  <c r="E12" i="67"/>
  <c r="I6" i="65"/>
  <c r="B8" i="67"/>
  <c r="M22" i="15"/>
  <c r="L47" i="15"/>
  <c r="M31" i="44"/>
  <c r="J6" i="65"/>
  <c r="F26" i="15"/>
  <c r="B9" i="67"/>
  <c r="E13" i="67"/>
  <c r="M26" i="15"/>
  <c r="F28" i="44"/>
  <c r="F10" i="44"/>
  <c r="AZ502" i="3" l="1"/>
  <c r="S36" i="33"/>
  <c r="AA36" i="33"/>
  <c r="AZ539" i="3"/>
  <c r="BA520" i="3"/>
  <c r="AZ520" i="3" s="1"/>
  <c r="BA519" i="3"/>
  <c r="AZ519" i="3" s="1"/>
  <c r="BA514" i="3"/>
  <c r="AZ514" i="3" s="1"/>
  <c r="BL513" i="3"/>
  <c r="BA501" i="3"/>
  <c r="AZ501" i="3" s="1"/>
  <c r="S7" i="34"/>
  <c r="AA7" i="34"/>
  <c r="R49" i="34" s="1"/>
  <c r="F8" i="59"/>
  <c r="F7" i="59" s="1"/>
  <c r="F6" i="59" s="1"/>
  <c r="F5" i="59" s="1"/>
  <c r="V9" i="59"/>
  <c r="U19" i="40"/>
  <c r="F70" i="39"/>
  <c r="E72" i="39"/>
  <c r="U23" i="39"/>
  <c r="AC11" i="33"/>
  <c r="W11" i="33"/>
  <c r="U43" i="39"/>
  <c r="AB43" i="39"/>
  <c r="U13" i="35"/>
  <c r="AB13" i="35"/>
  <c r="BS5" i="3"/>
  <c r="AA38" i="33"/>
  <c r="S38" i="33"/>
  <c r="S28" i="34"/>
  <c r="AA28" i="34"/>
  <c r="S42" i="33"/>
  <c r="AA42" i="33"/>
  <c r="AC30" i="21"/>
  <c r="W30" i="21"/>
  <c r="AB23" i="36"/>
  <c r="U23" i="36"/>
  <c r="H32" i="36"/>
  <c r="J32" i="36"/>
  <c r="F32" i="36"/>
  <c r="BL536" i="3"/>
  <c r="AZ533" i="3"/>
  <c r="AZ512" i="3"/>
  <c r="AZ510" i="3"/>
  <c r="BC5" i="3"/>
  <c r="U17" i="40"/>
  <c r="AB17" i="40"/>
  <c r="F67" i="40"/>
  <c r="G65" i="40"/>
  <c r="AA16" i="39"/>
  <c r="S16" i="39"/>
  <c r="U14" i="35"/>
  <c r="AB14" i="35"/>
  <c r="BE5" i="3"/>
  <c r="BJ5" i="3"/>
  <c r="AA14" i="21"/>
  <c r="S14" i="21"/>
  <c r="AC15" i="40"/>
  <c r="W15" i="40"/>
  <c r="S12" i="34"/>
  <c r="AA12" i="34"/>
  <c r="AC44" i="33"/>
  <c r="W44" i="33"/>
  <c r="AB37" i="33"/>
  <c r="U37" i="33"/>
  <c r="S34" i="35"/>
  <c r="U9" i="35"/>
  <c r="AB9" i="35"/>
  <c r="AZ568" i="3"/>
  <c r="AB14" i="36"/>
  <c r="U14" i="36"/>
  <c r="AC40" i="40"/>
  <c r="W40" i="40"/>
  <c r="AA15" i="39"/>
  <c r="S15" i="39"/>
  <c r="S26" i="33"/>
  <c r="AA26" i="33"/>
  <c r="AZ532" i="3"/>
  <c r="BA531" i="3"/>
  <c r="AZ531" i="3" s="1"/>
  <c r="BA509" i="3"/>
  <c r="AZ509" i="3" s="1"/>
  <c r="BA504" i="3"/>
  <c r="AZ504" i="3" s="1"/>
  <c r="BA503" i="3"/>
  <c r="AZ503" i="3" s="1"/>
  <c r="BL502" i="3"/>
  <c r="F34" i="15"/>
  <c r="F61" i="15" s="1"/>
  <c r="F34" i="72"/>
  <c r="M20" i="72"/>
  <c r="F34" i="68"/>
  <c r="F61" i="68" s="1"/>
  <c r="M20" i="68"/>
  <c r="F36" i="44"/>
  <c r="M22" i="44"/>
  <c r="M20" i="15"/>
  <c r="BQ5" i="3"/>
  <c r="F28" i="6" s="1"/>
  <c r="BL425" i="3"/>
  <c r="BN5" i="3"/>
  <c r="U45" i="39"/>
  <c r="AB45" i="39"/>
  <c r="AC25" i="40"/>
  <c r="W25" i="40"/>
  <c r="S29" i="34"/>
  <c r="AA29" i="34"/>
  <c r="AA44" i="34"/>
  <c r="S44" i="34"/>
  <c r="J25" i="35"/>
  <c r="H25" i="35"/>
  <c r="F25" i="35"/>
  <c r="BL563" i="3"/>
  <c r="BL559" i="3"/>
  <c r="BA556" i="3"/>
  <c r="AZ556" i="3" s="1"/>
  <c r="BL555" i="3"/>
  <c r="BA537" i="3"/>
  <c r="AZ537" i="3" s="1"/>
  <c r="BA534" i="3"/>
  <c r="BB5" i="3"/>
  <c r="AZ524" i="3"/>
  <c r="AZ523" i="3"/>
  <c r="BA522" i="3"/>
  <c r="S22" i="31"/>
  <c r="AC7" i="34"/>
  <c r="V49" i="34" s="1"/>
  <c r="I49" i="34" s="1"/>
  <c r="I53" i="34" s="1"/>
  <c r="J53" i="34" s="1"/>
  <c r="W29" i="40"/>
  <c r="AC29" i="40"/>
  <c r="W13" i="40"/>
  <c r="AC13" i="40"/>
  <c r="AB47" i="39"/>
  <c r="U47" i="39"/>
  <c r="W23" i="34"/>
  <c r="AC26" i="35"/>
  <c r="AC27" i="40"/>
  <c r="W27" i="40"/>
  <c r="Y11" i="46"/>
  <c r="Y13" i="46" s="1"/>
  <c r="J22" i="46"/>
  <c r="D101" i="46"/>
  <c r="D106" i="46" s="1"/>
  <c r="E22" i="46"/>
  <c r="C101" i="46"/>
  <c r="C109" i="46" s="1"/>
  <c r="AA11" i="46"/>
  <c r="AB11" i="46"/>
  <c r="AB13" i="46" s="1"/>
  <c r="H22" i="46"/>
  <c r="N101" i="46"/>
  <c r="N105" i="46" s="1"/>
  <c r="N104" i="45"/>
  <c r="S7" i="46"/>
  <c r="S4" i="46"/>
  <c r="Z7" i="46"/>
  <c r="H101" i="46"/>
  <c r="AD11" i="46"/>
  <c r="AD13" i="46" s="1"/>
  <c r="F22" i="46"/>
  <c r="AB41" i="33"/>
  <c r="U41" i="33"/>
  <c r="BA500" i="3"/>
  <c r="AZ500" i="3" s="1"/>
  <c r="AZ552" i="3"/>
  <c r="AC46" i="34"/>
  <c r="W46" i="34"/>
  <c r="AB29" i="33"/>
  <c r="U29" i="33"/>
  <c r="AB36" i="34"/>
  <c r="W15" i="37"/>
  <c r="AC15" i="37"/>
  <c r="AA41" i="34"/>
  <c r="S41" i="34"/>
  <c r="AZ565" i="3"/>
  <c r="S27" i="37"/>
  <c r="AA27" i="37"/>
  <c r="BA563" i="3"/>
  <c r="AZ563" i="3" s="1"/>
  <c r="BL561" i="3"/>
  <c r="AZ561" i="3" s="1"/>
  <c r="BA558" i="3"/>
  <c r="G558" i="3"/>
  <c r="BA555" i="3"/>
  <c r="BL554" i="3"/>
  <c r="A25" i="64"/>
  <c r="A25" i="51"/>
  <c r="B18" i="63" s="1"/>
  <c r="S21" i="40"/>
  <c r="AA21" i="40"/>
  <c r="AC32" i="37"/>
  <c r="W32" i="37"/>
  <c r="W40" i="33"/>
  <c r="AC40" i="33"/>
  <c r="AA9" i="35"/>
  <c r="S9" i="35"/>
  <c r="AA30" i="37"/>
  <c r="S30" i="37"/>
  <c r="BP5" i="3"/>
  <c r="BK5" i="3"/>
  <c r="H77" i="46"/>
  <c r="H48" i="46"/>
  <c r="U36" i="33"/>
  <c r="AA27" i="36"/>
  <c r="F32" i="15"/>
  <c r="F59" i="15" s="1"/>
  <c r="W39" i="39"/>
  <c r="F34" i="44"/>
  <c r="AA13" i="40"/>
  <c r="AZ312" i="3"/>
  <c r="H28" i="34"/>
  <c r="J28" i="37"/>
  <c r="U40" i="37"/>
  <c r="AB40" i="37"/>
  <c r="U31" i="33"/>
  <c r="S39" i="37"/>
  <c r="AA39" i="37"/>
  <c r="F9" i="21"/>
  <c r="S9" i="21" s="1"/>
  <c r="J9" i="21"/>
  <c r="S42" i="34"/>
  <c r="AA42" i="34"/>
  <c r="BA546" i="3"/>
  <c r="AZ546" i="3" s="1"/>
  <c r="BL545" i="3"/>
  <c r="AZ545" i="3"/>
  <c r="BA544" i="3"/>
  <c r="AZ544" i="3" s="1"/>
  <c r="BA543" i="3"/>
  <c r="AZ543" i="3" s="1"/>
  <c r="BL515" i="3"/>
  <c r="AZ515" i="3" s="1"/>
  <c r="BA513" i="3"/>
  <c r="AZ513" i="3" s="1"/>
  <c r="BL487" i="3"/>
  <c r="BL485" i="3"/>
  <c r="AZ485" i="3" s="1"/>
  <c r="BA483" i="3"/>
  <c r="C20" i="46"/>
  <c r="BO5" i="3"/>
  <c r="F12" i="33"/>
  <c r="J12" i="33"/>
  <c r="J36" i="35"/>
  <c r="H36" i="35"/>
  <c r="F36" i="35"/>
  <c r="BA569" i="3"/>
  <c r="AZ569" i="3" s="1"/>
  <c r="BA499" i="3"/>
  <c r="AZ499" i="3" s="1"/>
  <c r="BA498" i="3"/>
  <c r="AZ498" i="3" s="1"/>
  <c r="BL492" i="3"/>
  <c r="BR5" i="3"/>
  <c r="AB29" i="40"/>
  <c r="S39" i="40"/>
  <c r="AB17" i="33"/>
  <c r="AA23" i="33"/>
  <c r="AB23" i="34"/>
  <c r="AB25" i="34"/>
  <c r="W14" i="36"/>
  <c r="S34" i="39"/>
  <c r="S42" i="40"/>
  <c r="S27" i="21"/>
  <c r="W47" i="34"/>
  <c r="S28" i="37"/>
  <c r="AA13" i="37"/>
  <c r="U15" i="40"/>
  <c r="H47" i="46"/>
  <c r="H69" i="46"/>
  <c r="H50" i="46"/>
  <c r="S43" i="33"/>
  <c r="AB11" i="33"/>
  <c r="U11" i="34"/>
  <c r="F26" i="35"/>
  <c r="F30" i="44"/>
  <c r="S32" i="33"/>
  <c r="AB23" i="40"/>
  <c r="AC30" i="34"/>
  <c r="W47" i="39"/>
  <c r="AC47" i="39"/>
  <c r="W12" i="21"/>
  <c r="J32" i="34"/>
  <c r="AA43" i="21"/>
  <c r="AZ340" i="3"/>
  <c r="S36" i="37"/>
  <c r="AA36" i="37"/>
  <c r="S35" i="35"/>
  <c r="AA35" i="35"/>
  <c r="U37" i="37"/>
  <c r="AB37" i="37"/>
  <c r="J31" i="33"/>
  <c r="C29" i="39"/>
  <c r="BF5" i="3"/>
  <c r="F28" i="21"/>
  <c r="H28" i="21"/>
  <c r="F45" i="33"/>
  <c r="H45" i="33"/>
  <c r="J45" i="33"/>
  <c r="J25" i="36"/>
  <c r="H25" i="36"/>
  <c r="BA554" i="3"/>
  <c r="BL548" i="3"/>
  <c r="BA548" i="3"/>
  <c r="BA529" i="3"/>
  <c r="AZ529" i="3" s="1"/>
  <c r="BL522" i="3"/>
  <c r="BL518" i="3"/>
  <c r="AZ518" i="3" s="1"/>
  <c r="BA516" i="3"/>
  <c r="AZ516" i="3" s="1"/>
  <c r="G511" i="3"/>
  <c r="G507" i="3"/>
  <c r="BL506" i="3"/>
  <c r="AZ506" i="3" s="1"/>
  <c r="G506" i="3"/>
  <c r="BA505" i="3"/>
  <c r="AZ505" i="3" s="1"/>
  <c r="BL499" i="3"/>
  <c r="BA497" i="3"/>
  <c r="AZ497" i="3" s="1"/>
  <c r="BL495" i="3"/>
  <c r="AZ495" i="3" s="1"/>
  <c r="BL494" i="3"/>
  <c r="BA494" i="3"/>
  <c r="BA493" i="3"/>
  <c r="AZ493" i="3" s="1"/>
  <c r="BL491" i="3"/>
  <c r="AZ491" i="3" s="1"/>
  <c r="BL490" i="3"/>
  <c r="D67" i="40"/>
  <c r="M20" i="44"/>
  <c r="U14" i="40"/>
  <c r="AB14" i="40"/>
  <c r="BL552" i="3"/>
  <c r="AZ508" i="3"/>
  <c r="AZ487" i="3"/>
  <c r="AA38" i="37"/>
  <c r="S46" i="33"/>
  <c r="AA46" i="33"/>
  <c r="U44" i="33"/>
  <c r="AB44" i="33"/>
  <c r="W13" i="36"/>
  <c r="AC13" i="36"/>
  <c r="J28" i="33"/>
  <c r="BL13" i="3"/>
  <c r="AZ13" i="3" s="1"/>
  <c r="AC31" i="36"/>
  <c r="AC43" i="21"/>
  <c r="W43" i="21"/>
  <c r="W9" i="33"/>
  <c r="AC9" i="33"/>
  <c r="J9" i="35"/>
  <c r="H30" i="33"/>
  <c r="J30" i="33"/>
  <c r="F13" i="35"/>
  <c r="J13" i="35"/>
  <c r="J34" i="35"/>
  <c r="H34" i="35"/>
  <c r="AC41" i="21"/>
  <c r="W41" i="21"/>
  <c r="G562" i="3"/>
  <c r="BL558" i="3"/>
  <c r="BA557" i="3"/>
  <c r="AZ557" i="3" s="1"/>
  <c r="G554" i="3"/>
  <c r="BL553" i="3"/>
  <c r="BA553" i="3"/>
  <c r="AZ553" i="3" s="1"/>
  <c r="BA541" i="3"/>
  <c r="AZ541" i="3" s="1"/>
  <c r="BL538" i="3"/>
  <c r="BA538" i="3"/>
  <c r="BL535" i="3"/>
  <c r="BA535" i="3"/>
  <c r="BL534" i="3"/>
  <c r="G525" i="3"/>
  <c r="G6" i="1"/>
  <c r="BM5" i="3"/>
  <c r="F29" i="6" s="1"/>
  <c r="S38" i="39"/>
  <c r="AC21" i="39"/>
  <c r="AB34" i="33"/>
  <c r="W37" i="34"/>
  <c r="AA9" i="37"/>
  <c r="U27" i="36"/>
  <c r="D86" i="9"/>
  <c r="U16" i="40"/>
  <c r="AC13" i="33"/>
  <c r="F15" i="40"/>
  <c r="AC29" i="35"/>
  <c r="W29" i="35"/>
  <c r="AB32" i="34"/>
  <c r="S14" i="34"/>
  <c r="H12" i="34"/>
  <c r="AB12" i="37"/>
  <c r="U12" i="37"/>
  <c r="S25" i="37"/>
  <c r="H28" i="37"/>
  <c r="S30" i="33"/>
  <c r="S13" i="33"/>
  <c r="AA13" i="33"/>
  <c r="H28" i="33"/>
  <c r="H12" i="33"/>
  <c r="F31" i="33"/>
  <c r="H13" i="34"/>
  <c r="F13" i="34"/>
  <c r="F11" i="35"/>
  <c r="H11" i="35"/>
  <c r="AA10" i="36"/>
  <c r="S10" i="36"/>
  <c r="W8" i="37"/>
  <c r="AC8" i="37"/>
  <c r="E99" i="39"/>
  <c r="F99" i="39" s="1"/>
  <c r="G99" i="39" s="1"/>
  <c r="J25" i="39"/>
  <c r="F25" i="39"/>
  <c r="AA25" i="39" s="1"/>
  <c r="AB21" i="40"/>
  <c r="U21" i="40"/>
  <c r="BA564" i="3"/>
  <c r="AZ564" i="3" s="1"/>
  <c r="BA562" i="3"/>
  <c r="AZ562" i="3" s="1"/>
  <c r="BA560" i="3"/>
  <c r="AZ560" i="3" s="1"/>
  <c r="BA559" i="3"/>
  <c r="AZ559" i="3" s="1"/>
  <c r="BL496" i="3"/>
  <c r="AZ496" i="3" s="1"/>
  <c r="BL483" i="3"/>
  <c r="BL482" i="3"/>
  <c r="AZ482" i="3" s="1"/>
  <c r="BG5" i="3"/>
  <c r="AC5" i="3"/>
  <c r="M18" i="72"/>
  <c r="F32" i="72"/>
  <c r="F59" i="72" s="1"/>
  <c r="F28" i="72"/>
  <c r="C28" i="72" s="1"/>
  <c r="F28" i="68"/>
  <c r="F32" i="68"/>
  <c r="F59" i="68" s="1"/>
  <c r="M18" i="68"/>
  <c r="F71" i="9"/>
  <c r="F29" i="12"/>
  <c r="F28" i="15"/>
  <c r="C28" i="15" s="1"/>
  <c r="F72" i="9"/>
  <c r="J23" i="39"/>
  <c r="F23" i="39"/>
  <c r="BH5" i="3"/>
  <c r="J14" i="21"/>
  <c r="H14" i="21"/>
  <c r="H44" i="21"/>
  <c r="J44" i="21"/>
  <c r="F44" i="21"/>
  <c r="AA28" i="33"/>
  <c r="S28" i="33"/>
  <c r="H26" i="35"/>
  <c r="BA567" i="3"/>
  <c r="AZ567" i="3" s="1"/>
  <c r="BA490" i="3"/>
  <c r="AZ490" i="3" s="1"/>
  <c r="AZ481" i="3"/>
  <c r="AZ316" i="3"/>
  <c r="AZ355" i="3"/>
  <c r="BA572" i="3"/>
  <c r="AZ572" i="3" s="1"/>
  <c r="U27" i="35"/>
  <c r="AB27" i="35"/>
  <c r="W24" i="36"/>
  <c r="AC24" i="36"/>
  <c r="G543" i="3"/>
  <c r="G539" i="3"/>
  <c r="BA536" i="3"/>
  <c r="AZ536" i="3" s="1"/>
  <c r="BL526" i="3"/>
  <c r="AZ526" i="3" s="1"/>
  <c r="G505" i="3"/>
  <c r="BL493" i="3"/>
  <c r="BA492" i="3"/>
  <c r="BL484" i="3"/>
  <c r="AZ484" i="3" s="1"/>
  <c r="AZ358" i="3"/>
  <c r="U9" i="34"/>
  <c r="W27" i="35"/>
  <c r="AC27" i="35"/>
  <c r="G482" i="3"/>
  <c r="G19" i="3"/>
  <c r="G15" i="3"/>
  <c r="H5" i="3"/>
  <c r="BT5" i="3"/>
  <c r="G531" i="3"/>
  <c r="G520" i="3"/>
  <c r="G516" i="3"/>
  <c r="G509" i="3"/>
  <c r="G504" i="3"/>
  <c r="BL392" i="3"/>
  <c r="BL403" i="3"/>
  <c r="AZ403" i="3" s="1"/>
  <c r="BA407" i="3"/>
  <c r="AZ407" i="3" s="1"/>
  <c r="BL415" i="3"/>
  <c r="AZ415" i="3" s="1"/>
  <c r="AZ397" i="3"/>
  <c r="BL439" i="3"/>
  <c r="AZ451" i="3"/>
  <c r="AZ389" i="3"/>
  <c r="AZ392" i="3"/>
  <c r="BA400" i="3"/>
  <c r="AZ400" i="3" s="1"/>
  <c r="BL410" i="3"/>
  <c r="AZ413" i="3"/>
  <c r="BA414" i="3"/>
  <c r="AZ414" i="3" s="1"/>
  <c r="AZ425" i="3"/>
  <c r="AZ427" i="3"/>
  <c r="AZ435" i="3"/>
  <c r="BA441" i="3"/>
  <c r="AZ441" i="3" s="1"/>
  <c r="AZ445" i="3"/>
  <c r="AZ447" i="3"/>
  <c r="BA456" i="3"/>
  <c r="AZ456" i="3" s="1"/>
  <c r="AZ259" i="3"/>
  <c r="BA391" i="3"/>
  <c r="AZ391" i="3" s="1"/>
  <c r="BL399" i="3"/>
  <c r="AZ399" i="3" s="1"/>
  <c r="BA412" i="3"/>
  <c r="AZ412" i="3" s="1"/>
  <c r="AZ417" i="3"/>
  <c r="BA419" i="3"/>
  <c r="AZ419" i="3" s="1"/>
  <c r="BL424" i="3"/>
  <c r="BL430" i="3"/>
  <c r="AZ430" i="3" s="1"/>
  <c r="BL434" i="3"/>
  <c r="AZ448" i="3"/>
  <c r="AZ464" i="3"/>
  <c r="BI5" i="3"/>
  <c r="G535" i="3"/>
  <c r="E535" i="3" s="1"/>
  <c r="BA393" i="3"/>
  <c r="AZ393" i="3" s="1"/>
  <c r="BL401" i="3"/>
  <c r="AZ401" i="3" s="1"/>
  <c r="AZ404" i="3"/>
  <c r="BA405" i="3"/>
  <c r="AZ405" i="3" s="1"/>
  <c r="BL405" i="3"/>
  <c r="AZ408" i="3"/>
  <c r="BA410" i="3"/>
  <c r="BA416" i="3"/>
  <c r="AZ416" i="3" s="1"/>
  <c r="BA426" i="3"/>
  <c r="AZ426" i="3" s="1"/>
  <c r="BA433" i="3"/>
  <c r="AZ433" i="3" s="1"/>
  <c r="BA436" i="3"/>
  <c r="AZ436" i="3" s="1"/>
  <c r="AZ443" i="3"/>
  <c r="AZ254" i="3"/>
  <c r="BA424" i="3"/>
  <c r="BA429" i="3"/>
  <c r="BA434" i="3"/>
  <c r="BA471" i="3"/>
  <c r="AZ471" i="3" s="1"/>
  <c r="BA474" i="3"/>
  <c r="AZ476" i="3"/>
  <c r="BL476" i="3"/>
  <c r="BL302" i="3"/>
  <c r="AZ302" i="3" s="1"/>
  <c r="BL312" i="3"/>
  <c r="BA325" i="3"/>
  <c r="AZ325" i="3" s="1"/>
  <c r="BL350" i="3"/>
  <c r="BL382" i="3"/>
  <c r="AZ382" i="3" s="1"/>
  <c r="BL225" i="3"/>
  <c r="AZ225" i="3" s="1"/>
  <c r="BA242" i="3"/>
  <c r="AZ242" i="3" s="1"/>
  <c r="BL418" i="3"/>
  <c r="AZ418" i="3" s="1"/>
  <c r="BL422" i="3"/>
  <c r="AZ422" i="3" s="1"/>
  <c r="BA439" i="3"/>
  <c r="AZ439" i="3" s="1"/>
  <c r="BA444" i="3"/>
  <c r="AZ444" i="3" s="1"/>
  <c r="BL452" i="3"/>
  <c r="AZ452" i="3" s="1"/>
  <c r="BL454" i="3"/>
  <c r="AZ454" i="3" s="1"/>
  <c r="BL462" i="3"/>
  <c r="AZ462" i="3" s="1"/>
  <c r="BL464" i="3"/>
  <c r="BL467" i="3"/>
  <c r="AZ467" i="3" s="1"/>
  <c r="AZ480" i="3"/>
  <c r="G317" i="3"/>
  <c r="G331" i="3"/>
  <c r="BL334" i="3"/>
  <c r="BL335" i="3"/>
  <c r="AZ335" i="3" s="1"/>
  <c r="G345" i="3"/>
  <c r="BA350" i="3"/>
  <c r="AZ350" i="3" s="1"/>
  <c r="BL364" i="3"/>
  <c r="AZ364" i="3" s="1"/>
  <c r="BA386" i="3"/>
  <c r="AZ386" i="3" s="1"/>
  <c r="BL212" i="3"/>
  <c r="AZ230" i="3"/>
  <c r="BA243" i="3"/>
  <c r="BL248" i="3"/>
  <c r="AZ248" i="3" s="1"/>
  <c r="BL260" i="3"/>
  <c r="AZ260" i="3" s="1"/>
  <c r="C92" i="9"/>
  <c r="BL427" i="3"/>
  <c r="BL437" i="3"/>
  <c r="AZ437" i="3" s="1"/>
  <c r="BL446" i="3"/>
  <c r="AZ446" i="3" s="1"/>
  <c r="BL447" i="3"/>
  <c r="BL448" i="3"/>
  <c r="BL449" i="3"/>
  <c r="BL456" i="3"/>
  <c r="BL457" i="3"/>
  <c r="AZ457" i="3" s="1"/>
  <c r="BL308" i="3"/>
  <c r="AZ308" i="3" s="1"/>
  <c r="BA315" i="3"/>
  <c r="AZ315" i="3" s="1"/>
  <c r="BL318" i="3"/>
  <c r="AZ334" i="3"/>
  <c r="AZ211" i="3"/>
  <c r="AZ214" i="3"/>
  <c r="BA219" i="3"/>
  <c r="AZ219" i="3" s="1"/>
  <c r="A11" i="55"/>
  <c r="B62" i="63" s="1"/>
  <c r="BL420" i="3"/>
  <c r="AZ420" i="3" s="1"/>
  <c r="G432" i="3"/>
  <c r="BL442" i="3"/>
  <c r="BA449" i="3"/>
  <c r="AZ449" i="3" s="1"/>
  <c r="BA458" i="3"/>
  <c r="AZ458" i="3" s="1"/>
  <c r="BA466" i="3"/>
  <c r="AZ466" i="3" s="1"/>
  <c r="BL474" i="3"/>
  <c r="BA478" i="3"/>
  <c r="AZ478" i="3" s="1"/>
  <c r="BL306" i="3"/>
  <c r="AZ306" i="3" s="1"/>
  <c r="BA321" i="3"/>
  <c r="AZ321" i="3" s="1"/>
  <c r="BL326" i="3"/>
  <c r="AZ326" i="3" s="1"/>
  <c r="BA333" i="3"/>
  <c r="AZ333" i="3" s="1"/>
  <c r="BA341" i="3"/>
  <c r="AZ341" i="3" s="1"/>
  <c r="BA369" i="3"/>
  <c r="AZ369" i="3" s="1"/>
  <c r="BA371" i="3"/>
  <c r="AZ371" i="3" s="1"/>
  <c r="BA387" i="3"/>
  <c r="AZ387" i="3" s="1"/>
  <c r="BL205" i="3"/>
  <c r="AZ205" i="3" s="1"/>
  <c r="BL206" i="3"/>
  <c r="BA207" i="3"/>
  <c r="AZ207" i="3" s="1"/>
  <c r="BA209" i="3"/>
  <c r="AZ209" i="3" s="1"/>
  <c r="BA210" i="3"/>
  <c r="AZ210" i="3" s="1"/>
  <c r="BA212" i="3"/>
  <c r="AZ212" i="3" s="1"/>
  <c r="BA224" i="3"/>
  <c r="AZ224" i="3" s="1"/>
  <c r="BA227" i="3"/>
  <c r="AZ238" i="3"/>
  <c r="BA113" i="3"/>
  <c r="AZ113" i="3" s="1"/>
  <c r="G427" i="3"/>
  <c r="BL429" i="3"/>
  <c r="G437" i="3"/>
  <c r="BA442" i="3"/>
  <c r="AZ442" i="3" s="1"/>
  <c r="G447" i="3"/>
  <c r="G449" i="3"/>
  <c r="G457" i="3"/>
  <c r="BA459" i="3"/>
  <c r="AZ459" i="3" s="1"/>
  <c r="BA475" i="3"/>
  <c r="AZ475" i="3" s="1"/>
  <c r="BL477" i="3"/>
  <c r="AZ477" i="3" s="1"/>
  <c r="BL316" i="3"/>
  <c r="BA318" i="3"/>
  <c r="AZ318" i="3" s="1"/>
  <c r="BL330" i="3"/>
  <c r="AZ330" i="3" s="1"/>
  <c r="G333" i="3"/>
  <c r="G347" i="3"/>
  <c r="BL351" i="3"/>
  <c r="AZ351" i="3" s="1"/>
  <c r="BL366" i="3"/>
  <c r="AZ366" i="3" s="1"/>
  <c r="BA367" i="3"/>
  <c r="AZ367" i="3" s="1"/>
  <c r="BA384" i="3"/>
  <c r="AZ384" i="3" s="1"/>
  <c r="BA206" i="3"/>
  <c r="AZ206" i="3" s="1"/>
  <c r="BL218" i="3"/>
  <c r="AZ218" i="3" s="1"/>
  <c r="BL221" i="3"/>
  <c r="AZ221" i="3" s="1"/>
  <c r="AZ266" i="3"/>
  <c r="BL385" i="3"/>
  <c r="AZ385" i="3" s="1"/>
  <c r="BL208" i="3"/>
  <c r="AZ208" i="3" s="1"/>
  <c r="BA222" i="3"/>
  <c r="AZ222" i="3" s="1"/>
  <c r="BA237" i="3"/>
  <c r="BL263" i="3"/>
  <c r="G208" i="3"/>
  <c r="BA215" i="3"/>
  <c r="AZ215" i="3" s="1"/>
  <c r="BL227" i="3"/>
  <c r="BL231" i="3"/>
  <c r="AZ231" i="3" s="1"/>
  <c r="BL232" i="3"/>
  <c r="AZ232" i="3" s="1"/>
  <c r="BA239" i="3"/>
  <c r="AZ239" i="3" s="1"/>
  <c r="BL243" i="3"/>
  <c r="BL251" i="3"/>
  <c r="G256" i="3"/>
  <c r="BA264" i="3"/>
  <c r="AZ264" i="3" s="1"/>
  <c r="BL268" i="3"/>
  <c r="BL292" i="3"/>
  <c r="AZ292" i="3" s="1"/>
  <c r="AZ26" i="3"/>
  <c r="BL387" i="3"/>
  <c r="BA228" i="3"/>
  <c r="AZ228" i="3" s="1"/>
  <c r="BL252" i="3"/>
  <c r="AZ252" i="3" s="1"/>
  <c r="BL259" i="3"/>
  <c r="BA265" i="3"/>
  <c r="AZ265" i="3" s="1"/>
  <c r="BL269" i="3"/>
  <c r="BA270" i="3"/>
  <c r="AZ270" i="3" s="1"/>
  <c r="BL274" i="3"/>
  <c r="AZ274" i="3" s="1"/>
  <c r="AZ280" i="3"/>
  <c r="BA289" i="3"/>
  <c r="AZ289" i="3" s="1"/>
  <c r="BL289" i="3"/>
  <c r="BL213" i="3"/>
  <c r="AZ213" i="3" s="1"/>
  <c r="G228" i="3"/>
  <c r="G232" i="3"/>
  <c r="BL237" i="3"/>
  <c r="BA245" i="3"/>
  <c r="AZ245" i="3" s="1"/>
  <c r="BA246" i="3"/>
  <c r="AZ246" i="3" s="1"/>
  <c r="BA251" i="3"/>
  <c r="BL253" i="3"/>
  <c r="AZ253" i="3" s="1"/>
  <c r="BA258" i="3"/>
  <c r="AZ258" i="3" s="1"/>
  <c r="BA268" i="3"/>
  <c r="AZ268" i="3" s="1"/>
  <c r="AZ269" i="3"/>
  <c r="BL116" i="3"/>
  <c r="AZ116" i="3" s="1"/>
  <c r="AZ176" i="3"/>
  <c r="AZ58" i="3"/>
  <c r="AZ69" i="3"/>
  <c r="BA263" i="3"/>
  <c r="AZ263" i="3" s="1"/>
  <c r="G285" i="3"/>
  <c r="G292" i="3"/>
  <c r="BA115" i="3"/>
  <c r="AZ115" i="3" s="1"/>
  <c r="BA120" i="3"/>
  <c r="AZ120" i="3" s="1"/>
  <c r="BA124" i="3"/>
  <c r="BL153" i="3"/>
  <c r="AZ153" i="3" s="1"/>
  <c r="BA159" i="3"/>
  <c r="AZ159" i="3" s="1"/>
  <c r="AZ168" i="3"/>
  <c r="BA182" i="3"/>
  <c r="AZ182" i="3" s="1"/>
  <c r="BA185" i="3"/>
  <c r="AZ185" i="3" s="1"/>
  <c r="BL187" i="3"/>
  <c r="BL188" i="3"/>
  <c r="AZ188" i="3" s="1"/>
  <c r="BA191" i="3"/>
  <c r="BA194" i="3"/>
  <c r="AZ194" i="3" s="1"/>
  <c r="BA197" i="3"/>
  <c r="AZ197" i="3" s="1"/>
  <c r="BL199" i="3"/>
  <c r="BL200" i="3"/>
  <c r="AZ200" i="3" s="1"/>
  <c r="BL202" i="3"/>
  <c r="BL203" i="3"/>
  <c r="AZ203" i="3" s="1"/>
  <c r="BL21" i="3"/>
  <c r="BL28" i="3"/>
  <c r="BL35" i="3"/>
  <c r="AZ35" i="3" s="1"/>
  <c r="G49" i="3"/>
  <c r="G53" i="3"/>
  <c r="G64" i="3"/>
  <c r="G69" i="3"/>
  <c r="AZ108" i="3"/>
  <c r="AZ111" i="3"/>
  <c r="C7" i="73"/>
  <c r="C58" i="73" s="1"/>
  <c r="C42" i="1"/>
  <c r="C25" i="12" s="1"/>
  <c r="BL275" i="3"/>
  <c r="AZ275" i="3" s="1"/>
  <c r="BA284" i="3"/>
  <c r="AZ284" i="3" s="1"/>
  <c r="BA287" i="3"/>
  <c r="AZ287" i="3" s="1"/>
  <c r="BA291" i="3"/>
  <c r="AZ291" i="3" s="1"/>
  <c r="BA294" i="3"/>
  <c r="AZ294" i="3" s="1"/>
  <c r="BA119" i="3"/>
  <c r="AZ119" i="3" s="1"/>
  <c r="BA123" i="3"/>
  <c r="AZ123" i="3" s="1"/>
  <c r="AZ128" i="3"/>
  <c r="BA133" i="3"/>
  <c r="BL133" i="3"/>
  <c r="BL145" i="3"/>
  <c r="BL146" i="3"/>
  <c r="AZ146" i="3" s="1"/>
  <c r="BA177" i="3"/>
  <c r="AZ177" i="3" s="1"/>
  <c r="BL190" i="3"/>
  <c r="BA202" i="3"/>
  <c r="AZ21" i="3"/>
  <c r="AZ22" i="3"/>
  <c r="AZ25" i="3"/>
  <c r="BL30" i="3"/>
  <c r="BL261" i="3"/>
  <c r="AZ261" i="3" s="1"/>
  <c r="BL270" i="3"/>
  <c r="BA279" i="3"/>
  <c r="AZ279" i="3" s="1"/>
  <c r="BA282" i="3"/>
  <c r="AZ282" i="3" s="1"/>
  <c r="BL282" i="3"/>
  <c r="G287" i="3"/>
  <c r="BL290" i="3"/>
  <c r="AZ290" i="3" s="1"/>
  <c r="G294" i="3"/>
  <c r="G119" i="3"/>
  <c r="G123" i="3"/>
  <c r="BA127" i="3"/>
  <c r="AZ127" i="3" s="1"/>
  <c r="BL130" i="3"/>
  <c r="AZ130" i="3" s="1"/>
  <c r="G131" i="3"/>
  <c r="BA137" i="3"/>
  <c r="BL137" i="3"/>
  <c r="G138" i="3"/>
  <c r="BA141" i="3"/>
  <c r="AZ141" i="3" s="1"/>
  <c r="BL141" i="3"/>
  <c r="G142" i="3"/>
  <c r="BL149" i="3"/>
  <c r="BL150" i="3"/>
  <c r="AZ150" i="3" s="1"/>
  <c r="BL156" i="3"/>
  <c r="BL157" i="3"/>
  <c r="AZ157" i="3" s="1"/>
  <c r="BA164" i="3"/>
  <c r="AZ164" i="3" s="1"/>
  <c r="BA167" i="3"/>
  <c r="AZ167" i="3" s="1"/>
  <c r="BA170" i="3"/>
  <c r="AZ170" i="3" s="1"/>
  <c r="BA181" i="3"/>
  <c r="AZ181" i="3" s="1"/>
  <c r="BL183" i="3"/>
  <c r="BL184" i="3"/>
  <c r="AZ184" i="3" s="1"/>
  <c r="BA187" i="3"/>
  <c r="BA190" i="3"/>
  <c r="AZ190" i="3" s="1"/>
  <c r="BA193" i="3"/>
  <c r="AZ193" i="3" s="1"/>
  <c r="BL195" i="3"/>
  <c r="BL196" i="3"/>
  <c r="AZ196" i="3" s="1"/>
  <c r="BA199" i="3"/>
  <c r="BL204" i="3"/>
  <c r="G21" i="3"/>
  <c r="BL24" i="3"/>
  <c r="BA28" i="3"/>
  <c r="AZ28" i="3" s="1"/>
  <c r="BL37" i="3"/>
  <c r="BL58" i="3"/>
  <c r="AZ88" i="3"/>
  <c r="BA145" i="3"/>
  <c r="AZ145" i="3" s="1"/>
  <c r="BA152" i="3"/>
  <c r="BL152" i="3"/>
  <c r="BL160" i="3"/>
  <c r="AZ160" i="3" s="1"/>
  <c r="BA163" i="3"/>
  <c r="AZ163" i="3" s="1"/>
  <c r="BL163" i="3"/>
  <c r="BA166" i="3"/>
  <c r="AZ166" i="3" s="1"/>
  <c r="BL175" i="3"/>
  <c r="BL186" i="3"/>
  <c r="BL198" i="3"/>
  <c r="BA204" i="3"/>
  <c r="AZ204" i="3" s="1"/>
  <c r="BA24" i="3"/>
  <c r="AZ24" i="3" s="1"/>
  <c r="AZ30" i="3"/>
  <c r="BA37" i="3"/>
  <c r="AZ42" i="3"/>
  <c r="BA47" i="3"/>
  <c r="AZ47" i="3" s="1"/>
  <c r="BL49" i="3"/>
  <c r="AZ49" i="3" s="1"/>
  <c r="BL51" i="3"/>
  <c r="AZ51" i="3" s="1"/>
  <c r="BL53" i="3"/>
  <c r="AZ53" i="3" s="1"/>
  <c r="BL69" i="3"/>
  <c r="G227" i="3"/>
  <c r="BA234" i="3"/>
  <c r="AZ234" i="3" s="1"/>
  <c r="BL249" i="3"/>
  <c r="AZ249" i="3" s="1"/>
  <c r="BL256" i="3"/>
  <c r="AZ256" i="3" s="1"/>
  <c r="G270" i="3"/>
  <c r="BL272" i="3"/>
  <c r="AZ272" i="3" s="1"/>
  <c r="BA277" i="3"/>
  <c r="AZ277" i="3" s="1"/>
  <c r="BL277" i="3"/>
  <c r="BL285" i="3"/>
  <c r="AZ285" i="3" s="1"/>
  <c r="G289" i="3"/>
  <c r="BL120" i="3"/>
  <c r="BL124" i="3"/>
  <c r="BA129" i="3"/>
  <c r="AZ129" i="3" s="1"/>
  <c r="BL134" i="3"/>
  <c r="AZ134" i="3" s="1"/>
  <c r="BA149" i="3"/>
  <c r="AZ149" i="3" s="1"/>
  <c r="BA156" i="3"/>
  <c r="AZ156" i="3" s="1"/>
  <c r="BL168" i="3"/>
  <c r="BL169" i="3"/>
  <c r="AZ169" i="3" s="1"/>
  <c r="BA175" i="3"/>
  <c r="AZ175" i="3" s="1"/>
  <c r="BL178" i="3"/>
  <c r="AZ178" i="3" s="1"/>
  <c r="BL180" i="3"/>
  <c r="AZ180" i="3" s="1"/>
  <c r="BA183" i="3"/>
  <c r="AZ183" i="3" s="1"/>
  <c r="BA186" i="3"/>
  <c r="BA189" i="3"/>
  <c r="AZ189" i="3" s="1"/>
  <c r="BL191" i="3"/>
  <c r="BL192" i="3"/>
  <c r="AZ192" i="3" s="1"/>
  <c r="BA195" i="3"/>
  <c r="BA198" i="3"/>
  <c r="AZ198" i="3" s="1"/>
  <c r="BA201" i="3"/>
  <c r="AZ201" i="3" s="1"/>
  <c r="BA23" i="3"/>
  <c r="AZ23" i="3" s="1"/>
  <c r="BA27" i="3"/>
  <c r="AZ27" i="3" s="1"/>
  <c r="G30" i="3"/>
  <c r="BA33" i="3"/>
  <c r="AZ33" i="3" s="1"/>
  <c r="G42" i="3"/>
  <c r="BL45" i="3"/>
  <c r="AZ45" i="3" s="1"/>
  <c r="BA50" i="3"/>
  <c r="AZ50" i="3" s="1"/>
  <c r="G58" i="3"/>
  <c r="AZ76" i="3"/>
  <c r="AZ77" i="3"/>
  <c r="BA32" i="3"/>
  <c r="AZ32" i="3" s="1"/>
  <c r="BA38" i="3"/>
  <c r="AZ38" i="3" s="1"/>
  <c r="BL55" i="3"/>
  <c r="AZ55" i="3" s="1"/>
  <c r="BA59" i="3"/>
  <c r="AZ59" i="3" s="1"/>
  <c r="BA66" i="3"/>
  <c r="AZ66" i="3" s="1"/>
  <c r="AZ73" i="3"/>
  <c r="BA75" i="3"/>
  <c r="AZ75" i="3" s="1"/>
  <c r="BL82" i="3"/>
  <c r="AZ83" i="3"/>
  <c r="AZ85" i="3"/>
  <c r="AZ87" i="3"/>
  <c r="BL103" i="3"/>
  <c r="BA107" i="3"/>
  <c r="AZ107" i="3" s="1"/>
  <c r="BA36" i="3"/>
  <c r="AZ36" i="3" s="1"/>
  <c r="BL41" i="3"/>
  <c r="BL5" i="3" s="1"/>
  <c r="BL48" i="3"/>
  <c r="BA54" i="3"/>
  <c r="AZ54" i="3" s="1"/>
  <c r="BL68" i="3"/>
  <c r="BA82" i="3"/>
  <c r="AZ82" i="3" s="1"/>
  <c r="BA84" i="3"/>
  <c r="AZ84" i="3" s="1"/>
  <c r="BL92" i="3"/>
  <c r="BL96" i="3"/>
  <c r="BL98" i="3"/>
  <c r="AZ104" i="3"/>
  <c r="BA109" i="3"/>
  <c r="AZ109" i="3" s="1"/>
  <c r="G1" i="72"/>
  <c r="T21" i="59"/>
  <c r="D21" i="59"/>
  <c r="S61" i="59"/>
  <c r="B60" i="59"/>
  <c r="B59" i="59" s="1"/>
  <c r="G24" i="3"/>
  <c r="BL34" i="3"/>
  <c r="BA41" i="3"/>
  <c r="AZ41" i="3" s="1"/>
  <c r="BA48" i="3"/>
  <c r="AZ48" i="3" s="1"/>
  <c r="BA52" i="3"/>
  <c r="AZ52" i="3" s="1"/>
  <c r="BL57" i="3"/>
  <c r="BL64" i="3"/>
  <c r="AZ64" i="3" s="1"/>
  <c r="BA68" i="3"/>
  <c r="AZ68" i="3" s="1"/>
  <c r="BL71" i="3"/>
  <c r="AZ71" i="3" s="1"/>
  <c r="BL78" i="3"/>
  <c r="AZ78" i="3" s="1"/>
  <c r="BL90" i="3"/>
  <c r="AZ90" i="3" s="1"/>
  <c r="BL94" i="3"/>
  <c r="AZ94" i="3" s="1"/>
  <c r="AZ97" i="3"/>
  <c r="BA98" i="3"/>
  <c r="G99" i="3"/>
  <c r="BA101" i="3"/>
  <c r="AZ101" i="3" s="1"/>
  <c r="BA105" i="3"/>
  <c r="AZ105" i="3" s="1"/>
  <c r="I21" i="57"/>
  <c r="D1" i="57"/>
  <c r="E10" i="57" s="1"/>
  <c r="AA23" i="59"/>
  <c r="AA20" i="59"/>
  <c r="X25" i="59"/>
  <c r="X23" i="59"/>
  <c r="C40" i="59"/>
  <c r="D39" i="59"/>
  <c r="U17" i="59"/>
  <c r="E16" i="59"/>
  <c r="E15" i="59" s="1"/>
  <c r="G25" i="3"/>
  <c r="BA34" i="3"/>
  <c r="AZ34" i="3" s="1"/>
  <c r="G48" i="3"/>
  <c r="BL50" i="3"/>
  <c r="BA57" i="3"/>
  <c r="AZ57" i="3" s="1"/>
  <c r="BL80" i="3"/>
  <c r="AZ80" i="3" s="1"/>
  <c r="BA92" i="3"/>
  <c r="BA96" i="3"/>
  <c r="BA103" i="3"/>
  <c r="AZ103" i="3" s="1"/>
  <c r="T13" i="59"/>
  <c r="D13" i="59"/>
  <c r="C12" i="59"/>
  <c r="AA10" i="59"/>
  <c r="S27" i="40"/>
  <c r="C45" i="59"/>
  <c r="D44" i="59"/>
  <c r="Y17" i="59"/>
  <c r="Z17" i="59" s="1"/>
  <c r="X21" i="59"/>
  <c r="X12" i="59"/>
  <c r="G1" i="68"/>
  <c r="N16" i="4"/>
  <c r="C48" i="59"/>
  <c r="D47" i="59"/>
  <c r="O57" i="59"/>
  <c r="D57" i="59"/>
  <c r="C56" i="59"/>
  <c r="T69" i="59"/>
  <c r="C68" i="59"/>
  <c r="S17" i="59"/>
  <c r="B16" i="59"/>
  <c r="B15" i="59" s="1"/>
  <c r="Y18" i="59"/>
  <c r="Z18" i="59" s="1"/>
  <c r="Y12" i="59"/>
  <c r="Z12" i="59" s="1"/>
  <c r="Y7" i="59"/>
  <c r="Z7" i="59" s="1"/>
  <c r="X7" i="59"/>
  <c r="X3" i="59"/>
  <c r="X6" i="59"/>
  <c r="AB7" i="59"/>
  <c r="AA5" i="59"/>
  <c r="T33" i="59"/>
  <c r="C25" i="59"/>
  <c r="D24" i="59"/>
  <c r="F19" i="59"/>
  <c r="F20" i="59" s="1"/>
  <c r="F21" i="59" s="1"/>
  <c r="V21" i="59" s="1"/>
  <c r="AB15" i="59"/>
  <c r="AB18" i="59"/>
  <c r="AA22" i="59"/>
  <c r="AB23" i="59"/>
  <c r="P54" i="59"/>
  <c r="P55" i="59"/>
  <c r="F60" i="59"/>
  <c r="F59" i="59" s="1"/>
  <c r="AA15" i="59"/>
  <c r="AA16" i="59"/>
  <c r="AA17" i="59"/>
  <c r="X13" i="59"/>
  <c r="X14" i="59"/>
  <c r="X15" i="59"/>
  <c r="AA3" i="59"/>
  <c r="AA14" i="59"/>
  <c r="AA12" i="59"/>
  <c r="AB3" i="59"/>
  <c r="X5" i="59"/>
  <c r="G27" i="3"/>
  <c r="X19" i="59"/>
  <c r="AA19" i="59"/>
  <c r="X24" i="59"/>
  <c r="C53" i="59"/>
  <c r="D52" i="59"/>
  <c r="AB12" i="59"/>
  <c r="X10" i="59"/>
  <c r="Y6" i="59"/>
  <c r="Z6" i="59" s="1"/>
  <c r="AB5" i="59"/>
  <c r="D32" i="59"/>
  <c r="X18" i="59"/>
  <c r="X22" i="59"/>
  <c r="B23" i="59"/>
  <c r="B24" i="59" s="1"/>
  <c r="B25" i="59" s="1"/>
  <c r="S25" i="59" s="1"/>
  <c r="C28" i="59"/>
  <c r="D27" i="59"/>
  <c r="AB26" i="59"/>
  <c r="F27" i="59"/>
  <c r="F28" i="59" s="1"/>
  <c r="F29" i="59" s="1"/>
  <c r="V29" i="59" s="1"/>
  <c r="N56" i="59"/>
  <c r="B55" i="59"/>
  <c r="B12" i="59"/>
  <c r="B11" i="59" s="1"/>
  <c r="B10" i="59" s="1"/>
  <c r="B9" i="59" s="1"/>
  <c r="S13" i="59"/>
  <c r="AA6" i="59"/>
  <c r="Y5" i="59"/>
  <c r="Z5" i="59" s="1"/>
  <c r="X16" i="59"/>
  <c r="AA12" i="46"/>
  <c r="AA7" i="59"/>
  <c r="D20" i="59"/>
  <c r="F24" i="59"/>
  <c r="F25" i="59" s="1"/>
  <c r="V25" i="59" s="1"/>
  <c r="S57" i="59"/>
  <c r="AB17" i="59"/>
  <c r="Y16" i="59"/>
  <c r="Z16" i="59" s="1"/>
  <c r="Y26" i="59"/>
  <c r="Z26" i="59" s="1"/>
  <c r="C17" i="59"/>
  <c r="AB13" i="59"/>
  <c r="B74" i="46"/>
  <c r="S18" i="35"/>
  <c r="C63" i="59"/>
  <c r="D63" i="59" s="1"/>
  <c r="F56" i="59"/>
  <c r="B64" i="59"/>
  <c r="B63" i="59" s="1"/>
  <c r="AE12" i="46"/>
  <c r="AB16" i="59"/>
  <c r="Y3" i="59"/>
  <c r="Z3" i="59" s="1"/>
  <c r="AC43" i="39"/>
  <c r="O7" i="1"/>
  <c r="P7" i="1" s="1"/>
  <c r="H42" i="21"/>
  <c r="AB42" i="21" s="1"/>
  <c r="F42" i="21"/>
  <c r="AA42" i="21" s="1"/>
  <c r="G123" i="21"/>
  <c r="H123" i="21" s="1"/>
  <c r="I123" i="21" s="1"/>
  <c r="J123" i="21" s="1"/>
  <c r="K123" i="21" s="1"/>
  <c r="L123" i="21" s="1"/>
  <c r="M123" i="21" s="1"/>
  <c r="J42" i="21"/>
  <c r="AC42" i="21" s="1"/>
  <c r="W39" i="21"/>
  <c r="H113" i="21"/>
  <c r="F37" i="21"/>
  <c r="J37" i="21"/>
  <c r="H37" i="21"/>
  <c r="F85" i="21"/>
  <c r="G85" i="21" s="1"/>
  <c r="J23" i="21"/>
  <c r="F23" i="21"/>
  <c r="S23" i="21" s="1"/>
  <c r="F81" i="21"/>
  <c r="G81" i="21" s="1"/>
  <c r="F19" i="21"/>
  <c r="J19" i="21"/>
  <c r="W19" i="21" s="1"/>
  <c r="H19" i="21"/>
  <c r="H17" i="21"/>
  <c r="F79" i="21"/>
  <c r="G79" i="21" s="1"/>
  <c r="F17" i="21"/>
  <c r="J17" i="21"/>
  <c r="AC17" i="21" s="1"/>
  <c r="F15" i="21"/>
  <c r="F77" i="21"/>
  <c r="G77" i="21" s="1"/>
  <c r="H69" i="21"/>
  <c r="I69" i="21" s="1"/>
  <c r="J69" i="21" s="1"/>
  <c r="K69" i="21" s="1"/>
  <c r="L69" i="21" s="1"/>
  <c r="M69" i="21" s="1"/>
  <c r="S21" i="21"/>
  <c r="U42" i="21"/>
  <c r="AA36" i="21"/>
  <c r="AB36" i="21"/>
  <c r="S34" i="21"/>
  <c r="U40" i="21"/>
  <c r="AA40" i="21"/>
  <c r="AC40" i="21"/>
  <c r="U39" i="21"/>
  <c r="S39" i="21"/>
  <c r="U38" i="21"/>
  <c r="AA38" i="21"/>
  <c r="AC34" i="21"/>
  <c r="AB34" i="21"/>
  <c r="AB32" i="21"/>
  <c r="W32" i="21"/>
  <c r="U9" i="21"/>
  <c r="U43" i="21"/>
  <c r="S8" i="21"/>
  <c r="AA9" i="21"/>
  <c r="S10" i="21"/>
  <c r="AB10" i="21"/>
  <c r="W10" i="21"/>
  <c r="S45" i="21"/>
  <c r="U46" i="21"/>
  <c r="W25" i="21"/>
  <c r="G17" i="46"/>
  <c r="C16" i="46" s="1"/>
  <c r="F29" i="39"/>
  <c r="F103" i="39"/>
  <c r="G103" i="39" s="1"/>
  <c r="H29" i="39"/>
  <c r="J29" i="39"/>
  <c r="AC29" i="39" s="1"/>
  <c r="F27" i="39"/>
  <c r="AA27" i="39" s="1"/>
  <c r="J27" i="39"/>
  <c r="AC27" i="39" s="1"/>
  <c r="F101" i="39"/>
  <c r="G101" i="39" s="1"/>
  <c r="H27" i="39"/>
  <c r="AB27" i="39" s="1"/>
  <c r="F19" i="39"/>
  <c r="J19" i="39"/>
  <c r="F93" i="39"/>
  <c r="G93" i="39" s="1"/>
  <c r="H19" i="39"/>
  <c r="H17" i="39"/>
  <c r="U17" i="39" s="1"/>
  <c r="F91" i="39"/>
  <c r="G91" i="39" s="1"/>
  <c r="F17" i="39"/>
  <c r="AA17" i="39" s="1"/>
  <c r="J17" i="39"/>
  <c r="W41" i="39"/>
  <c r="S41" i="39"/>
  <c r="AC44" i="39"/>
  <c r="AB44" i="39"/>
  <c r="B9" i="52"/>
  <c r="U41" i="39"/>
  <c r="AC31" i="39"/>
  <c r="S31" i="39"/>
  <c r="W29" i="39"/>
  <c r="U27" i="39"/>
  <c r="S25" i="39"/>
  <c r="AB25" i="39"/>
  <c r="AB17" i="39"/>
  <c r="U14" i="39"/>
  <c r="S14" i="39"/>
  <c r="W14" i="39"/>
  <c r="S6" i="46"/>
  <c r="S3" i="46"/>
  <c r="S5" i="46"/>
  <c r="C23" i="46"/>
  <c r="C21" i="46" s="1"/>
  <c r="AE11" i="46"/>
  <c r="AE13" i="46" s="1"/>
  <c r="AI11" i="46"/>
  <c r="AI13" i="46" s="1"/>
  <c r="AH11" i="46"/>
  <c r="AH13" i="46" s="1"/>
  <c r="Z11" i="46"/>
  <c r="Z13" i="46" s="1"/>
  <c r="AG11" i="46"/>
  <c r="AG13" i="46" s="1"/>
  <c r="K101" i="46"/>
  <c r="E101" i="46"/>
  <c r="L101" i="46"/>
  <c r="B113" i="46"/>
  <c r="G101" i="46"/>
  <c r="AJ11" i="46"/>
  <c r="AJ13" i="46" s="1"/>
  <c r="AC11" i="46"/>
  <c r="AC13" i="46" s="1"/>
  <c r="M101" i="46"/>
  <c r="M106" i="46" s="1"/>
  <c r="F101" i="46"/>
  <c r="F103" i="46" s="1"/>
  <c r="G22" i="46"/>
  <c r="D22" i="46" s="1"/>
  <c r="H109" i="46"/>
  <c r="G5" i="3"/>
  <c r="B3" i="3" s="1"/>
  <c r="E447" i="3" s="1"/>
  <c r="G28" i="6"/>
  <c r="I103" i="46"/>
  <c r="D107" i="46"/>
  <c r="E8" i="6"/>
  <c r="E53" i="40" s="1"/>
  <c r="B10" i="52"/>
  <c r="E6" i="52"/>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F27" i="6"/>
  <c r="C33" i="73" s="1"/>
  <c r="M8" i="1"/>
  <c r="O8" i="1" s="1"/>
  <c r="P8" i="1" s="1"/>
  <c r="Q16" i="1"/>
  <c r="F18" i="11" s="1"/>
  <c r="C18" i="11" s="1"/>
  <c r="G16" i="1"/>
  <c r="H12" i="40" s="1"/>
  <c r="J103" i="46"/>
  <c r="N102" i="46"/>
  <c r="I104" i="46"/>
  <c r="H106" i="46"/>
  <c r="C103" i="46"/>
  <c r="J107" i="46"/>
  <c r="I107" i="46"/>
  <c r="N106" i="46"/>
  <c r="N107" i="46"/>
  <c r="D109" i="46"/>
  <c r="D102" i="46"/>
  <c r="C106" i="46"/>
  <c r="C104" i="46"/>
  <c r="J102" i="46"/>
  <c r="N103" i="46"/>
  <c r="N109" i="46"/>
  <c r="N104" i="46"/>
  <c r="D104" i="46"/>
  <c r="D105" i="46"/>
  <c r="H104" i="46"/>
  <c r="D103" i="46"/>
  <c r="H105" i="46"/>
  <c r="H107" i="46"/>
  <c r="E119" i="3"/>
  <c r="E33" i="3"/>
  <c r="E547" i="3"/>
  <c r="E274" i="3"/>
  <c r="E201" i="3"/>
  <c r="E295"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1" i="3"/>
  <c r="E250" i="3"/>
  <c r="E41" i="3"/>
  <c r="E418" i="3"/>
  <c r="E92" i="3"/>
  <c r="E238" i="3"/>
  <c r="E414" i="3"/>
  <c r="E202" i="3"/>
  <c r="E131" i="3"/>
  <c r="E237" i="3"/>
  <c r="E304" i="3"/>
  <c r="E165" i="3"/>
  <c r="E404" i="3"/>
  <c r="E374" i="3"/>
  <c r="E30" i="3"/>
  <c r="E441" i="3"/>
  <c r="E367" i="3"/>
  <c r="E399" i="3"/>
  <c r="E415" i="3"/>
  <c r="E80" i="3"/>
  <c r="E28" i="3"/>
  <c r="E357" i="3"/>
  <c r="E141" i="3"/>
  <c r="E168" i="3"/>
  <c r="E34" i="3"/>
  <c r="E444" i="3"/>
  <c r="E407" i="3"/>
  <c r="E550" i="3"/>
  <c r="E533" i="3"/>
  <c r="E190" i="3"/>
  <c r="E189" i="3"/>
  <c r="E37" i="3"/>
  <c r="E507" i="3"/>
  <c r="E111" i="3"/>
  <c r="E303" i="3"/>
  <c r="E275" i="3"/>
  <c r="E203" i="3"/>
  <c r="L6" i="3"/>
  <c r="E39" i="3"/>
  <c r="E402" i="3"/>
  <c r="E107" i="3"/>
  <c r="E67" i="3"/>
  <c r="E172" i="3"/>
  <c r="E288" i="3"/>
  <c r="E255" i="3"/>
  <c r="E372" i="3"/>
  <c r="E393" i="3"/>
  <c r="E417" i="3"/>
  <c r="E88" i="3"/>
  <c r="E543" i="3"/>
  <c r="E145" i="3"/>
  <c r="E480" i="3"/>
  <c r="E279" i="3"/>
  <c r="E243" i="3"/>
  <c r="E220" i="3"/>
  <c r="E347" i="3"/>
  <c r="E517" i="3"/>
  <c r="F107" i="46"/>
  <c r="M105" i="46"/>
  <c r="M102" i="46"/>
  <c r="J109" i="46"/>
  <c r="C105" i="46"/>
  <c r="C102" i="46"/>
  <c r="C107" i="46"/>
  <c r="J105" i="46"/>
  <c r="J104" i="46"/>
  <c r="F30" i="6"/>
  <c r="H16" i="1"/>
  <c r="O6" i="1"/>
  <c r="P6" i="1" s="1"/>
  <c r="C15" i="12" s="1"/>
  <c r="E15" i="6"/>
  <c r="E12" i="6"/>
  <c r="E11" i="6"/>
  <c r="P13" i="1"/>
  <c r="O10" i="1"/>
  <c r="P10" i="1" s="1"/>
  <c r="E28" i="6"/>
  <c r="P12" i="1"/>
  <c r="M107" i="46"/>
  <c r="M103" i="46"/>
  <c r="M109" i="46"/>
  <c r="M104" i="46"/>
  <c r="I102" i="46"/>
  <c r="I106" i="46"/>
  <c r="I109" i="46"/>
  <c r="L16" i="4"/>
  <c r="K17" i="4" s="1"/>
  <c r="A22" i="51" s="1"/>
  <c r="B16" i="63" s="1"/>
  <c r="AP16" i="1"/>
  <c r="F22" i="11" s="1"/>
  <c r="N48" i="35"/>
  <c r="O48" i="35" s="1"/>
  <c r="L52" i="37"/>
  <c r="M52" i="37" s="1"/>
  <c r="N52" i="37" s="1"/>
  <c r="O52" i="37" s="1"/>
  <c r="F7" i="35"/>
  <c r="G46" i="36"/>
  <c r="F58" i="33"/>
  <c r="G58" i="33" s="1"/>
  <c r="H58" i="33" s="1"/>
  <c r="I58" i="33" s="1"/>
  <c r="J58" i="33" s="1"/>
  <c r="K58" i="33" s="1"/>
  <c r="L58" i="33" s="1"/>
  <c r="M58" i="33" s="1"/>
  <c r="N58" i="33" s="1"/>
  <c r="O58" i="33" s="1"/>
  <c r="F7" i="33" s="1"/>
  <c r="G58" i="21"/>
  <c r="H58" i="21" s="1"/>
  <c r="I58" i="21" s="1"/>
  <c r="J58" i="21" s="1"/>
  <c r="K58" i="21" s="1"/>
  <c r="L58" i="21" s="1"/>
  <c r="M58" i="21" s="1"/>
  <c r="N58" i="21" s="1"/>
  <c r="O58" i="21" s="1"/>
  <c r="H7" i="21"/>
  <c r="H7" i="34"/>
  <c r="C6" i="15"/>
  <c r="F67" i="15"/>
  <c r="I1" i="65"/>
  <c r="J1" i="65"/>
  <c r="C29" i="44"/>
  <c r="F70" i="15"/>
  <c r="C27" i="15"/>
  <c r="M9" i="44"/>
  <c r="L59" i="15"/>
  <c r="L58" i="15"/>
  <c r="F64" i="15"/>
  <c r="I54" i="15"/>
  <c r="J57" i="15"/>
  <c r="J55" i="15" s="1"/>
  <c r="J58" i="15" s="1"/>
  <c r="Q51" i="15" s="1"/>
  <c r="J53" i="15"/>
  <c r="L56" i="15"/>
  <c r="F49" i="15"/>
  <c r="M7" i="15"/>
  <c r="J6" i="15" s="1"/>
  <c r="F65" i="15"/>
  <c r="F50" i="15"/>
  <c r="Q72" i="15"/>
  <c r="J22" i="44"/>
  <c r="F63" i="15"/>
  <c r="C4" i="65"/>
  <c r="B39" i="1" s="1"/>
  <c r="M17" i="15"/>
  <c r="M19" i="44"/>
  <c r="F58" i="15"/>
  <c r="M29" i="44"/>
  <c r="I3" i="65"/>
  <c r="I5" i="65"/>
  <c r="M11" i="44"/>
  <c r="M10" i="44"/>
  <c r="F37" i="44"/>
  <c r="E3" i="65"/>
  <c r="J5" i="65"/>
  <c r="F38" i="44"/>
  <c r="F40" i="44"/>
  <c r="C18" i="44"/>
  <c r="C16" i="15"/>
  <c r="F39" i="44"/>
  <c r="L48" i="44"/>
  <c r="F11" i="44"/>
  <c r="F43" i="44"/>
  <c r="F15" i="44"/>
  <c r="I4" i="65"/>
  <c r="L49" i="44"/>
  <c r="E2" i="65"/>
  <c r="J61" i="44" l="1"/>
  <c r="Q50" i="44" s="1"/>
  <c r="J60" i="44"/>
  <c r="J58" i="44"/>
  <c r="J56" i="44" s="1"/>
  <c r="J59" i="44" s="1"/>
  <c r="Q52" i="44" s="1"/>
  <c r="L57" i="44"/>
  <c r="I55" i="44"/>
  <c r="J54" i="44"/>
  <c r="Q54" i="44" s="1"/>
  <c r="E20" i="46"/>
  <c r="P28" i="46" s="1"/>
  <c r="Q73" i="44"/>
  <c r="C8" i="44"/>
  <c r="C34" i="44" s="1"/>
  <c r="L59" i="44"/>
  <c r="Q75" i="44" s="1"/>
  <c r="L60" i="44"/>
  <c r="Q76" i="44" s="1"/>
  <c r="C36" i="44"/>
  <c r="H33" i="73"/>
  <c r="F33" i="73"/>
  <c r="J33" i="73"/>
  <c r="T17" i="59"/>
  <c r="C16" i="59"/>
  <c r="D17" i="59"/>
  <c r="T25" i="59"/>
  <c r="D25" i="59"/>
  <c r="D68" i="59"/>
  <c r="C67" i="59"/>
  <c r="D67" i="59" s="1"/>
  <c r="D48" i="59"/>
  <c r="C49" i="59"/>
  <c r="AB26" i="35"/>
  <c r="U26" i="35"/>
  <c r="U14" i="21"/>
  <c r="AB14" i="21"/>
  <c r="AB13" i="34"/>
  <c r="U13" i="34"/>
  <c r="AB12" i="34"/>
  <c r="U12" i="34"/>
  <c r="AC30" i="33"/>
  <c r="W30" i="33"/>
  <c r="W45" i="33"/>
  <c r="AC45" i="33"/>
  <c r="AA26" i="35"/>
  <c r="S26" i="35"/>
  <c r="S36" i="35"/>
  <c r="AA36" i="35"/>
  <c r="H102" i="46"/>
  <c r="H103" i="46"/>
  <c r="E13" i="6"/>
  <c r="E5" i="6"/>
  <c r="E10" i="6"/>
  <c r="E14" i="6"/>
  <c r="E49" i="34"/>
  <c r="R50" i="34"/>
  <c r="H12" i="39"/>
  <c r="H7" i="35"/>
  <c r="E369" i="3"/>
  <c r="E154" i="3"/>
  <c r="E486" i="3"/>
  <c r="E116" i="3"/>
  <c r="E467" i="3"/>
  <c r="E233" i="3"/>
  <c r="E560" i="3"/>
  <c r="E383" i="3"/>
  <c r="E179" i="3"/>
  <c r="E478" i="3"/>
  <c r="E223" i="3"/>
  <c r="E428" i="3"/>
  <c r="E44" i="3"/>
  <c r="E471" i="3"/>
  <c r="W6" i="3"/>
  <c r="E412" i="3"/>
  <c r="E313" i="3"/>
  <c r="E185" i="3"/>
  <c r="E70" i="3"/>
  <c r="E410" i="3"/>
  <c r="E84" i="3"/>
  <c r="E140" i="3"/>
  <c r="E125" i="3"/>
  <c r="E294" i="3"/>
  <c r="E534" i="3"/>
  <c r="E278" i="3"/>
  <c r="E49" i="3"/>
  <c r="E157" i="3"/>
  <c r="E170" i="3"/>
  <c r="Q6" i="3"/>
  <c r="E58" i="39"/>
  <c r="W27" i="39"/>
  <c r="W42" i="21"/>
  <c r="F55" i="59"/>
  <c r="Q56" i="59"/>
  <c r="B8" i="59"/>
  <c r="B7" i="59" s="1"/>
  <c r="B6" i="59" s="1"/>
  <c r="B5" i="59" s="1"/>
  <c r="S9" i="59"/>
  <c r="C29" i="59"/>
  <c r="D28" i="59"/>
  <c r="T45" i="59"/>
  <c r="D45" i="59"/>
  <c r="C41" i="59"/>
  <c r="D40" i="59"/>
  <c r="AZ195" i="3"/>
  <c r="AZ187" i="3"/>
  <c r="AZ191" i="3"/>
  <c r="AZ251" i="3"/>
  <c r="AZ434" i="3"/>
  <c r="AZ492" i="3"/>
  <c r="W14" i="21"/>
  <c r="AC14" i="21"/>
  <c r="AA31" i="33"/>
  <c r="S31" i="33"/>
  <c r="U28" i="37"/>
  <c r="AB28" i="37"/>
  <c r="AZ535" i="3"/>
  <c r="U30" i="33"/>
  <c r="AB30" i="33"/>
  <c r="AZ548" i="3"/>
  <c r="U45" i="33"/>
  <c r="AB45" i="33"/>
  <c r="AC31" i="33"/>
  <c r="W31" i="33"/>
  <c r="AB36" i="35"/>
  <c r="U36" i="35"/>
  <c r="AZ483" i="3"/>
  <c r="AC9" i="21"/>
  <c r="W9" i="21"/>
  <c r="AZ555" i="3"/>
  <c r="R22" i="31"/>
  <c r="B21" i="31" s="1"/>
  <c r="B20" i="31"/>
  <c r="AZ534" i="3"/>
  <c r="AA25" i="35"/>
  <c r="S25" i="35"/>
  <c r="S42" i="21"/>
  <c r="H23" i="21"/>
  <c r="N54" i="59"/>
  <c r="N55" i="59"/>
  <c r="C55" i="59"/>
  <c r="O56" i="59"/>
  <c r="D56" i="59"/>
  <c r="AZ96" i="3"/>
  <c r="AZ199" i="3"/>
  <c r="AZ237" i="3"/>
  <c r="AZ227" i="3"/>
  <c r="AZ429" i="3"/>
  <c r="U12" i="33"/>
  <c r="AB12" i="33"/>
  <c r="U34" i="35"/>
  <c r="AB34" i="35"/>
  <c r="W9" i="35"/>
  <c r="AC9" i="35"/>
  <c r="AA45" i="33"/>
  <c r="S45" i="33"/>
  <c r="W36" i="35"/>
  <c r="AC36" i="35"/>
  <c r="AC28" i="37"/>
  <c r="W28" i="37"/>
  <c r="AA13" i="46"/>
  <c r="AZ522" i="3"/>
  <c r="U25" i="35"/>
  <c r="AB25" i="35"/>
  <c r="G29" i="6"/>
  <c r="AA32" i="36"/>
  <c r="S32" i="36"/>
  <c r="F72" i="39"/>
  <c r="G70" i="39"/>
  <c r="H7" i="33"/>
  <c r="F105" i="46"/>
  <c r="E469" i="3"/>
  <c r="E53" i="3"/>
  <c r="E148" i="3"/>
  <c r="E38" i="3"/>
  <c r="E468" i="3"/>
  <c r="AP6" i="3"/>
  <c r="E343" i="3"/>
  <c r="AH6" i="3"/>
  <c r="E21" i="3"/>
  <c r="E387" i="3"/>
  <c r="E94" i="3"/>
  <c r="E193" i="3"/>
  <c r="E381" i="3"/>
  <c r="E283" i="3"/>
  <c r="E492" i="3"/>
  <c r="E32" i="3"/>
  <c r="AZ92" i="3"/>
  <c r="D58" i="73"/>
  <c r="E58" i="73" s="1"/>
  <c r="F58" i="73" s="1"/>
  <c r="G58" i="73" s="1"/>
  <c r="H58" i="73" s="1"/>
  <c r="I58" i="73" s="1"/>
  <c r="J58" i="73" s="1"/>
  <c r="K58" i="73" s="1"/>
  <c r="L58" i="73" s="1"/>
  <c r="M58" i="73" s="1"/>
  <c r="N58" i="73" s="1"/>
  <c r="O58" i="73" s="1"/>
  <c r="H7" i="73"/>
  <c r="J7" i="73"/>
  <c r="F7" i="73"/>
  <c r="AZ124" i="3"/>
  <c r="AZ424" i="3"/>
  <c r="AA44" i="21"/>
  <c r="S44" i="21"/>
  <c r="AA23" i="39"/>
  <c r="S23" i="39"/>
  <c r="AC25" i="39"/>
  <c r="W25" i="39"/>
  <c r="U11" i="35"/>
  <c r="AB11" i="35"/>
  <c r="U28" i="33"/>
  <c r="AB28" i="33"/>
  <c r="AZ538" i="3"/>
  <c r="AC34" i="35"/>
  <c r="W34" i="35"/>
  <c r="W28" i="33"/>
  <c r="AC28" i="33"/>
  <c r="AZ554" i="3"/>
  <c r="U28" i="21"/>
  <c r="AB28" i="21"/>
  <c r="W12" i="33"/>
  <c r="AC12" i="33"/>
  <c r="AB28" i="34"/>
  <c r="U28" i="34"/>
  <c r="AZ558" i="3"/>
  <c r="W25" i="35"/>
  <c r="AC25" i="35"/>
  <c r="AC32" i="36"/>
  <c r="W32" i="36"/>
  <c r="D12" i="59"/>
  <c r="C11" i="59"/>
  <c r="AZ243" i="3"/>
  <c r="AC44" i="21"/>
  <c r="W44" i="21"/>
  <c r="AC23" i="39"/>
  <c r="W23" i="39"/>
  <c r="S11" i="35"/>
  <c r="AA11" i="35"/>
  <c r="W13" i="35"/>
  <c r="AC13" i="35"/>
  <c r="AB25" i="36"/>
  <c r="U25" i="36"/>
  <c r="S28" i="21"/>
  <c r="AA28" i="21"/>
  <c r="W32" i="34"/>
  <c r="AC32" i="34"/>
  <c r="S12" i="33"/>
  <c r="AA12" i="33"/>
  <c r="C31" i="43"/>
  <c r="AB32" i="36"/>
  <c r="U32" i="36"/>
  <c r="J8" i="44"/>
  <c r="F7" i="21"/>
  <c r="F7" i="37"/>
  <c r="E309" i="3"/>
  <c r="E264" i="3"/>
  <c r="E465" i="3"/>
  <c r="E214" i="3"/>
  <c r="E429" i="3"/>
  <c r="E261" i="3"/>
  <c r="E420" i="3"/>
  <c r="E247" i="3"/>
  <c r="AS6" i="3"/>
  <c r="E317" i="3"/>
  <c r="E205" i="3"/>
  <c r="E100" i="3"/>
  <c r="E36" i="3"/>
  <c r="E408" i="3"/>
  <c r="E293" i="3"/>
  <c r="E405" i="3"/>
  <c r="E27" i="3"/>
  <c r="E151" i="3"/>
  <c r="E109" i="3"/>
  <c r="E431" i="3"/>
  <c r="E142" i="3"/>
  <c r="P6" i="3"/>
  <c r="E64" i="3"/>
  <c r="R6" i="3"/>
  <c r="E376" i="3"/>
  <c r="E104" i="3"/>
  <c r="E427" i="3"/>
  <c r="E156" i="3"/>
  <c r="E280" i="3"/>
  <c r="E89" i="3"/>
  <c r="D53" i="59"/>
  <c r="T53" i="59"/>
  <c r="C19" i="46"/>
  <c r="AZ98" i="3"/>
  <c r="AZ186" i="3"/>
  <c r="AZ37" i="3"/>
  <c r="AZ152" i="3"/>
  <c r="AZ137" i="3"/>
  <c r="AZ202" i="3"/>
  <c r="AZ133" i="3"/>
  <c r="AZ474" i="3"/>
  <c r="AZ410" i="3"/>
  <c r="U44" i="21"/>
  <c r="AB44" i="21"/>
  <c r="C28" i="68"/>
  <c r="AA13" i="34"/>
  <c r="S13" i="34"/>
  <c r="S15" i="40"/>
  <c r="AA15" i="40"/>
  <c r="S13" i="35"/>
  <c r="AA13" i="35"/>
  <c r="AZ494" i="3"/>
  <c r="AC25" i="36"/>
  <c r="W25" i="36"/>
  <c r="C30" i="44"/>
  <c r="C15" i="43"/>
  <c r="C27" i="43"/>
  <c r="F61" i="72"/>
  <c r="BA5" i="3"/>
  <c r="E27" i="6" s="1"/>
  <c r="H65" i="40"/>
  <c r="G67" i="40"/>
  <c r="J15" i="21"/>
  <c r="W15" i="21" s="1"/>
  <c r="H15" i="21"/>
  <c r="W17" i="21"/>
  <c r="M11" i="72"/>
  <c r="J10" i="72" s="1"/>
  <c r="F11" i="72"/>
  <c r="C33" i="21"/>
  <c r="U37" i="21"/>
  <c r="AB37" i="21"/>
  <c r="S37" i="21"/>
  <c r="AA37" i="21"/>
  <c r="W37" i="21"/>
  <c r="AC37" i="21"/>
  <c r="W23" i="21"/>
  <c r="AC23" i="21"/>
  <c r="AA23" i="21"/>
  <c r="U23" i="21"/>
  <c r="AB23" i="21"/>
  <c r="AC19" i="21"/>
  <c r="AB19" i="21"/>
  <c r="U19" i="21"/>
  <c r="AA19" i="21"/>
  <c r="S19" i="21"/>
  <c r="S17" i="21"/>
  <c r="AA17" i="21"/>
  <c r="AB17" i="21"/>
  <c r="U17" i="21"/>
  <c r="AB15" i="21"/>
  <c r="U15" i="21"/>
  <c r="S15" i="21"/>
  <c r="AA15" i="21"/>
  <c r="U29" i="39"/>
  <c r="AB29" i="39"/>
  <c r="AA29" i="39"/>
  <c r="S29" i="39"/>
  <c r="S27" i="39"/>
  <c r="U19" i="39"/>
  <c r="AB19" i="39"/>
  <c r="AC19" i="39"/>
  <c r="W19" i="39"/>
  <c r="S19" i="39"/>
  <c r="AA19" i="39"/>
  <c r="S17" i="39"/>
  <c r="W17" i="39"/>
  <c r="AC17" i="39"/>
  <c r="F104"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E395" i="3"/>
  <c r="E297" i="3"/>
  <c r="E59" i="3"/>
  <c r="E209" i="3"/>
  <c r="E249" i="3"/>
  <c r="E460" i="3"/>
  <c r="E463" i="3"/>
  <c r="E426" i="3"/>
  <c r="E75"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AN6" i="3"/>
  <c r="E450" i="3"/>
  <c r="E149" i="3"/>
  <c r="I3" i="6"/>
  <c r="E60"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E464" i="3"/>
  <c r="E549" i="3"/>
  <c r="E292" i="3"/>
  <c r="E178"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99" i="3"/>
  <c r="E327" i="3"/>
  <c r="E103" i="3"/>
  <c r="E200" i="3"/>
  <c r="E62" i="3"/>
  <c r="E389" i="3"/>
  <c r="E230" i="3"/>
  <c r="E143" i="3"/>
  <c r="M11" i="68"/>
  <c r="J10" i="68" s="1"/>
  <c r="F11" i="68"/>
  <c r="F33" i="12"/>
  <c r="C34" i="12" s="1"/>
  <c r="D33" i="12" s="1"/>
  <c r="F24" i="43"/>
  <c r="C26" i="43" s="1"/>
  <c r="D24" i="43" s="1"/>
  <c r="F12" i="39"/>
  <c r="S12" i="39" s="1"/>
  <c r="J12" i="39"/>
  <c r="W12" i="39" s="1"/>
  <c r="F12" i="40"/>
  <c r="S12" i="40" s="1"/>
  <c r="J12" i="40"/>
  <c r="AC12" i="40" s="1"/>
  <c r="F31" i="6"/>
  <c r="E64" i="39"/>
  <c r="E59" i="40"/>
  <c r="K14" i="1"/>
  <c r="E63" i="39"/>
  <c r="E16" i="6"/>
  <c r="E58" i="40"/>
  <c r="E67" i="39"/>
  <c r="E62" i="40"/>
  <c r="C48" i="15"/>
  <c r="U7" i="21"/>
  <c r="AB7" i="21"/>
  <c r="J7" i="21"/>
  <c r="W12" i="40"/>
  <c r="U12" i="40"/>
  <c r="AB12" i="40"/>
  <c r="AA7" i="33"/>
  <c r="R48" i="33" s="1"/>
  <c r="S7" i="33"/>
  <c r="J7" i="33"/>
  <c r="AA7" i="35"/>
  <c r="R38" i="35" s="1"/>
  <c r="S7" i="35"/>
  <c r="H7" i="37"/>
  <c r="J7" i="37"/>
  <c r="J7" i="35"/>
  <c r="AB7" i="34"/>
  <c r="T49" i="34" s="1"/>
  <c r="G49" i="34" s="1"/>
  <c r="U7" i="34"/>
  <c r="AA7" i="21"/>
  <c r="S7" i="21"/>
  <c r="AB12" i="39"/>
  <c r="U12" i="39"/>
  <c r="AB7" i="33"/>
  <c r="T48" i="33" s="1"/>
  <c r="G48" i="33" s="1"/>
  <c r="U7" i="33"/>
  <c r="H46" i="36"/>
  <c r="I46" i="36" s="1"/>
  <c r="J46" i="36" s="1"/>
  <c r="K46" i="36" s="1"/>
  <c r="L46" i="36" s="1"/>
  <c r="M46" i="36" s="1"/>
  <c r="N46" i="36" s="1"/>
  <c r="O46" i="36" s="1"/>
  <c r="AA7" i="37"/>
  <c r="R42" i="37" s="1"/>
  <c r="S7" i="37"/>
  <c r="U7" i="35"/>
  <c r="AB7" i="35"/>
  <c r="T38" i="35" s="1"/>
  <c r="G38" i="35" s="1"/>
  <c r="B40" i="1"/>
  <c r="F24" i="72" s="1"/>
  <c r="C24" i="72" s="1"/>
  <c r="F17" i="11"/>
  <c r="C17" i="11" s="1"/>
  <c r="C19" i="11" s="1"/>
  <c r="J20" i="44"/>
  <c r="F1" i="15"/>
  <c r="Q53" i="15"/>
  <c r="Q75" i="15"/>
  <c r="Q62" i="15"/>
  <c r="C32" i="15"/>
  <c r="J18" i="15"/>
  <c r="F11" i="15"/>
  <c r="M13" i="44"/>
  <c r="J12" i="44" s="1"/>
  <c r="F13" i="44"/>
  <c r="C12" i="44" s="1"/>
  <c r="M11" i="15"/>
  <c r="J10" i="15" s="1"/>
  <c r="J5" i="15" s="1"/>
  <c r="Q61" i="15"/>
  <c r="Q74" i="15"/>
  <c r="M26" i="68"/>
  <c r="F40" i="68"/>
  <c r="F26" i="68"/>
  <c r="M9" i="68"/>
  <c r="F8" i="68"/>
  <c r="M22" i="72"/>
  <c r="F16" i="72"/>
  <c r="J15" i="72"/>
  <c r="J36" i="72"/>
  <c r="F6" i="68"/>
  <c r="M6" i="68"/>
  <c r="M29" i="68"/>
  <c r="M24" i="68"/>
  <c r="M28" i="72"/>
  <c r="F8" i="72"/>
  <c r="F40" i="72"/>
  <c r="M26" i="72"/>
  <c r="M6" i="72"/>
  <c r="AE8" i="1"/>
  <c r="F43" i="68"/>
  <c r="F13" i="68"/>
  <c r="F16" i="68"/>
  <c r="F36" i="68"/>
  <c r="L47" i="72"/>
  <c r="M9" i="72"/>
  <c r="F42" i="72"/>
  <c r="M8" i="72"/>
  <c r="F37" i="68"/>
  <c r="F38" i="68"/>
  <c r="F42" i="68"/>
  <c r="M22" i="68"/>
  <c r="F9" i="72"/>
  <c r="F37" i="72"/>
  <c r="M23" i="72"/>
  <c r="M27" i="72"/>
  <c r="F6" i="72"/>
  <c r="J15" i="68"/>
  <c r="F7" i="68"/>
  <c r="M27" i="68"/>
  <c r="L47" i="68"/>
  <c r="L48" i="68"/>
  <c r="F7" i="72"/>
  <c r="F13" i="72"/>
  <c r="F43" i="72"/>
  <c r="F36" i="72"/>
  <c r="M23" i="68"/>
  <c r="M8" i="68"/>
  <c r="J36" i="68"/>
  <c r="F9" i="68"/>
  <c r="M28" i="68"/>
  <c r="M24" i="72"/>
  <c r="L48" i="72"/>
  <c r="F26" i="72"/>
  <c r="M29" i="72"/>
  <c r="F38" i="72"/>
  <c r="Q63" i="44" l="1"/>
  <c r="C7" i="44"/>
  <c r="C40" i="44" s="1"/>
  <c r="F1" i="44"/>
  <c r="L47" i="44"/>
  <c r="N28" i="46"/>
  <c r="O28" i="46"/>
  <c r="Q62" i="44"/>
  <c r="M28" i="46"/>
  <c r="J7" i="44"/>
  <c r="J28" i="44" s="1"/>
  <c r="J31" i="44" s="1"/>
  <c r="F65" i="72"/>
  <c r="C27" i="72"/>
  <c r="J57" i="72"/>
  <c r="J55" i="72" s="1"/>
  <c r="J58" i="72" s="1"/>
  <c r="Q51" i="72" s="1"/>
  <c r="I54" i="72"/>
  <c r="L60" i="72"/>
  <c r="J53" i="72"/>
  <c r="L56" i="72"/>
  <c r="L57" i="72"/>
  <c r="Q72" i="68"/>
  <c r="F63" i="72"/>
  <c r="F70" i="72"/>
  <c r="F49" i="72"/>
  <c r="M7" i="72"/>
  <c r="J6" i="72" s="1"/>
  <c r="L56" i="68"/>
  <c r="I54" i="68"/>
  <c r="J57" i="68"/>
  <c r="J55" i="68" s="1"/>
  <c r="J58" i="68" s="1"/>
  <c r="Q51" i="68" s="1"/>
  <c r="J53" i="68"/>
  <c r="L59" i="68"/>
  <c r="L58" i="68"/>
  <c r="F49" i="68"/>
  <c r="M7" i="68"/>
  <c r="J6" i="68" s="1"/>
  <c r="J18" i="68" s="1"/>
  <c r="C6" i="72"/>
  <c r="F64" i="72"/>
  <c r="F65" i="68"/>
  <c r="F64" i="68"/>
  <c r="L59" i="72"/>
  <c r="L58" i="72"/>
  <c r="F63" i="68"/>
  <c r="F70" i="68"/>
  <c r="F67" i="72"/>
  <c r="F50" i="72"/>
  <c r="C6" i="68"/>
  <c r="C32" i="68" s="1"/>
  <c r="Q72" i="72"/>
  <c r="F50" i="68"/>
  <c r="C27" i="68"/>
  <c r="F67" i="68"/>
  <c r="K26" i="6"/>
  <c r="M26" i="6" s="1"/>
  <c r="I26" i="6" s="1"/>
  <c r="K21" i="6"/>
  <c r="K24" i="6"/>
  <c r="M24" i="6" s="1"/>
  <c r="I24" i="6" s="1"/>
  <c r="K20" i="6"/>
  <c r="S7" i="1" s="1"/>
  <c r="K22" i="6"/>
  <c r="K19" i="6"/>
  <c r="S6" i="1" s="1"/>
  <c r="K23" i="6"/>
  <c r="M23" i="6" s="1"/>
  <c r="I23" i="6" s="1"/>
  <c r="S23" i="6" s="1"/>
  <c r="K25" i="6"/>
  <c r="M25" i="6" s="1"/>
  <c r="I25" i="6" s="1"/>
  <c r="C33" i="46"/>
  <c r="C38" i="46"/>
  <c r="T5" i="46"/>
  <c r="V5" i="46" s="1"/>
  <c r="C37" i="46"/>
  <c r="C35" i="46"/>
  <c r="T3" i="46"/>
  <c r="V3" i="46" s="1"/>
  <c r="T6" i="46"/>
  <c r="V6" i="46" s="1"/>
  <c r="C34" i="46"/>
  <c r="T12" i="46"/>
  <c r="V12" i="46" s="1"/>
  <c r="T15" i="46"/>
  <c r="V15" i="46" s="1"/>
  <c r="C36" i="46"/>
  <c r="T8" i="46"/>
  <c r="V8" i="46" s="1"/>
  <c r="S7" i="73"/>
  <c r="AA7" i="73"/>
  <c r="T7" i="46"/>
  <c r="V7" i="46" s="1"/>
  <c r="T16" i="46"/>
  <c r="V16" i="46" s="1"/>
  <c r="E61" i="40"/>
  <c r="E66" i="39"/>
  <c r="J5" i="68"/>
  <c r="J24" i="68" s="1"/>
  <c r="H67" i="40"/>
  <c r="I65" i="40"/>
  <c r="W7" i="73"/>
  <c r="AC7" i="73"/>
  <c r="T11" i="46"/>
  <c r="V11" i="46" s="1"/>
  <c r="E29" i="6"/>
  <c r="G30" i="6"/>
  <c r="G31" i="6" s="1"/>
  <c r="Q54" i="59"/>
  <c r="Q55" i="59"/>
  <c r="T9" i="46"/>
  <c r="V9" i="46" s="1"/>
  <c r="W33" i="73"/>
  <c r="AC33" i="73"/>
  <c r="AZ5" i="3"/>
  <c r="AB7" i="73"/>
  <c r="U7" i="73"/>
  <c r="D21" i="12"/>
  <c r="C21" i="12" s="1"/>
  <c r="D12" i="11"/>
  <c r="C12" i="11" s="1"/>
  <c r="S33" i="73"/>
  <c r="AA33" i="73"/>
  <c r="T10" i="46"/>
  <c r="V10" i="46" s="1"/>
  <c r="H70" i="39"/>
  <c r="G72" i="39"/>
  <c r="T29" i="59"/>
  <c r="D29" i="59"/>
  <c r="E60" i="40"/>
  <c r="E65" i="39"/>
  <c r="AB33" i="73"/>
  <c r="U33" i="73"/>
  <c r="J7" i="36"/>
  <c r="AC7" i="36" s="1"/>
  <c r="V36" i="36" s="1"/>
  <c r="I36" i="36" s="1"/>
  <c r="AC12" i="39"/>
  <c r="C29" i="46"/>
  <c r="T13" i="46"/>
  <c r="V13" i="46" s="1"/>
  <c r="O55" i="59"/>
  <c r="D55" i="59"/>
  <c r="O54" i="59"/>
  <c r="C50" i="34"/>
  <c r="B3" i="34" s="1"/>
  <c r="B2" i="34" s="1"/>
  <c r="C49" i="34"/>
  <c r="D49" i="59"/>
  <c r="T49" i="59"/>
  <c r="T14" i="46"/>
  <c r="V14" i="46" s="1"/>
  <c r="AC6" i="3"/>
  <c r="D11" i="59"/>
  <c r="C10" i="59"/>
  <c r="T4" i="46"/>
  <c r="V4" i="46" s="1"/>
  <c r="T41" i="59"/>
  <c r="D41" i="59"/>
  <c r="T2" i="46"/>
  <c r="V2" i="46" s="1"/>
  <c r="I54" i="34"/>
  <c r="J54" i="34" s="1"/>
  <c r="E53" i="34"/>
  <c r="F53" i="34" s="1"/>
  <c r="D16" i="59"/>
  <c r="C15" i="59"/>
  <c r="D15" i="59" s="1"/>
  <c r="C39" i="46"/>
  <c r="AC15" i="21"/>
  <c r="C52" i="72"/>
  <c r="C10" i="72"/>
  <c r="H6" i="3"/>
  <c r="J33" i="21"/>
  <c r="F33" i="21"/>
  <c r="H33" i="21"/>
  <c r="F24" i="68"/>
  <c r="C24" i="68" s="1"/>
  <c r="C115" i="46"/>
  <c r="D113" i="46" s="1"/>
  <c r="AA12" i="40"/>
  <c r="C52" i="68"/>
  <c r="C10" i="68"/>
  <c r="AA12" i="39"/>
  <c r="M22" i="6"/>
  <c r="I22" i="6" s="1"/>
  <c r="S9" i="1"/>
  <c r="M21" i="6"/>
  <c r="I21" i="6" s="1"/>
  <c r="S21" i="6" s="1"/>
  <c r="S8" i="1"/>
  <c r="M20" i="6"/>
  <c r="I20" i="6" s="1"/>
  <c r="S20" i="6" s="1"/>
  <c r="E68" i="39"/>
  <c r="M14" i="1"/>
  <c r="S22" i="6"/>
  <c r="S25" i="6"/>
  <c r="S24" i="6"/>
  <c r="K27" i="6"/>
  <c r="S26" i="6"/>
  <c r="G42" i="35"/>
  <c r="H42" i="35" s="1"/>
  <c r="W7" i="37"/>
  <c r="AC7" i="37"/>
  <c r="V42" i="37" s="1"/>
  <c r="I42" i="37" s="1"/>
  <c r="E42" i="37"/>
  <c r="R43" i="37"/>
  <c r="H7" i="36"/>
  <c r="AC7" i="35"/>
  <c r="V38" i="35" s="1"/>
  <c r="I38" i="35" s="1"/>
  <c r="W7" i="35"/>
  <c r="AB7" i="37"/>
  <c r="T42" i="37" s="1"/>
  <c r="G42" i="37" s="1"/>
  <c r="U7" i="37"/>
  <c r="R39" i="35"/>
  <c r="E38" i="35"/>
  <c r="W7" i="21"/>
  <c r="AC7" i="21"/>
  <c r="G52" i="33"/>
  <c r="H52" i="33" s="1"/>
  <c r="E54" i="34"/>
  <c r="F54" i="34" s="1"/>
  <c r="G54" i="34"/>
  <c r="H54" i="34" s="1"/>
  <c r="G53" i="34"/>
  <c r="H53" i="34" s="1"/>
  <c r="AC7" i="33"/>
  <c r="V48" i="33" s="1"/>
  <c r="I48" i="33" s="1"/>
  <c r="W7" i="33"/>
  <c r="R49" i="33"/>
  <c r="E48" i="33"/>
  <c r="F7" i="36"/>
  <c r="J26" i="15"/>
  <c r="J24" i="15"/>
  <c r="C52" i="15"/>
  <c r="C47" i="15" s="1"/>
  <c r="C10" i="15"/>
  <c r="C5" i="15" s="1"/>
  <c r="C20" i="11"/>
  <c r="C21" i="11" s="1"/>
  <c r="C22" i="11" s="1"/>
  <c r="C23" i="11" s="1"/>
  <c r="B2" i="11" s="1"/>
  <c r="F26" i="12"/>
  <c r="F21" i="43"/>
  <c r="F24" i="15"/>
  <c r="C24" i="15" s="1"/>
  <c r="F26" i="44"/>
  <c r="C26" i="44" s="1"/>
  <c r="C17" i="15"/>
  <c r="C16" i="72"/>
  <c r="F41" i="15"/>
  <c r="C17" i="72"/>
  <c r="C17" i="68"/>
  <c r="C16" i="68"/>
  <c r="L52" i="44"/>
  <c r="J26" i="68" l="1"/>
  <c r="C48" i="68"/>
  <c r="C47" i="68" s="1"/>
  <c r="J18" i="72"/>
  <c r="J5" i="72"/>
  <c r="J26" i="44"/>
  <c r="C5" i="72"/>
  <c r="C38" i="72" s="1"/>
  <c r="G39" i="46"/>
  <c r="I39" i="46" s="1"/>
  <c r="E39" i="46"/>
  <c r="E37" i="46"/>
  <c r="G37" i="46"/>
  <c r="I37" i="46" s="1"/>
  <c r="Q53" i="68"/>
  <c r="F1" i="68"/>
  <c r="Q53" i="72"/>
  <c r="F1" i="72"/>
  <c r="W7" i="36"/>
  <c r="C5" i="68"/>
  <c r="C38" i="68" s="1"/>
  <c r="C9" i="59"/>
  <c r="D10" i="59"/>
  <c r="C30" i="46"/>
  <c r="E30" i="46" s="1"/>
  <c r="C27" i="46" s="1"/>
  <c r="E29" i="46"/>
  <c r="E3" i="6"/>
  <c r="AY6" i="3"/>
  <c r="C48" i="72"/>
  <c r="C47" i="72" s="1"/>
  <c r="C33" i="72"/>
  <c r="C32" i="72"/>
  <c r="Q67" i="72"/>
  <c r="Q58" i="72"/>
  <c r="E6" i="3"/>
  <c r="J65" i="40"/>
  <c r="I67" i="40"/>
  <c r="K15" i="1"/>
  <c r="K16" i="1" s="1"/>
  <c r="E30" i="6"/>
  <c r="E31" i="6" s="1"/>
  <c r="L19" i="6"/>
  <c r="G34" i="46"/>
  <c r="I34" i="46" s="1"/>
  <c r="E34" i="46"/>
  <c r="E38" i="46"/>
  <c r="G38" i="46"/>
  <c r="I38" i="46" s="1"/>
  <c r="Q61" i="72"/>
  <c r="Q74" i="72"/>
  <c r="E33" i="46"/>
  <c r="G33" i="46"/>
  <c r="I33" i="46" s="1"/>
  <c r="Q75" i="72"/>
  <c r="Q62" i="72"/>
  <c r="Q74" i="68"/>
  <c r="Q61" i="68"/>
  <c r="I70" i="39"/>
  <c r="H72" i="39"/>
  <c r="E36" i="46"/>
  <c r="G36" i="46"/>
  <c r="I36" i="46" s="1"/>
  <c r="G35" i="46"/>
  <c r="I35" i="46" s="1"/>
  <c r="E35" i="46"/>
  <c r="Q75" i="68"/>
  <c r="Q62" i="68"/>
  <c r="U33" i="21"/>
  <c r="AB33" i="21"/>
  <c r="W33" i="21"/>
  <c r="AC33" i="21"/>
  <c r="AA33" i="21"/>
  <c r="S33" i="21"/>
  <c r="F68" i="15"/>
  <c r="J29" i="15"/>
  <c r="S16" i="1"/>
  <c r="T11" i="1" s="1"/>
  <c r="M16" i="1"/>
  <c r="O14" i="1"/>
  <c r="O16" i="1" s="1"/>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C27" i="12"/>
  <c r="D26" i="12" s="1"/>
  <c r="C32" i="12" s="1"/>
  <c r="D30" i="12" s="1"/>
  <c r="C23" i="43"/>
  <c r="D21" i="43" s="1"/>
  <c r="C38" i="15"/>
  <c r="B3" i="11"/>
  <c r="C59" i="15"/>
  <c r="C65" i="15"/>
  <c r="Q58" i="44"/>
  <c r="Q49" i="44"/>
  <c r="Q55" i="44" s="1"/>
  <c r="Q67" i="44"/>
  <c r="AE9" i="1"/>
  <c r="F41" i="68" s="1"/>
  <c r="F7" i="67"/>
  <c r="AE7" i="1"/>
  <c r="F41" i="72" s="1"/>
  <c r="C65" i="68" l="1"/>
  <c r="C59" i="68"/>
  <c r="J24" i="72"/>
  <c r="J26" i="72"/>
  <c r="J29" i="72" s="1"/>
  <c r="F68" i="72"/>
  <c r="E4" i="67"/>
  <c r="F68" i="68"/>
  <c r="J29" i="68"/>
  <c r="C59" i="72"/>
  <c r="C60" i="72"/>
  <c r="C65" i="72"/>
  <c r="L27" i="6"/>
  <c r="M19" i="6"/>
  <c r="AY193" i="3"/>
  <c r="AY506" i="3"/>
  <c r="AY468" i="3"/>
  <c r="AY213" i="3"/>
  <c r="AY94" i="3"/>
  <c r="AY313" i="3"/>
  <c r="AY462" i="3"/>
  <c r="AY391" i="3"/>
  <c r="AY484" i="3"/>
  <c r="AY535" i="3"/>
  <c r="AY119" i="3"/>
  <c r="AY474" i="3"/>
  <c r="AY199" i="3"/>
  <c r="AY475" i="3"/>
  <c r="AY46" i="3"/>
  <c r="AY304" i="3"/>
  <c r="AY439" i="3"/>
  <c r="AY306" i="3"/>
  <c r="AY263" i="3"/>
  <c r="BH6" i="3"/>
  <c r="AY419" i="3"/>
  <c r="AY339" i="3"/>
  <c r="AY568" i="3"/>
  <c r="AY297" i="3"/>
  <c r="AY22" i="3"/>
  <c r="AY21" i="3"/>
  <c r="AY163" i="3"/>
  <c r="AY572" i="3"/>
  <c r="AY153" i="3"/>
  <c r="AY56" i="3"/>
  <c r="AY565" i="3"/>
  <c r="AY369" i="3"/>
  <c r="AY130" i="3"/>
  <c r="AY224" i="3"/>
  <c r="AY459" i="3"/>
  <c r="BS6" i="3"/>
  <c r="AY120" i="3"/>
  <c r="AY385" i="3"/>
  <c r="AY95" i="3"/>
  <c r="AY498" i="3"/>
  <c r="AY181" i="3"/>
  <c r="AY188" i="3"/>
  <c r="AY117" i="3"/>
  <c r="AY175" i="3"/>
  <c r="AY274" i="3"/>
  <c r="AY207" i="3"/>
  <c r="AY409" i="3"/>
  <c r="AY29" i="3"/>
  <c r="AY87" i="3"/>
  <c r="AY537" i="3"/>
  <c r="AY232" i="3"/>
  <c r="AY525" i="3"/>
  <c r="AY161" i="3"/>
  <c r="AY197" i="3"/>
  <c r="AY430" i="3"/>
  <c r="AY520" i="3"/>
  <c r="AY149" i="3"/>
  <c r="AY497" i="3"/>
  <c r="BA6" i="3"/>
  <c r="AY382" i="3"/>
  <c r="AY321" i="3"/>
  <c r="AY320" i="3"/>
  <c r="AY206" i="3"/>
  <c r="AY529" i="3"/>
  <c r="AY427" i="3"/>
  <c r="AY476" i="3"/>
  <c r="AY548" i="3"/>
  <c r="AY342" i="3"/>
  <c r="AY129" i="3"/>
  <c r="AY381" i="3"/>
  <c r="AY550" i="3"/>
  <c r="AY122" i="3"/>
  <c r="AY191" i="3"/>
  <c r="AY182" i="3"/>
  <c r="AY28" i="3"/>
  <c r="AY429" i="3"/>
  <c r="AY55" i="3"/>
  <c r="AY127" i="3"/>
  <c r="AY30" i="3"/>
  <c r="BR6" i="3"/>
  <c r="AY239" i="3"/>
  <c r="AY494" i="3"/>
  <c r="AY45" i="3"/>
  <c r="AY562" i="3"/>
  <c r="AY540" i="3"/>
  <c r="AY192" i="3"/>
  <c r="AY229" i="3"/>
  <c r="AY208" i="3"/>
  <c r="AY60" i="3"/>
  <c r="AY334" i="3"/>
  <c r="AY554" i="3"/>
  <c r="AY251" i="3"/>
  <c r="AY247" i="3"/>
  <c r="AY547" i="3"/>
  <c r="AY215" i="3"/>
  <c r="AY261" i="3"/>
  <c r="AY521" i="3"/>
  <c r="AY309" i="3"/>
  <c r="AY401" i="3"/>
  <c r="AY524" i="3"/>
  <c r="AY102" i="3"/>
  <c r="AY32" i="3"/>
  <c r="AY533" i="3"/>
  <c r="AY63" i="3"/>
  <c r="AY187" i="3"/>
  <c r="BJ6" i="3"/>
  <c r="AY347" i="3"/>
  <c r="AY373" i="3"/>
  <c r="AY277" i="3"/>
  <c r="AY375" i="3"/>
  <c r="AY531" i="3"/>
  <c r="AY167" i="3"/>
  <c r="AY522" i="3"/>
  <c r="BI6" i="3"/>
  <c r="AY491" i="3"/>
  <c r="AY284" i="3"/>
  <c r="AY440" i="3"/>
  <c r="AY566" i="3"/>
  <c r="AY393" i="3"/>
  <c r="AY279" i="3"/>
  <c r="AY542" i="3"/>
  <c r="AY411" i="3"/>
  <c r="AY432" i="3"/>
  <c r="AY20" i="3"/>
  <c r="AY113" i="3"/>
  <c r="AY147" i="3"/>
  <c r="AY515" i="3"/>
  <c r="AY148" i="3"/>
  <c r="AY272" i="3"/>
  <c r="AY282" i="3"/>
  <c r="AY125" i="3"/>
  <c r="AY242" i="3"/>
  <c r="AY16" i="3"/>
  <c r="AY527" i="3"/>
  <c r="AY65" i="3"/>
  <c r="AY157" i="3"/>
  <c r="AY123" i="3"/>
  <c r="AY139" i="3"/>
  <c r="AY114" i="3"/>
  <c r="AY510" i="3"/>
  <c r="AY171" i="3"/>
  <c r="AY367" i="3"/>
  <c r="AY97" i="3"/>
  <c r="AY73" i="3"/>
  <c r="AY93" i="3"/>
  <c r="AY158" i="3"/>
  <c r="AY555" i="3"/>
  <c r="AY504" i="3"/>
  <c r="BN6" i="3"/>
  <c r="AY184" i="3"/>
  <c r="AY287" i="3"/>
  <c r="AY552" i="3"/>
  <c r="AY143" i="3"/>
  <c r="AY467" i="3"/>
  <c r="BD6" i="3"/>
  <c r="AY249" i="3"/>
  <c r="AY53" i="3"/>
  <c r="AY422" i="3"/>
  <c r="AY168" i="3"/>
  <c r="AY194" i="3"/>
  <c r="AY74" i="3"/>
  <c r="AY379" i="3"/>
  <c r="AY62" i="3"/>
  <c r="AY27" i="3"/>
  <c r="AY330" i="3"/>
  <c r="AY82" i="3"/>
  <c r="AY216" i="3"/>
  <c r="AY305" i="3"/>
  <c r="AY209" i="3"/>
  <c r="AY446" i="3"/>
  <c r="AY86" i="3"/>
  <c r="AY245" i="3"/>
  <c r="AY544" i="3"/>
  <c r="AY137" i="3"/>
  <c r="AY410" i="3"/>
  <c r="AY299" i="3"/>
  <c r="AY331" i="3"/>
  <c r="AY174" i="3"/>
  <c r="BG6" i="3"/>
  <c r="AY545" i="3"/>
  <c r="AY281" i="3"/>
  <c r="AY407" i="3"/>
  <c r="AY337" i="3"/>
  <c r="AY109" i="3"/>
  <c r="AY70" i="3"/>
  <c r="AY151" i="3"/>
  <c r="AY435" i="3"/>
  <c r="AY98" i="3"/>
  <c r="AY256" i="3"/>
  <c r="AY106" i="3"/>
  <c r="AY376" i="3"/>
  <c r="AY412" i="3"/>
  <c r="AY204" i="3"/>
  <c r="AY443" i="3"/>
  <c r="AY396" i="3"/>
  <c r="BP6" i="3"/>
  <c r="AY512" i="3"/>
  <c r="AY322" i="3"/>
  <c r="AY353" i="3"/>
  <c r="AY196" i="3"/>
  <c r="AY455" i="3"/>
  <c r="AY470" i="3"/>
  <c r="AY538" i="3"/>
  <c r="AY39" i="3"/>
  <c r="AY466" i="3"/>
  <c r="AY561" i="3"/>
  <c r="AY285" i="3"/>
  <c r="AY451" i="3"/>
  <c r="AY253" i="3"/>
  <c r="AY511" i="3"/>
  <c r="AY469" i="3"/>
  <c r="AY79" i="3"/>
  <c r="AY488" i="3"/>
  <c r="AY406" i="3"/>
  <c r="AY59" i="3"/>
  <c r="AY482" i="3"/>
  <c r="AY351" i="3"/>
  <c r="AY387" i="3"/>
  <c r="AY64" i="3"/>
  <c r="AY388" i="3"/>
  <c r="AY465" i="3"/>
  <c r="AY355" i="3"/>
  <c r="AY264" i="3"/>
  <c r="AY485" i="3"/>
  <c r="AY67" i="3"/>
  <c r="BK6" i="3"/>
  <c r="AY365" i="3"/>
  <c r="AY567" i="3"/>
  <c r="AY308" i="3"/>
  <c r="AY88" i="3"/>
  <c r="AY159" i="3"/>
  <c r="AY160" i="3"/>
  <c r="AY170" i="3"/>
  <c r="AY47" i="3"/>
  <c r="AY463" i="3"/>
  <c r="AY378" i="3"/>
  <c r="AY359" i="3"/>
  <c r="AY340" i="3"/>
  <c r="AY162" i="3"/>
  <c r="AY557" i="3"/>
  <c r="AY335" i="3"/>
  <c r="AY563" i="3"/>
  <c r="AY447" i="3"/>
  <c r="AY532" i="3"/>
  <c r="AY460" i="3"/>
  <c r="AY553" i="3"/>
  <c r="AY231" i="3"/>
  <c r="AY541" i="3"/>
  <c r="AY528" i="3"/>
  <c r="AY328" i="3"/>
  <c r="AY18" i="3"/>
  <c r="AY338" i="3"/>
  <c r="AY172" i="3"/>
  <c r="AY223" i="3"/>
  <c r="BM6" i="3"/>
  <c r="AY405" i="3"/>
  <c r="AY51" i="3"/>
  <c r="AY267" i="3"/>
  <c r="AY61" i="3"/>
  <c r="AY423" i="3"/>
  <c r="AY276" i="3"/>
  <c r="AY141" i="3"/>
  <c r="AY292" i="3"/>
  <c r="AY551" i="3"/>
  <c r="AY173" i="3"/>
  <c r="AY235" i="3"/>
  <c r="AY496" i="3"/>
  <c r="AY48" i="3"/>
  <c r="AY456" i="3"/>
  <c r="AY260" i="3"/>
  <c r="AY240" i="3"/>
  <c r="AY68" i="3"/>
  <c r="AY380" i="3"/>
  <c r="AY461" i="3"/>
  <c r="AY364" i="3"/>
  <c r="AY176" i="3"/>
  <c r="AY17" i="3"/>
  <c r="AY169" i="3"/>
  <c r="AY221" i="3"/>
  <c r="AY546" i="3"/>
  <c r="AY58" i="3"/>
  <c r="AY99" i="3"/>
  <c r="AY115" i="3"/>
  <c r="AY534" i="3"/>
  <c r="AY288" i="3"/>
  <c r="AY273" i="3"/>
  <c r="AY105" i="3"/>
  <c r="AY346" i="3"/>
  <c r="AY516" i="3"/>
  <c r="AY341" i="3"/>
  <c r="AY132" i="3"/>
  <c r="AY156" i="3"/>
  <c r="AY75" i="3"/>
  <c r="AY471" i="3"/>
  <c r="AY413" i="3"/>
  <c r="AY198" i="3"/>
  <c r="AY57" i="3"/>
  <c r="AY15" i="3"/>
  <c r="AY486" i="3"/>
  <c r="AY52" i="3"/>
  <c r="AY457" i="3"/>
  <c r="AY145" i="3"/>
  <c r="AY104" i="3"/>
  <c r="AY269" i="3"/>
  <c r="AY352" i="3"/>
  <c r="AY234" i="3"/>
  <c r="AY246" i="3"/>
  <c r="AY543" i="3"/>
  <c r="AY248" i="3"/>
  <c r="BQ6" i="3"/>
  <c r="AY217" i="3"/>
  <c r="AY146" i="3"/>
  <c r="AY258" i="3"/>
  <c r="AY464" i="3"/>
  <c r="AY131" i="3"/>
  <c r="AY349" i="3"/>
  <c r="AY178" i="3"/>
  <c r="AY389" i="3"/>
  <c r="AY266" i="3"/>
  <c r="AY230" i="3"/>
  <c r="AY254" i="3"/>
  <c r="AY481" i="3"/>
  <c r="AY226" i="3"/>
  <c r="AY179" i="3"/>
  <c r="AY493" i="3"/>
  <c r="AY244" i="3"/>
  <c r="AY289" i="3"/>
  <c r="AY283" i="3"/>
  <c r="AY92" i="3"/>
  <c r="AY200" i="3"/>
  <c r="AY66" i="3"/>
  <c r="AY357" i="3"/>
  <c r="D3" i="6"/>
  <c r="AY323" i="3"/>
  <c r="AY185" i="3"/>
  <c r="AY189" i="3"/>
  <c r="AY487" i="3"/>
  <c r="AY564" i="3"/>
  <c r="AY336" i="3"/>
  <c r="AY71" i="3"/>
  <c r="AY514" i="3"/>
  <c r="AY312" i="3"/>
  <c r="AY165" i="3"/>
  <c r="AY121" i="3"/>
  <c r="AY90" i="3"/>
  <c r="AY377" i="3"/>
  <c r="AY212" i="3"/>
  <c r="AY444" i="3"/>
  <c r="AY570" i="3"/>
  <c r="AY344" i="3"/>
  <c r="AY164" i="3"/>
  <c r="AY517" i="3"/>
  <c r="AY421" i="3"/>
  <c r="AY536" i="3"/>
  <c r="AY415" i="3"/>
  <c r="AY560" i="3"/>
  <c r="AY431" i="3"/>
  <c r="AY166" i="3"/>
  <c r="AY116" i="3"/>
  <c r="AY126" i="3"/>
  <c r="AY438" i="3"/>
  <c r="AY318" i="3"/>
  <c r="AY270" i="3"/>
  <c r="AY298" i="3"/>
  <c r="BE6" i="3"/>
  <c r="AY513" i="3"/>
  <c r="AY218" i="3"/>
  <c r="AY44" i="3"/>
  <c r="AY523" i="3"/>
  <c r="AY441" i="3"/>
  <c r="AY395" i="3"/>
  <c r="AY307" i="3"/>
  <c r="AY332" i="3"/>
  <c r="AY480" i="3"/>
  <c r="AY403" i="3"/>
  <c r="AY205" i="3"/>
  <c r="AY519" i="3"/>
  <c r="AY103" i="3"/>
  <c r="AY477" i="3"/>
  <c r="AY473" i="3"/>
  <c r="AY345" i="3"/>
  <c r="AY358" i="3"/>
  <c r="AY301" i="3"/>
  <c r="AY454" i="3"/>
  <c r="AY111" i="3"/>
  <c r="AY252" i="3"/>
  <c r="AY559" i="3"/>
  <c r="BF6" i="3"/>
  <c r="AY458" i="3"/>
  <c r="AY416" i="3"/>
  <c r="AY449" i="3"/>
  <c r="AY271" i="3"/>
  <c r="AY390" i="3"/>
  <c r="AY202" i="3"/>
  <c r="AY500" i="3"/>
  <c r="AY392" i="3"/>
  <c r="AY118" i="3"/>
  <c r="AY150" i="3"/>
  <c r="AY201" i="3"/>
  <c r="AY404" i="3"/>
  <c r="AY85" i="3"/>
  <c r="AY219" i="3"/>
  <c r="AY31" i="3"/>
  <c r="AY101" i="3"/>
  <c r="AY36" i="3"/>
  <c r="AY76" i="3"/>
  <c r="BC6" i="3"/>
  <c r="AY314" i="3"/>
  <c r="AY259" i="3"/>
  <c r="AY138" i="3"/>
  <c r="AY319" i="3"/>
  <c r="AY142" i="3"/>
  <c r="AY136" i="3"/>
  <c r="AY399" i="3"/>
  <c r="AY402" i="3"/>
  <c r="AY408" i="3"/>
  <c r="AY13" i="3"/>
  <c r="AY472" i="3"/>
  <c r="AY291" i="3"/>
  <c r="AY302" i="3"/>
  <c r="AY398" i="3"/>
  <c r="AY343" i="3"/>
  <c r="AY374" i="3"/>
  <c r="AY556" i="3"/>
  <c r="AY96" i="3"/>
  <c r="AY69" i="3"/>
  <c r="AY383" i="3"/>
  <c r="AY214" i="3"/>
  <c r="AY366" i="3"/>
  <c r="AY81" i="3"/>
  <c r="AY453" i="3"/>
  <c r="AY397" i="3"/>
  <c r="AY294" i="3"/>
  <c r="AY155" i="3"/>
  <c r="AY227" i="3"/>
  <c r="AY238" i="3"/>
  <c r="AY257" i="3"/>
  <c r="AY501" i="3"/>
  <c r="AY310" i="3"/>
  <c r="AY80" i="3"/>
  <c r="AY386" i="3"/>
  <c r="AY417" i="3"/>
  <c r="AY152" i="3"/>
  <c r="AY569" i="3"/>
  <c r="AY278" i="3"/>
  <c r="AY428" i="3"/>
  <c r="AY186" i="3"/>
  <c r="AY84" i="3"/>
  <c r="AY286" i="3"/>
  <c r="AY518" i="3"/>
  <c r="AY483" i="3"/>
  <c r="BO6" i="3"/>
  <c r="AY571" i="3"/>
  <c r="AY526" i="3"/>
  <c r="AY195" i="3"/>
  <c r="AY499" i="3"/>
  <c r="AY508" i="3"/>
  <c r="AY100" i="3"/>
  <c r="AY243" i="3"/>
  <c r="AY89" i="3"/>
  <c r="AY72" i="3"/>
  <c r="AY495" i="3"/>
  <c r="AY490" i="3"/>
  <c r="AY37" i="3"/>
  <c r="AY128" i="3"/>
  <c r="AY180" i="3"/>
  <c r="AY33" i="3"/>
  <c r="AY19" i="3"/>
  <c r="AY112" i="3"/>
  <c r="AY426" i="3"/>
  <c r="AY110" i="3"/>
  <c r="AY54" i="3"/>
  <c r="AY362" i="3"/>
  <c r="AY78" i="3"/>
  <c r="AY360" i="3"/>
  <c r="AY418" i="3"/>
  <c r="AY400" i="3"/>
  <c r="AY14" i="3"/>
  <c r="AY203" i="3"/>
  <c r="AY325" i="3"/>
  <c r="AY35" i="3"/>
  <c r="AY489" i="3"/>
  <c r="AY384" i="3"/>
  <c r="AY250" i="3"/>
  <c r="AY280" i="3"/>
  <c r="AY275" i="3"/>
  <c r="AY220" i="3"/>
  <c r="AY425" i="3"/>
  <c r="AY211" i="3"/>
  <c r="AY317" i="3"/>
  <c r="AY420" i="3"/>
  <c r="AY333" i="3"/>
  <c r="AY41" i="3"/>
  <c r="AY91" i="3"/>
  <c r="AY268" i="3"/>
  <c r="AY368" i="3"/>
  <c r="AY316" i="3"/>
  <c r="AY530" i="3"/>
  <c r="AY77" i="3"/>
  <c r="AY262" i="3"/>
  <c r="AY42" i="3"/>
  <c r="AY265" i="3"/>
  <c r="AY183" i="3"/>
  <c r="AY38" i="3"/>
  <c r="AY233" i="3"/>
  <c r="AY448" i="3"/>
  <c r="AY478" i="3"/>
  <c r="AY437" i="3"/>
  <c r="AY50" i="3"/>
  <c r="AY25" i="3"/>
  <c r="AY424" i="3"/>
  <c r="AY329" i="3"/>
  <c r="AY26" i="3"/>
  <c r="AY361" i="3"/>
  <c r="AY324" i="3"/>
  <c r="AY315" i="3"/>
  <c r="AY295" i="3"/>
  <c r="AY549" i="3"/>
  <c r="AY49" i="3"/>
  <c r="AY372" i="3"/>
  <c r="AY450" i="3"/>
  <c r="AY414" i="3"/>
  <c r="AY479" i="3"/>
  <c r="AY311" i="3"/>
  <c r="AY43" i="3"/>
  <c r="AY140" i="3"/>
  <c r="AY241" i="3"/>
  <c r="AY492" i="3"/>
  <c r="AY107" i="3"/>
  <c r="AY290" i="3"/>
  <c r="AY348" i="3"/>
  <c r="AY356" i="3"/>
  <c r="AY222" i="3"/>
  <c r="AY436" i="3"/>
  <c r="AY124" i="3"/>
  <c r="AY503" i="3"/>
  <c r="AY108" i="3"/>
  <c r="AY210" i="3"/>
  <c r="AY509" i="3"/>
  <c r="BB6" i="3"/>
  <c r="BT6" i="3"/>
  <c r="AY363" i="3"/>
  <c r="AY507" i="3"/>
  <c r="AY134" i="3"/>
  <c r="AY255" i="3"/>
  <c r="AY293" i="3"/>
  <c r="AY190" i="3"/>
  <c r="AY177" i="3"/>
  <c r="AY326" i="3"/>
  <c r="AY327" i="3"/>
  <c r="AY83" i="3"/>
  <c r="AY505" i="3"/>
  <c r="AY34" i="3"/>
  <c r="AY40" i="3"/>
  <c r="AY539" i="3"/>
  <c r="AY296" i="3"/>
  <c r="AY502" i="3"/>
  <c r="AY23" i="3"/>
  <c r="AY354" i="3"/>
  <c r="AY370" i="3"/>
  <c r="AY300" i="3"/>
  <c r="AY452" i="3"/>
  <c r="AY433" i="3"/>
  <c r="AY237" i="3"/>
  <c r="AY228" i="3"/>
  <c r="AY24" i="3"/>
  <c r="AY394" i="3"/>
  <c r="AY133" i="3"/>
  <c r="AY371" i="3"/>
  <c r="AY442" i="3"/>
  <c r="AY434" i="3"/>
  <c r="AY445" i="3"/>
  <c r="AY350" i="3"/>
  <c r="AY558" i="3"/>
  <c r="AY154" i="3"/>
  <c r="AY144" i="3"/>
  <c r="AY303" i="3"/>
  <c r="BL6" i="3"/>
  <c r="AY135" i="3"/>
  <c r="AY236" i="3"/>
  <c r="AY225" i="3"/>
  <c r="K65" i="40"/>
  <c r="J67" i="40"/>
  <c r="J70" i="39"/>
  <c r="I72" i="39"/>
  <c r="C8" i="59"/>
  <c r="D9" i="59"/>
  <c r="T9" i="59"/>
  <c r="D16" i="43"/>
  <c r="C16" i="43" s="1"/>
  <c r="D45" i="9"/>
  <c r="L38" i="9"/>
  <c r="B14" i="66" s="1"/>
  <c r="B1" i="66" s="1"/>
  <c r="C7" i="66" s="1"/>
  <c r="C21" i="4"/>
  <c r="O5" i="54" s="1"/>
  <c r="B45" i="63" s="1"/>
  <c r="D16" i="12"/>
  <c r="D10" i="11"/>
  <c r="E6" i="6"/>
  <c r="C26" i="46"/>
  <c r="C33" i="68"/>
  <c r="L46" i="68"/>
  <c r="C60" i="68"/>
  <c r="T13" i="1"/>
  <c r="T7" i="1"/>
  <c r="T12" i="1"/>
  <c r="T10" i="1"/>
  <c r="T6" i="1"/>
  <c r="T9" i="1"/>
  <c r="T8" i="1"/>
  <c r="P14" i="1"/>
  <c r="P16" i="1" s="1"/>
  <c r="C13" i="12" s="1"/>
  <c r="L16" i="1"/>
  <c r="N16" i="1"/>
  <c r="C29" i="43" s="1"/>
  <c r="C13" i="43"/>
  <c r="G41" i="36"/>
  <c r="H41" i="36" s="1"/>
  <c r="G40" i="36"/>
  <c r="H40" i="36" s="1"/>
  <c r="E36" i="36"/>
  <c r="R37" i="36"/>
  <c r="Q68" i="44"/>
  <c r="Q77" i="44" s="1"/>
  <c r="Q59" i="44"/>
  <c r="Q64" i="44" s="1"/>
  <c r="C14" i="15"/>
  <c r="E7" i="67"/>
  <c r="C14" i="68"/>
  <c r="C14" i="72"/>
  <c r="C16" i="44"/>
  <c r="C18" i="72" l="1"/>
  <c r="C15" i="72"/>
  <c r="E3" i="67"/>
  <c r="C16" i="12"/>
  <c r="D19" i="12"/>
  <c r="C19" i="12" s="1"/>
  <c r="L65" i="40"/>
  <c r="K67" i="40"/>
  <c r="I19" i="6"/>
  <c r="M27" i="6"/>
  <c r="B2" i="46"/>
  <c r="C7" i="59"/>
  <c r="D8" i="59"/>
  <c r="C40" i="39"/>
  <c r="D22" i="6"/>
  <c r="H24" i="6"/>
  <c r="H26" i="6"/>
  <c r="D8" i="6"/>
  <c r="E63" i="40"/>
  <c r="D24" i="6"/>
  <c r="D26" i="6"/>
  <c r="D28" i="6"/>
  <c r="H25" i="6"/>
  <c r="H23" i="6"/>
  <c r="D20" i="6"/>
  <c r="D19" i="6"/>
  <c r="D9" i="6"/>
  <c r="D12" i="6"/>
  <c r="F45" i="9"/>
  <c r="B4" i="11"/>
  <c r="D14" i="6"/>
  <c r="D5" i="6"/>
  <c r="H20" i="6"/>
  <c r="R20" i="6" s="1"/>
  <c r="R7" i="1" s="1"/>
  <c r="D13" i="6"/>
  <c r="K38" i="9"/>
  <c r="C14" i="66" s="1"/>
  <c r="B2" i="66" s="1"/>
  <c r="D7" i="66" s="1"/>
  <c r="D6" i="6"/>
  <c r="E45" i="9"/>
  <c r="D10" i="6"/>
  <c r="D15" i="6"/>
  <c r="D11" i="6"/>
  <c r="C22" i="4"/>
  <c r="D23" i="6"/>
  <c r="R23" i="6" s="1"/>
  <c r="D21" i="6"/>
  <c r="H21" i="6"/>
  <c r="B5" i="11"/>
  <c r="D25" i="6"/>
  <c r="D29" i="6"/>
  <c r="H22" i="6"/>
  <c r="D22" i="12"/>
  <c r="C22" i="12" s="1"/>
  <c r="C20" i="12" s="1"/>
  <c r="D13" i="11"/>
  <c r="C13" i="11" s="1"/>
  <c r="K70" i="39"/>
  <c r="J72" i="39"/>
  <c r="C15" i="68"/>
  <c r="C18" i="68"/>
  <c r="T16" i="1"/>
  <c r="C20" i="44"/>
  <c r="C17" i="44"/>
  <c r="C18" i="15"/>
  <c r="C15" i="15"/>
  <c r="C17" i="43"/>
  <c r="C14" i="43"/>
  <c r="C17" i="12"/>
  <c r="C14" i="12"/>
  <c r="C37" i="36"/>
  <c r="B3" i="36" s="1"/>
  <c r="B2" i="36" s="1"/>
  <c r="C36" i="36"/>
  <c r="E40" i="36"/>
  <c r="F40" i="36" s="1"/>
  <c r="E41" i="36"/>
  <c r="F41" i="36" s="1"/>
  <c r="I41" i="36"/>
  <c r="J41" i="36" s="1"/>
  <c r="F35" i="72"/>
  <c r="M21" i="72"/>
  <c r="B7" i="67"/>
  <c r="C19" i="72" l="1"/>
  <c r="C20" i="72" s="1"/>
  <c r="B2" i="67"/>
  <c r="J20" i="72"/>
  <c r="F62" i="72"/>
  <c r="C61" i="72" s="1"/>
  <c r="C58" i="72" s="1"/>
  <c r="C34" i="72"/>
  <c r="C31" i="72" s="1"/>
  <c r="B4" i="46"/>
  <c r="D4" i="46"/>
  <c r="B3" i="46"/>
  <c r="R21" i="6"/>
  <c r="R8" i="1" s="1"/>
  <c r="A20" i="64"/>
  <c r="N5" i="54"/>
  <c r="B43" i="63" s="1"/>
  <c r="A20" i="51"/>
  <c r="B15" i="63" s="1"/>
  <c r="A6" i="51"/>
  <c r="B7" i="63" s="1"/>
  <c r="A6" i="64"/>
  <c r="R25" i="6"/>
  <c r="R26" i="6"/>
  <c r="D27" i="6"/>
  <c r="R24" i="6"/>
  <c r="H40" i="39"/>
  <c r="F40" i="39"/>
  <c r="J40" i="39"/>
  <c r="M65" i="40"/>
  <c r="L67" i="40"/>
  <c r="R22" i="6"/>
  <c r="R9" i="1" s="1"/>
  <c r="D16" i="6"/>
  <c r="C6" i="59"/>
  <c r="D7" i="59"/>
  <c r="D30" i="6"/>
  <c r="K72" i="39"/>
  <c r="L70" i="39"/>
  <c r="I27" i="6"/>
  <c r="S19" i="6"/>
  <c r="S27" i="6" s="1"/>
  <c r="H19" i="6"/>
  <c r="C19" i="68"/>
  <c r="C20" i="68" s="1"/>
  <c r="C23" i="68" s="1"/>
  <c r="L57" i="68"/>
  <c r="L60" i="68" s="1"/>
  <c r="C21" i="44"/>
  <c r="C22" i="44" s="1"/>
  <c r="C28" i="44" s="1"/>
  <c r="C19" i="15"/>
  <c r="C20" i="15" s="1"/>
  <c r="C23" i="15" s="1"/>
  <c r="C18" i="12"/>
  <c r="C23" i="12" s="1"/>
  <c r="C18" i="43"/>
  <c r="C19" i="43" s="1"/>
  <c r="C25" i="43" s="1"/>
  <c r="C24" i="43" s="1"/>
  <c r="F35" i="15"/>
  <c r="M21" i="15"/>
  <c r="M21" i="68"/>
  <c r="F35" i="68"/>
  <c r="C26" i="72" l="1"/>
  <c r="C23" i="72"/>
  <c r="C34" i="68"/>
  <c r="C31" i="68" s="1"/>
  <c r="F62" i="68"/>
  <c r="C61" i="68" s="1"/>
  <c r="C58" i="68" s="1"/>
  <c r="J20" i="68"/>
  <c r="J20" i="15"/>
  <c r="C34" i="15"/>
  <c r="F62" i="15"/>
  <c r="C61" i="15" s="1"/>
  <c r="L72" i="39"/>
  <c r="M70" i="39"/>
  <c r="AC40" i="39"/>
  <c r="W40" i="39"/>
  <c r="AB40" i="39"/>
  <c r="U40" i="39"/>
  <c r="N65" i="40"/>
  <c r="N67" i="40" s="1"/>
  <c r="M67" i="40"/>
  <c r="J9" i="40" s="1"/>
  <c r="R19" i="6"/>
  <c r="H27" i="6"/>
  <c r="D31" i="6"/>
  <c r="C5" i="59"/>
  <c r="D6" i="59"/>
  <c r="S40" i="39"/>
  <c r="AA40" i="39"/>
  <c r="B3" i="67"/>
  <c r="B4" i="67"/>
  <c r="C25" i="44"/>
  <c r="C31" i="44" s="1"/>
  <c r="J21" i="44" s="1"/>
  <c r="J19" i="44" s="1"/>
  <c r="C26" i="68"/>
  <c r="C29" i="68" s="1"/>
  <c r="C26" i="15"/>
  <c r="C29" i="15" s="1"/>
  <c r="Q50" i="15" s="1"/>
  <c r="Q67" i="68"/>
  <c r="Q58" i="68"/>
  <c r="C22" i="43"/>
  <c r="C21" i="43" s="1"/>
  <c r="C28" i="43" s="1"/>
  <c r="C30" i="43" s="1"/>
  <c r="C32" i="43" s="1"/>
  <c r="B2" i="43" s="1"/>
  <c r="K33" i="9"/>
  <c r="K34" i="9" s="1"/>
  <c r="C29" i="72" l="1"/>
  <c r="C36" i="72" s="1"/>
  <c r="J9" i="39"/>
  <c r="I6" i="6"/>
  <c r="I5" i="6"/>
  <c r="AC9" i="40"/>
  <c r="V44" i="40" s="1"/>
  <c r="I44" i="40" s="1"/>
  <c r="I48" i="40" s="1"/>
  <c r="J48" i="40" s="1"/>
  <c r="W9" i="40"/>
  <c r="M72" i="39"/>
  <c r="N70" i="39"/>
  <c r="N72" i="39" s="1"/>
  <c r="H9" i="40"/>
  <c r="F9" i="40"/>
  <c r="D5" i="59"/>
  <c r="M20" i="46"/>
  <c r="R6" i="1"/>
  <c r="R16" i="1" s="1"/>
  <c r="R27" i="6"/>
  <c r="C15" i="44"/>
  <c r="Q72" i="44" s="1"/>
  <c r="J16" i="44"/>
  <c r="J15" i="44" s="1"/>
  <c r="J25" i="44" s="1"/>
  <c r="C35" i="44"/>
  <c r="C33" i="44" s="1"/>
  <c r="C38" i="44"/>
  <c r="Q51" i="44"/>
  <c r="C56" i="68"/>
  <c r="C63" i="68" s="1"/>
  <c r="Q50" i="68"/>
  <c r="J19" i="68"/>
  <c r="J17" i="68" s="1"/>
  <c r="J59" i="68"/>
  <c r="J60" i="68" s="1"/>
  <c r="Q49" i="68" s="1"/>
  <c r="J14" i="68"/>
  <c r="C13" i="68"/>
  <c r="C36" i="68"/>
  <c r="C36" i="15"/>
  <c r="J19" i="15"/>
  <c r="J17" i="15" s="1"/>
  <c r="J59" i="15"/>
  <c r="J60" i="15" s="1"/>
  <c r="L46" i="15" s="1"/>
  <c r="C13" i="15"/>
  <c r="C37" i="15" s="1"/>
  <c r="J14" i="15"/>
  <c r="J13" i="15" s="1"/>
  <c r="J23" i="15" s="1"/>
  <c r="C33" i="15"/>
  <c r="C31" i="15" s="1"/>
  <c r="C56" i="15"/>
  <c r="C63" i="15" s="1"/>
  <c r="J24" i="44"/>
  <c r="B5" i="43"/>
  <c r="B4" i="43"/>
  <c r="B3" i="43"/>
  <c r="C13" i="72" l="1"/>
  <c r="C37" i="72" s="1"/>
  <c r="C30" i="72" s="1"/>
  <c r="C39" i="72" s="1"/>
  <c r="Q70" i="72" s="1"/>
  <c r="Q50" i="72"/>
  <c r="J19" i="72"/>
  <c r="J17" i="72" s="1"/>
  <c r="C56" i="72"/>
  <c r="C63" i="72" s="1"/>
  <c r="J14" i="72"/>
  <c r="J13" i="72" s="1"/>
  <c r="J23" i="72" s="1"/>
  <c r="J59" i="72"/>
  <c r="J60" i="72" s="1"/>
  <c r="Q49" i="72" s="1"/>
  <c r="C43" i="44"/>
  <c r="C11" i="73"/>
  <c r="C11" i="21"/>
  <c r="C13" i="39"/>
  <c r="F9" i="39"/>
  <c r="H9" i="39"/>
  <c r="U9" i="40"/>
  <c r="AB9" i="40"/>
  <c r="T44" i="40" s="1"/>
  <c r="G44" i="40" s="1"/>
  <c r="AC9" i="39"/>
  <c r="W9" i="39"/>
  <c r="S9" i="40"/>
  <c r="AA9" i="40"/>
  <c r="R44" i="40" s="1"/>
  <c r="C39" i="44"/>
  <c r="C32" i="44" s="1"/>
  <c r="C42" i="44" s="1"/>
  <c r="Q71" i="44" s="1"/>
  <c r="Q70" i="44" s="1"/>
  <c r="C55" i="68"/>
  <c r="C64" i="68" s="1"/>
  <c r="C57" i="68" s="1"/>
  <c r="C66" i="68" s="1"/>
  <c r="C67" i="68" s="1"/>
  <c r="Q71" i="68"/>
  <c r="C37" i="68"/>
  <c r="C30" i="68" s="1"/>
  <c r="C39" i="68" s="1"/>
  <c r="J35" i="68"/>
  <c r="J22" i="68"/>
  <c r="J13" i="68"/>
  <c r="J23" i="68" s="1"/>
  <c r="J35" i="15"/>
  <c r="Q49" i="15"/>
  <c r="C60" i="15"/>
  <c r="C58" i="15" s="1"/>
  <c r="C30" i="15"/>
  <c r="C39" i="15" s="1"/>
  <c r="C55" i="15"/>
  <c r="C64" i="15" s="1"/>
  <c r="Q71" i="15"/>
  <c r="J22" i="15"/>
  <c r="J16" i="15" s="1"/>
  <c r="J25" i="15" s="1"/>
  <c r="J18" i="44"/>
  <c r="J27" i="44" s="1"/>
  <c r="L51" i="68"/>
  <c r="L51" i="72"/>
  <c r="L51" i="15"/>
  <c r="Q71" i="72" l="1"/>
  <c r="Q69" i="72" s="1"/>
  <c r="C40" i="72"/>
  <c r="J42" i="72" s="1"/>
  <c r="J43" i="72" s="1"/>
  <c r="J35" i="72"/>
  <c r="J39" i="72" s="1"/>
  <c r="J40" i="72" s="1"/>
  <c r="C55" i="72"/>
  <c r="C64" i="72" s="1"/>
  <c r="C57" i="72" s="1"/>
  <c r="C66" i="72" s="1"/>
  <c r="C67" i="72" s="1"/>
  <c r="C70" i="72" s="1"/>
  <c r="J22" i="72"/>
  <c r="J16" i="72" s="1"/>
  <c r="J25" i="72" s="1"/>
  <c r="Q68" i="72"/>
  <c r="E44" i="40"/>
  <c r="R45" i="40"/>
  <c r="J11" i="73"/>
  <c r="F11" i="73"/>
  <c r="H11" i="73"/>
  <c r="U9" i="39"/>
  <c r="AB9" i="39"/>
  <c r="AA9" i="39"/>
  <c r="S9" i="39"/>
  <c r="G49" i="40"/>
  <c r="H49" i="40" s="1"/>
  <c r="G48" i="40"/>
  <c r="H48" i="40" s="1"/>
  <c r="F13" i="39"/>
  <c r="H13" i="39"/>
  <c r="J13" i="39"/>
  <c r="J11" i="21"/>
  <c r="H11" i="21"/>
  <c r="F11" i="21"/>
  <c r="C44" i="44"/>
  <c r="C45" i="44" s="1"/>
  <c r="B2" i="44" s="1"/>
  <c r="B5" i="44" s="1"/>
  <c r="J16" i="68"/>
  <c r="J25" i="68" s="1"/>
  <c r="Q68" i="68"/>
  <c r="C40" i="68"/>
  <c r="C46" i="68" s="1"/>
  <c r="Q70" i="68"/>
  <c r="Q69" i="68" s="1"/>
  <c r="C70" i="68"/>
  <c r="J39" i="68"/>
  <c r="J40" i="68" s="1"/>
  <c r="J39" i="15"/>
  <c r="J40" i="15" s="1"/>
  <c r="C57" i="15"/>
  <c r="C66" i="15" s="1"/>
  <c r="C67" i="15" s="1"/>
  <c r="C70" i="15" s="1"/>
  <c r="Q70" i="15"/>
  <c r="Q69" i="15" s="1"/>
  <c r="L57" i="15"/>
  <c r="L60" i="15" s="1"/>
  <c r="Q58" i="15" s="1"/>
  <c r="Q68" i="15"/>
  <c r="C40" i="15"/>
  <c r="Q66" i="15" s="1"/>
  <c r="Q57" i="72" l="1"/>
  <c r="Q63" i="72" s="1"/>
  <c r="Q66" i="72"/>
  <c r="Q76" i="72" s="1"/>
  <c r="B2" i="72"/>
  <c r="B3" i="72" s="1"/>
  <c r="Q48" i="72"/>
  <c r="Q54" i="72" s="1"/>
  <c r="C43" i="72"/>
  <c r="C46" i="72"/>
  <c r="AB11" i="73"/>
  <c r="T48" i="73" s="1"/>
  <c r="G48" i="73" s="1"/>
  <c r="U11" i="73"/>
  <c r="S11" i="73"/>
  <c r="AA11" i="73"/>
  <c r="R48" i="73" s="1"/>
  <c r="AC13" i="39"/>
  <c r="V49" i="39" s="1"/>
  <c r="I49" i="39" s="1"/>
  <c r="W13" i="39"/>
  <c r="C44" i="40"/>
  <c r="C45" i="40"/>
  <c r="U13" i="39"/>
  <c r="AB13" i="39"/>
  <c r="T49" i="39" s="1"/>
  <c r="G49" i="39" s="1"/>
  <c r="I49" i="40"/>
  <c r="J49" i="40" s="1"/>
  <c r="E48" i="40"/>
  <c r="F48" i="40" s="1"/>
  <c r="E49" i="40"/>
  <c r="F49" i="40" s="1"/>
  <c r="S13" i="39"/>
  <c r="AA13" i="39"/>
  <c r="R49" i="39" s="1"/>
  <c r="S11" i="21"/>
  <c r="AA11" i="21"/>
  <c r="R48" i="21" s="1"/>
  <c r="U11" i="21"/>
  <c r="AB11" i="21"/>
  <c r="T48" i="21" s="1"/>
  <c r="G48" i="21" s="1"/>
  <c r="AC11" i="21"/>
  <c r="V48" i="21" s="1"/>
  <c r="I48" i="21" s="1"/>
  <c r="I52" i="21" s="1"/>
  <c r="J52" i="21" s="1"/>
  <c r="W11" i="21"/>
  <c r="AC11" i="73"/>
  <c r="V48" i="73" s="1"/>
  <c r="I48" i="73" s="1"/>
  <c r="W11" i="73"/>
  <c r="B4" i="44"/>
  <c r="B3" i="44"/>
  <c r="Q57" i="68"/>
  <c r="Q63" i="68" s="1"/>
  <c r="C43" i="68"/>
  <c r="Q66" i="68"/>
  <c r="Q76" i="68" s="1"/>
  <c r="Q48" i="68"/>
  <c r="Q54" i="68" s="1"/>
  <c r="B2" i="68"/>
  <c r="J42" i="68"/>
  <c r="J43" i="68" s="1"/>
  <c r="Q48" i="15"/>
  <c r="Q54" i="15" s="1"/>
  <c r="C46" i="15"/>
  <c r="B2" i="15"/>
  <c r="Q67" i="15"/>
  <c r="Q76" i="15" s="1"/>
  <c r="C43" i="15"/>
  <c r="J42" i="15"/>
  <c r="J43" i="15" s="1"/>
  <c r="Q57" i="15"/>
  <c r="Q63" i="15" s="1"/>
  <c r="B53" i="40" l="1"/>
  <c r="F53" i="40" s="1"/>
  <c r="B58" i="40"/>
  <c r="F58" i="40" s="1"/>
  <c r="B56" i="40"/>
  <c r="F56" i="40" s="1"/>
  <c r="B62" i="40"/>
  <c r="F62" i="40" s="1"/>
  <c r="B60" i="40"/>
  <c r="F60" i="40" s="1"/>
  <c r="B55" i="40"/>
  <c r="F55" i="40" s="1"/>
  <c r="B61" i="40"/>
  <c r="F61" i="40" s="1"/>
  <c r="B57" i="40"/>
  <c r="F57" i="40" s="1"/>
  <c r="B59" i="40"/>
  <c r="F59" i="40" s="1"/>
  <c r="B54" i="40"/>
  <c r="F54" i="40" s="1"/>
  <c r="F63" i="40"/>
  <c r="B2" i="40" s="1"/>
  <c r="G53" i="73"/>
  <c r="H53" i="73" s="1"/>
  <c r="G52" i="73"/>
  <c r="H52" i="73" s="1"/>
  <c r="R49" i="21"/>
  <c r="E48" i="21"/>
  <c r="I53" i="39"/>
  <c r="J53" i="39" s="1"/>
  <c r="I54" i="39"/>
  <c r="J54" i="39" s="1"/>
  <c r="E49" i="39"/>
  <c r="R50" i="39"/>
  <c r="G52" i="21"/>
  <c r="H52" i="21" s="1"/>
  <c r="G53" i="21"/>
  <c r="H53" i="21" s="1"/>
  <c r="I52" i="73"/>
  <c r="J52" i="73" s="1"/>
  <c r="G54" i="39"/>
  <c r="H54" i="39" s="1"/>
  <c r="G53" i="39"/>
  <c r="H53" i="39" s="1"/>
  <c r="E48" i="73"/>
  <c r="R49" i="73"/>
  <c r="F10" i="12"/>
  <c r="B3" i="68"/>
  <c r="F8" i="12" s="1"/>
  <c r="B3" i="15"/>
  <c r="E8" i="12" s="1"/>
  <c r="E10" i="12"/>
  <c r="C48" i="21" l="1"/>
  <c r="C49" i="21"/>
  <c r="B3" i="21" s="1"/>
  <c r="C49" i="39"/>
  <c r="C50" i="39"/>
  <c r="E53" i="39"/>
  <c r="F53" i="39" s="1"/>
  <c r="E54" i="39"/>
  <c r="F54" i="39" s="1"/>
  <c r="C49" i="73"/>
  <c r="B3" i="73" s="1"/>
  <c r="C48" i="73"/>
  <c r="I53" i="21"/>
  <c r="J53" i="21" s="1"/>
  <c r="E53" i="21"/>
  <c r="F53" i="21" s="1"/>
  <c r="E52" i="21"/>
  <c r="F52" i="21" s="1"/>
  <c r="E53" i="73"/>
  <c r="F53" i="73" s="1"/>
  <c r="E52" i="73"/>
  <c r="F52" i="73" s="1"/>
  <c r="I53" i="73"/>
  <c r="J53" i="73" s="1"/>
  <c r="B5" i="40"/>
  <c r="B4" i="40"/>
  <c r="B3" i="40"/>
  <c r="D8" i="12" l="1"/>
  <c r="B2" i="73"/>
  <c r="D10" i="12" s="1"/>
  <c r="B2" i="21"/>
  <c r="C10" i="12" s="1"/>
  <c r="C6" i="12" s="1"/>
  <c r="C29" i="12" s="1"/>
  <c r="C8" i="12"/>
  <c r="B64" i="39"/>
  <c r="F64" i="39" s="1"/>
  <c r="B66" i="39"/>
  <c r="F66" i="39" s="1"/>
  <c r="B58" i="39"/>
  <c r="F58" i="39" s="1"/>
  <c r="B61" i="39"/>
  <c r="F61" i="39" s="1"/>
  <c r="B65" i="39"/>
  <c r="F65" i="39" s="1"/>
  <c r="B60" i="39"/>
  <c r="F60" i="39" s="1"/>
  <c r="B63" i="39"/>
  <c r="F63" i="39" s="1"/>
  <c r="B59" i="39"/>
  <c r="F59" i="39" s="1"/>
  <c r="B67" i="39"/>
  <c r="F67" i="39" s="1"/>
  <c r="B62" i="39"/>
  <c r="F62" i="39" s="1"/>
  <c r="C24" i="12" l="1"/>
  <c r="C35" i="12" s="1"/>
  <c r="C33" i="12" s="1"/>
  <c r="F68" i="39"/>
  <c r="B2" i="39" s="1"/>
  <c r="C19" i="9"/>
  <c r="C28" i="12" l="1"/>
  <c r="C26" i="12" s="1"/>
  <c r="C31" i="12" s="1"/>
  <c r="C30" i="12" s="1"/>
  <c r="C36" i="12" s="1"/>
  <c r="B2" i="12" s="1"/>
  <c r="B5" i="12" s="1"/>
  <c r="L43" i="9"/>
  <c r="B5" i="39"/>
  <c r="B3" i="39"/>
  <c r="B4" i="39"/>
  <c r="D19" i="9"/>
  <c r="C20" i="9"/>
  <c r="C21" i="9"/>
  <c r="L44" i="9" l="1"/>
  <c r="G19" i="9"/>
  <c r="C32" i="9" s="1"/>
  <c r="D22" i="9"/>
  <c r="B4" i="12"/>
  <c r="B3" i="12"/>
  <c r="D21" i="9"/>
  <c r="D20" i="9"/>
  <c r="G22" i="9" l="1"/>
  <c r="N43" i="9"/>
  <c r="G20" i="9"/>
  <c r="G21" i="9"/>
  <c r="C42" i="9"/>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D46" i="9" l="1"/>
  <c r="I14" i="66"/>
  <c r="B8" i="66" s="1"/>
  <c r="F46" i="9"/>
  <c r="E46" i="9"/>
  <c r="O41" i="9"/>
  <c r="R8" i="54" s="1"/>
  <c r="B54" i="63" s="1"/>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<sst xmlns="http://schemas.openxmlformats.org/spreadsheetml/2006/main" count="8930" uniqueCount="3298">
  <si>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</si>
  <si>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</si>
  <si>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</si>
  <si>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</si>
  <si>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</si>
  <si>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</si>
  <si>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</si>
  <si>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</si>
  <si>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</si>
  <si>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</si>
  <si>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</si>
  <si>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</si>
  <si>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</si>
  <si>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</si>
  <si>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</si>
  <si>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</si>
  <si>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</si>
  <si>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</si>
  <si>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</si>
  <si>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</si>
  <si>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</si>
  <si>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</si>
  <si>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</si>
  <si>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</si>
  <si>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</si>
  <si>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</si>
  <si>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</si>
  <si>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</si>
  <si>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</si>
  <si>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</si>
  <si>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</si>
  <si>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</si>
  <si>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</si>
  <si>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</si>
  <si>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</si>
  <si>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</si>
  <si>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</si>
  <si>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</si>
  <si>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</si>
  <si>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</si>
  <si>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</si>
  <si>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</si>
  <si>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</si>
  <si>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</si>
  <si>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</si>
  <si>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</si>
  <si>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</si>
  <si>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</si>
  <si>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</si>
  <si>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</si>
  <si>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</si>
  <si>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</si>
  <si>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</si>
  <si>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</si>
  <si>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</si>
  <si>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</si>
  <si>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</si>
  <si>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</si>
  <si>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</si>
  <si>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</si>
  <si>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</si>
  <si>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</si>
  <si>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</si>
  <si>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</si>
  <si>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</si>
  <si>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</si>
  <si>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</si>
  <si>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</si>
  <si>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</si>
  <si>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</si>
  <si>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</si>
  <si>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</si>
  <si>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</si>
  <si>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</si>
  <si>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</si>
  <si>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</si>
  <si>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</si>
  <si>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</si>
  <si>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</si>
  <si>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</si>
  <si>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</si>
  <si>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</si>
  <si>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</si>
  <si>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</si>
  <si>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</si>
  <si>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</si>
  <si>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</si>
  <si>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</si>
  <si>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</si>
  <si>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</si>
  <si>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</si>
  <si>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</si>
  <si>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</si>
  <si>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</si>
  <si>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</si>
  <si>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</si>
  <si>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</si>
  <si>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</si>
  <si>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</si>
  <si>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</si>
  <si>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</si>
  <si>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</si>
  <si>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</si>
  <si>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</si>
  <si>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</si>
  <si>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</si>
  <si>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</si>
  <si>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</si>
  <si>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</si>
  <si>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</si>
  <si>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</si>
  <si>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</si>
  <si>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</si>
  <si>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</si>
  <si>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</si>
  <si>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</si>
  <si>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</si>
  <si>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</si>
  <si>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</si>
  <si>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</si>
  <si>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</si>
  <si>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</si>
  <si>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</si>
  <si>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</si>
  <si>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</si>
  <si>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</si>
  <si>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</si>
  <si>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</si>
  <si>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</si>
  <si>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</si>
  <si>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</si>
  <si>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</si>
  <si>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</si>
  <si>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</si>
  <si>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</si>
  <si>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</si>
  <si>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</si>
  <si>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</si>
  <si>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</si>
  <si>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</si>
  <si>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</si>
  <si>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</si>
  <si>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</si>
  <si>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</si>
  <si>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</si>
  <si>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</si>
  <si>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</si>
  <si>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</si>
  <si>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</si>
  <si>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</si>
  <si>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</si>
  <si>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</si>
  <si>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</si>
  <si>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</si>
  <si>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</si>
  <si>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</si>
  <si>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</si>
  <si>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</si>
  <si>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</si>
  <si>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</si>
  <si>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</si>
  <si>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</si>
  <si>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</si>
  <si>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</si>
  <si>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</si>
  <si>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</si>
  <si>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</si>
  <si>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</si>
  <si>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</si>
  <si>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</si>
  <si>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</si>
  <si>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</si>
  <si>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</si>
  <si>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</si>
  <si>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</si>
  <si>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</si>
  <si>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</si>
  <si>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</si>
  <si>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</si>
  <si>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</si>
  <si>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</si>
  <si>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</si>
  <si>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</si>
  <si>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</si>
  <si>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</si>
  <si>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</si>
  <si>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</si>
  <si>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</si>
  <si>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</si>
  <si>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</si>
  <si>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</si>
  <si>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</si>
  <si>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</si>
  <si>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</si>
  <si>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</si>
  <si>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</si>
  <si>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</si>
  <si>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</si>
  <si>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</si>
  <si>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</si>
  <si>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</si>
  <si>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</si>
  <si>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</si>
  <si>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</si>
  <si>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</si>
  <si>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</si>
  <si>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</si>
  <si>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</si>
  <si>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</si>
  <si>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</si>
  <si>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</si>
  <si>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</si>
  <si>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</si>
  <si>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</si>
  <si>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</si>
  <si>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</si>
  <si>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</si>
  <si>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</si>
  <si>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</si>
  <si>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</si>
  <si>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</si>
  <si>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</si>
  <si>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</si>
  <si>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</si>
  <si>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</si>
  <si>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</si>
  <si>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</si>
  <si>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</si>
  <si>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</si>
  <si>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</si>
  <si>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</si>
  <si>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</si>
  <si>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</si>
  <si>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</si>
  <si>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</si>
  <si>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</si>
  <si>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</si>
  <si>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</si>
  <si>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</si>
  <si>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</si>
  <si>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</si>
  <si>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</si>
  <si>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</si>
  <si>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</si>
  <si>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</si>
  <si>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</si>
  <si>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</si>
  <si>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</si>
  <si>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</si>
  <si>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</si>
  <si>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</si>
  <si>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</si>
  <si>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</si>
  <si>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</si>
  <si>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</si>
  <si>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</si>
  <si>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</si>
  <si>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</si>
  <si>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</si>
  <si>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</si>
  <si>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</si>
  <si>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</si>
  <si>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</si>
  <si>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</si>
  <si>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</si>
  <si>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</si>
  <si>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</si>
  <si>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</si>
  <si>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</si>
  <si>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</si>
  <si>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</si>
  <si>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</si>
  <si>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</si>
  <si>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</si>
  <si>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</si>
  <si>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</si>
  <si>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</si>
  <si>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</si>
  <si>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</si>
  <si>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</si>
  <si>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</si>
  <si>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</si>
  <si>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</si>
  <si>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</si>
  <si>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</si>
  <si>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</si>
  <si>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</si>
  <si>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</si>
  <si>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</si>
  <si>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</si>
  <si>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</si>
  <si>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</si>
  <si>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</si>
  <si>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</si>
  <si>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</si>
  <si>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</si>
  <si>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</si>
  <si>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</si>
  <si>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</si>
  <si>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</si>
  <si>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</si>
  <si>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</si>
  <si>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</si>
  <si>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</si>
  <si>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</si>
  <si>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</si>
  <si>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</si>
  <si>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</si>
  <si>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</si>
  <si>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</si>
  <si>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</si>
  <si>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</si>
  <si>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</si>
  <si>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</si>
  <si>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</si>
  <si>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</si>
  <si>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</si>
  <si>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</si>
  <si>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</si>
  <si>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</si>
  <si>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</si>
  <si>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</si>
  <si>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</si>
  <si>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</si>
  <si>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</si>
  <si>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</si>
  <si>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</si>
  <si>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</si>
  <si>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</si>
  <si>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</si>
  <si>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</si>
  <si>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</si>
  <si>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</si>
  <si>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</si>
  <si>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</si>
  <si>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</si>
  <si>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</si>
  <si>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</si>
  <si>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</si>
  <si>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</si>
  <si>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</si>
  <si>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</si>
  <si>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</si>
  <si>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</si>
  <si>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</si>
  <si>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</si>
  <si>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</si>
  <si>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</si>
  <si>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</si>
  <si>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</si>
  <si>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</si>
  <si>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</si>
  <si>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</si>
  <si>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</si>
  <si>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</si>
  <si>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</si>
  <si>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</si>
  <si>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</si>
  <si>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</si>
  <si>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</si>
  <si>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</si>
  <si>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</si>
  <si>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</si>
  <si>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</si>
  <si>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</si>
  <si>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</si>
  <si>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</si>
  <si>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</si>
  <si>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</si>
  <si>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</si>
  <si>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</si>
  <si>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</si>
  <si>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</si>
  <si>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</si>
  <si>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</si>
  <si>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</si>
  <si>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</si>
  <si>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</si>
  <si>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</si>
  <si>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</si>
  <si>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</si>
  <si>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</si>
  <si>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</si>
  <si>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</si>
  <si>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</si>
  <si>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</si>
  <si>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</si>
  <si>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</si>
  <si>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</si>
  <si>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</si>
  <si>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</si>
  <si>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</si>
  <si>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</si>
  <si>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</si>
  <si>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</si>
  <si>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</si>
  <si>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</si>
  <si>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</si>
  <si>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</si>
  <si>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</si>
  <si>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</si>
  <si>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</si>
  <si>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</si>
  <si>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</si>
  <si>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</si>
  <si>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</si>
  <si>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</si>
  <si>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</si>
  <si>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</si>
  <si>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</si>
  <si>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</si>
  <si>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</si>
  <si>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</si>
  <si>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</si>
  <si>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</si>
  <si>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</si>
  <si>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</si>
  <si>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</si>
  <si>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</si>
  <si>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</si>
  <si>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</si>
  <si>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</si>
  <si>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</si>
  <si>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</si>
  <si>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</si>
  <si>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</si>
  <si>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</si>
  <si>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</si>
  <si>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</si>
  <si>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</si>
  <si>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</si>
  <si>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</si>
  <si>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</si>
  <si>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</si>
  <si>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</si>
  <si>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</si>
  <si>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</si>
  <si>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</si>
  <si>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</si>
  <si>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</si>
  <si>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</si>
  <si>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</si>
  <si>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</si>
  <si>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</si>
  <si>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</si>
  <si>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</si>
  <si>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</si>
  <si>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</si>
  <si>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</si>
  <si>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</si>
  <si>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</si>
  <si>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</si>
  <si>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</si>
  <si>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</si>
  <si>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</si>
  <si>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</si>
  <si>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</si>
  <si>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</si>
  <si>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</si>
  <si>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</si>
  <si>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</si>
  <si>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</si>
  <si>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</si>
  <si>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</si>
  <si>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</si>
  <si>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</si>
  <si>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</si>
  <si>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</si>
  <si>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</si>
  <si>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</si>
  <si>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</si>
  <si>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</si>
  <si>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</si>
  <si>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</si>
  <si>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</si>
  <si>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</si>
  <si>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</si>
  <si>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</si>
  <si>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</si>
  <si>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</si>
  <si>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</si>
  <si>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</si>
  <si>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</si>
  <si>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</si>
  <si>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</si>
  <si>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</si>
  <si>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</si>
  <si>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</si>
  <si>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</si>
  <si>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</si>
  <si>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</si>
  <si>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</si>
  <si>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</si>
  <si>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</si>
  <si>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</si>
  <si>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</si>
  <si>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</si>
  <si>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</si>
  <si>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</si>
  <si>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</si>
  <si>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</si>
  <si>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</si>
  <si>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</si>
  <si>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</si>
  <si>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</si>
  <si>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</si>
  <si>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</si>
  <si>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</si>
  <si>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</si>
  <si>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</si>
  <si>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</si>
  <si>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</si>
  <si>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</si>
  <si>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</si>
  <si>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</si>
  <si>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</si>
  <si>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</si>
  <si>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</si>
  <si>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</si>
  <si>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</si>
  <si>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</si>
  <si>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</si>
  <si>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</si>
  <si>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</si>
  <si>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</si>
  <si>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</si>
  <si>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</si>
  <si>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</si>
  <si>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</si>
  <si>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</si>
  <si>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</si>
  <si>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</si>
  <si>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</si>
  <si>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</si>
  <si>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</si>
  <si>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</si>
  <si>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</si>
  <si>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</si>
  <si>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</si>
  <si>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</si>
  <si>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</si>
  <si>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</si>
  <si>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</si>
  <si>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</si>
  <si>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</si>
  <si>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</si>
  <si>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</si>
  <si>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</si>
  <si>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</si>
  <si>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</si>
  <si>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</si>
  <si>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</si>
  <si>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</si>
  <si>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</si>
  <si>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</si>
  <si>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</si>
  <si>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</si>
  <si>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</si>
  <si>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</si>
  <si>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</si>
  <si>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</si>
  <si>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</si>
  <si>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</si>
  <si>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</si>
  <si>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</si>
  <si>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</si>
  <si>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</si>
  <si>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</si>
  <si>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</si>
  <si>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</si>
  <si>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</si>
  <si>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</si>
  <si>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</si>
  <si>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</si>
  <si>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</si>
  <si>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</si>
  <si>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</si>
  <si>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</si>
  <si>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</si>
  <si>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</si>
  <si>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</si>
  <si>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</si>
  <si>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</si>
  <si>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</si>
  <si>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</si>
  <si>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</si>
  <si>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</si>
  <si>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</si>
  <si>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</si>
  <si>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</si>
  <si>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</si>
  <si>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</si>
  <si>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</si>
  <si>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</si>
  <si>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</si>
  <si>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</si>
  <si>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</si>
  <si>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</si>
  <si>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</si>
  <si>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</si>
  <si>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</si>
  <si>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</si>
  <si>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</si>
  <si>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</si>
  <si>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</si>
  <si>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</si>
  <si>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</si>
  <si>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</si>
  <si>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</si>
  <si>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</si>
  <si>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</si>
  <si>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</si>
  <si>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</si>
  <si>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</si>
  <si>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</si>
  <si>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</si>
  <si>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</si>
  <si>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</si>
  <si>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</si>
  <si>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</si>
  <si>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</si>
  <si>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</si>
  <si>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</si>
  <si>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</si>
  <si>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</si>
  <si>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</si>
  <si>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</si>
  <si>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</si>
  <si>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</si>
  <si>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</si>
  <si>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</si>
  <si>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</si>
  <si>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</si>
  <si>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</si>
  <si>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</si>
  <si>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</si>
  <si>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</si>
  <si>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</si>
  <si>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</si>
  <si>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</si>
  <si>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</si>
  <si>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</si>
  <si>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</si>
  <si>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</si>
  <si>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</si>
  <si>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</si>
  <si>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</si>
  <si>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</si>
  <si>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</si>
  <si>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</si>
  <si>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</si>
  <si>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</si>
  <si>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</si>
  <si>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</si>
  <si>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</si>
  <si>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</si>
  <si>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</si>
  <si>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</si>
  <si>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</si>
  <si>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</si>
  <si>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</si>
  <si>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</si>
  <si>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</si>
  <si>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</si>
  <si>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</si>
  <si>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</si>
  <si>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</si>
  <si>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</si>
  <si>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</si>
  <si>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</si>
  <si>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</si>
  <si>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</si>
  <si>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</si>
  <si>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</si>
  <si>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</si>
  <si>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</si>
  <si>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</si>
  <si>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</si>
  <si>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</si>
  <si>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</si>
  <si>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</si>
  <si>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</si>
  <si>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</si>
  <si>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</si>
  <si>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</si>
  <si>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</si>
  <si>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</si>
  <si>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</si>
  <si>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</si>
  <si>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</si>
  <si>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</si>
  <si>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</si>
  <si>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</si>
  <si>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</si>
  <si>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</si>
  <si>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</si>
  <si>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</si>
  <si>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</si>
  <si>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</si>
  <si>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</si>
  <si>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</si>
  <si>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</si>
  <si>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</si>
  <si>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</si>
  <si>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</si>
  <si>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</si>
  <si>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</si>
  <si>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</si>
  <si>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</si>
  <si>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</si>
  <si>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</si>
  <si>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</si>
  <si>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</si>
  <si>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</si>
  <si>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</si>
  <si>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</si>
  <si>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</si>
  <si>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</si>
  <si>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</si>
  <si>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</si>
  <si>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</si>
  <si>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</si>
  <si>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</si>
  <si>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</si>
  <si>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</si>
  <si>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</si>
  <si>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</si>
  <si>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</si>
  <si>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</si>
  <si>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</si>
  <si>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</si>
  <si>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</si>
  <si>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</si>
  <si>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</si>
  <si>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</si>
  <si>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</si>
  <si>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</si>
  <si>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</si>
  <si>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</si>
  <si>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</si>
  <si>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</si>
  <si>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</si>
  <si>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</si>
  <si>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</si>
  <si>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</si>
  <si>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</si>
  <si>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</si>
  <si>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</si>
  <si>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</si>
  <si>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</si>
  <si>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</si>
  <si>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</si>
  <si>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</si>
  <si>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</si>
  <si>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</si>
  <si>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</si>
  <si>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</si>
  <si>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</si>
  <si>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</si>
  <si>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</si>
  <si>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</si>
  <si>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</si>
  <si>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</si>
  <si>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</si>
  <si>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</si>
  <si>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</si>
  <si>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</si>
  <si>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</si>
  <si>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</si>
  <si>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</si>
  <si>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</si>
  <si>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</si>
  <si>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</si>
  <si>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</si>
  <si>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</si>
  <si>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</si>
  <si>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</si>
  <si>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</si>
  <si>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</si>
  <si>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</si>
  <si>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</si>
  <si>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</si>
  <si>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</si>
  <si>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</si>
  <si>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</si>
  <si>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</si>
  <si>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</si>
  <si>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</si>
  <si>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</si>
  <si>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</si>
  <si>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</si>
  <si>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</si>
  <si>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</si>
  <si>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</si>
  <si>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</si>
  <si>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</si>
  <si>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</si>
  <si>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</si>
  <si>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</si>
  <si>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</si>
  <si>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</si>
  <si>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</si>
  <si>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</si>
  <si>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</si>
  <si>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</si>
  <si>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</si>
  <si>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</si>
  <si>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</si>
  <si>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</si>
  <si>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</si>
  <si>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</si>
  <si>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</si>
  <si>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</si>
  <si>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</si>
  <si>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</si>
  <si>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</si>
  <si>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</si>
  <si>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</si>
  <si>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</si>
  <si>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</si>
  <si>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</si>
  <si>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</si>
  <si>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</si>
  <si>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</si>
  <si>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</si>
  <si>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</si>
  <si>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</si>
  <si>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</si>
  <si>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</si>
  <si>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</si>
  <si>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</si>
  <si>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</si>
  <si>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</si>
  <si>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</si>
  <si>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</si>
  <si>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</si>
  <si>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</si>
  <si>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</si>
  <si>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</si>
  <si>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</si>
  <si>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</si>
  <si>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</si>
  <si>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</si>
  <si>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</si>
  <si>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</si>
  <si>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</si>
  <si>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</si>
  <si>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</si>
  <si>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</si>
  <si>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</si>
  <si>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</si>
  <si>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</si>
  <si>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</si>
  <si>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</si>
  <si>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</si>
  <si>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</si>
  <si>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</si>
  <si>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</si>
  <si>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</si>
  <si>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</si>
  <si>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</si>
  <si>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</si>
  <si>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</si>
  <si>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</si>
  <si>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</si>
  <si>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</si>
  <si>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</si>
  <si>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</si>
  <si>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</si>
  <si>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</si>
  <si>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</si>
  <si>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</si>
  <si>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</si>
  <si>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</si>
  <si>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</si>
  <si>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</si>
  <si>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</si>
  <si>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</si>
  <si>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</si>
  <si>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</si>
  <si>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</si>
  <si>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</si>
  <si>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</si>
  <si>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</si>
  <si>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</si>
  <si>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</si>
  <si>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</si>
  <si>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</si>
  <si>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</si>
  <si>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</si>
  <si>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</si>
  <si>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</si>
  <si>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</si>
  <si>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</si>
  <si>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</si>
  <si>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</si>
  <si>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</si>
  <si>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</si>
  <si>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</si>
  <si>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</si>
  <si>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</si>
  <si>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</si>
  <si>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</si>
  <si>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</si>
  <si>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</si>
  <si>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</si>
  <si>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</si>
  <si>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</si>
  <si>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</si>
  <si>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</si>
  <si>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</si>
  <si>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</si>
  <si>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</si>
  <si>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</si>
  <si>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</si>
  <si>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</si>
  <si>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</si>
  <si>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</si>
  <si>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</si>
  <si>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</si>
  <si>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</si>
  <si>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</si>
  <si>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</si>
  <si>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</si>
  <si>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</si>
  <si>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</si>
  <si>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</si>
  <si>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</si>
  <si>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</si>
  <si>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</si>
  <si>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</si>
  <si>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</si>
  <si>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</si>
  <si>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</si>
  <si>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</si>
  <si>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</si>
  <si>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</si>
  <si>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</si>
  <si>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</si>
  <si>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</si>
  <si>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</si>
  <si>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</si>
  <si>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</si>
  <si>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</si>
  <si>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</si>
  <si>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</si>
  <si>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</si>
  <si>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</si>
  <si>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</si>
  <si>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</si>
  <si>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</si>
  <si>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</si>
  <si>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</si>
  <si>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</si>
  <si>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</si>
  <si>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</si>
  <si>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</si>
  <si>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</si>
  <si>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</si>
  <si>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</si>
  <si>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</si>
  <si>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</si>
  <si>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</si>
  <si>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</si>
  <si>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</si>
  <si>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</si>
  <si>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</si>
  <si>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</si>
  <si>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</si>
  <si>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</si>
  <si>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</si>
  <si>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</si>
  <si>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</si>
  <si>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</si>
  <si>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</si>
  <si>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</si>
  <si>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</si>
  <si>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</si>
  <si>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</si>
  <si>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</si>
  <si>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</si>
  <si>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</si>
  <si>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</si>
  <si>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</si>
  <si>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</si>
  <si>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</si>
  <si>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</si>
  <si>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</si>
  <si>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</si>
  <si>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</si>
  <si>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</si>
  <si>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</si>
  <si>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</si>
  <si>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</si>
  <si>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</si>
  <si>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</si>
  <si>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</si>
  <si>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</si>
  <si>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</si>
  <si>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</si>
  <si>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</si>
  <si>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</si>
  <si>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</si>
  <si>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</si>
  <si>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</si>
  <si>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</si>
  <si>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</si>
  <si>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</si>
  <si>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</si>
  <si>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</si>
  <si>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</si>
  <si>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</si>
  <si>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</si>
  <si>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</si>
  <si>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</si>
  <si>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</si>
  <si>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</si>
  <si>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</si>
  <si>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</si>
  <si>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</si>
  <si>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</si>
  <si>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</si>
  <si>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</si>
  <si>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</si>
  <si>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</si>
  <si>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</si>
  <si>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</si>
  <si>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</si>
  <si>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</si>
  <si>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</si>
  <si>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</si>
  <si>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</si>
  <si>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</si>
  <si>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</si>
  <si>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</si>
  <si>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</si>
  <si>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</si>
  <si>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</si>
  <si>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</si>
  <si>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</si>
  <si>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</si>
  <si>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</si>
  <si>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</si>
  <si>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</si>
  <si>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</si>
  <si>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</si>
  <si>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</si>
  <si>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</si>
  <si>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</si>
  <si>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</si>
  <si>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</si>
  <si>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</si>
  <si>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</si>
  <si>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</si>
  <si>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</si>
  <si>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</si>
  <si>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</si>
  <si>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</si>
  <si>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</si>
  <si>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</si>
  <si>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</si>
  <si>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</si>
  <si>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</si>
  <si>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</si>
  <si>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</si>
  <si>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</si>
  <si>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</si>
  <si>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</si>
  <si>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</si>
  <si>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</si>
  <si>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</si>
  <si>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</si>
  <si>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</si>
  <si>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</si>
  <si>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</si>
  <si>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</si>
  <si>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</si>
  <si>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</si>
  <si>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</si>
  <si>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</si>
  <si>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</si>
  <si>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</si>
  <si>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</si>
  <si>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</si>
  <si>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</si>
  <si>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</si>
  <si>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</si>
  <si>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</si>
  <si>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</si>
  <si>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</si>
  <si>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</si>
  <si>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</si>
  <si>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</si>
  <si>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</si>
  <si>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</si>
  <si>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</si>
  <si>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</si>
  <si>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</si>
  <si>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</si>
  <si>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</si>
  <si>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</si>
  <si>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</si>
  <si>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</si>
  <si>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</si>
  <si>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</si>
  <si>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</si>
  <si>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</si>
  <si>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</si>
  <si>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</si>
  <si>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</si>
  <si>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</si>
  <si>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</si>
  <si>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</si>
  <si>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</si>
  <si>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</si>
  <si>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</si>
  <si>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</si>
  <si>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</si>
  <si>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</si>
  <si>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</si>
  <si>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</si>
  <si>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</si>
  <si>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</si>
  <si>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</si>
  <si>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</si>
  <si>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</si>
  <si>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</si>
  <si>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</si>
  <si>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</si>
  <si>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</si>
  <si>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</si>
  <si>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</si>
  <si>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</si>
  <si>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</si>
  <si>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</si>
  <si>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</si>
  <si>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</si>
  <si>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</si>
  <si>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</si>
  <si>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</si>
  <si>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</si>
  <si>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</si>
  <si>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</si>
  <si>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</si>
  <si>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</si>
  <si>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</si>
  <si>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</si>
  <si>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</si>
  <si>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</si>
  <si>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</si>
  <si>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</si>
  <si>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</si>
  <si>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</si>
  <si>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</si>
  <si>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</si>
  <si>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</si>
  <si>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</si>
  <si>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</si>
  <si>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</si>
  <si>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</si>
  <si>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</si>
  <si>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</si>
  <si>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</si>
  <si>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</si>
  <si>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</si>
  <si>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</si>
  <si>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</si>
  <si>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</si>
  <si>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</si>
  <si>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</si>
  <si>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</si>
  <si>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</si>
  <si>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</si>
  <si>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</si>
  <si>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</si>
  <si>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</si>
  <si>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</si>
  <si>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</si>
  <si>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</si>
  <si>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</si>
  <si>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</si>
  <si>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</si>
  <si>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</si>
  <si>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</si>
  <si>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</si>
  <si>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</si>
  <si>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</si>
  <si>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</si>
  <si>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</si>
  <si>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</si>
  <si>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</si>
  <si>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</si>
  <si>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</si>
  <si>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</si>
  <si>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</si>
  <si>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</si>
  <si>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</si>
  <si>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</si>
  <si>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</si>
  <si>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</si>
  <si>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</si>
  <si>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</si>
  <si>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</si>
  <si>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</si>
  <si>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</si>
  <si>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</si>
  <si>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</si>
  <si>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</si>
  <si>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</si>
  <si>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</si>
  <si>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</si>
  <si>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</si>
  <si>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</si>
  <si>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</si>
  <si>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</si>
  <si>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</si>
  <si>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</si>
  <si>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</si>
  <si>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</si>
  <si>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</si>
  <si>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</si>
  <si>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</si>
  <si>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</si>
  <si>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</si>
  <si>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</si>
  <si>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</si>
  <si>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</si>
  <si>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</si>
  <si>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</si>
  <si>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</si>
  <si>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</si>
  <si>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</si>
  <si>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</si>
  <si>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</si>
  <si>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</si>
  <si>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</si>
  <si>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</si>
  <si>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</si>
  <si>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</si>
  <si>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</si>
  <si>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</si>
  <si>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</si>
  <si>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</si>
  <si>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</si>
  <si>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</si>
  <si>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</si>
  <si>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</si>
  <si>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</si>
  <si>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</si>
  <si>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</si>
  <si>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</si>
  <si>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</si>
  <si>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</si>
  <si>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</si>
  <si>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</si>
  <si>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</si>
  <si>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</si>
  <si>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</si>
  <si>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</si>
  <si>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</si>
  <si>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</si>
  <si>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</si>
  <si>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</si>
  <si>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</si>
  <si>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</si>
  <si>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</si>
  <si>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</si>
  <si>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</si>
  <si>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</si>
  <si>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</si>
  <si>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</si>
  <si>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</si>
  <si>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</si>
  <si>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</si>
  <si>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</si>
  <si>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</si>
  <si>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</si>
  <si>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</si>
  <si>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</si>
  <si>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</si>
  <si>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</si>
  <si>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</si>
  <si>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</si>
  <si>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</si>
  <si>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</si>
  <si>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</si>
  <si>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</si>
  <si>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</si>
  <si>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</si>
  <si>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</si>
  <si>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</si>
  <si>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</si>
  <si>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</si>
  <si>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</si>
  <si>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</si>
  <si>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</si>
  <si>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</si>
  <si>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</si>
  <si>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</si>
  <si>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</si>
  <si>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</si>
  <si>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</si>
  <si>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</si>
  <si>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</si>
  <si>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</si>
  <si>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</si>
  <si>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</si>
  <si>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</si>
  <si>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</si>
  <si>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</si>
  <si>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</si>
  <si>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</si>
  <si>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</si>
  <si>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</si>
  <si>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</si>
  <si>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</si>
  <si>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</si>
  <si>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</si>
  <si>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</si>
  <si>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</si>
  <si>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</si>
  <si>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</si>
  <si>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</si>
  <si>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</si>
  <si>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</si>
  <si>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</si>
  <si>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</si>
  <si>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</si>
  <si>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</si>
  <si>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</si>
  <si>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</si>
  <si>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</si>
  <si>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</si>
  <si>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</si>
  <si>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</si>
  <si>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</si>
  <si>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</si>
  <si>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</si>
  <si>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</si>
  <si>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</si>
  <si>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</si>
  <si>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</si>
  <si>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</si>
  <si>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</si>
  <si>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</si>
  <si>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</si>
  <si>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</si>
  <si>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</si>
  <si>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</si>
  <si>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</si>
  <si>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</si>
  <si>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</si>
  <si>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</si>
  <si>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</si>
  <si>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</si>
  <si>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</si>
  <si>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</si>
  <si>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</si>
  <si>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</si>
  <si>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</si>
  <si>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</si>
  <si>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</si>
  <si>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</si>
  <si>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</si>
  <si>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</si>
  <si>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</si>
  <si>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</si>
  <si>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</si>
  <si>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</si>
  <si>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</si>
  <si>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</si>
  <si>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</si>
  <si>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</si>
  <si>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</si>
  <si>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</si>
  <si>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</si>
  <si>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</si>
  <si>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</si>
  <si>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</si>
  <si>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</si>
  <si>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</si>
  <si>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</si>
  <si>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</si>
  <si>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</si>
  <si>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</si>
  <si>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</si>
  <si>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</si>
  <si>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</si>
  <si>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</si>
  <si>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</si>
  <si>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</si>
  <si>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</si>
  <si>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</si>
  <si>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</si>
  <si>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</si>
  <si>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</si>
  <si>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</si>
  <si>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</si>
  <si>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</si>
  <si>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</si>
  <si>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</si>
  <si>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</si>
  <si>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</si>
  <si>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</si>
  <si>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</si>
  <si>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</si>
  <si>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</si>
  <si>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</si>
  <si>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</si>
  <si>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</si>
  <si>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</si>
  <si>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</si>
  <si>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</si>
  <si>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</si>
  <si>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</si>
  <si>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</si>
  <si>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</si>
  <si>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</si>
  <si>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</si>
  <si>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</si>
  <si>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</si>
  <si>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</si>
  <si>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</si>
  <si>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</si>
  <si>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</si>
  <si>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</si>
  <si>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</si>
  <si>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</si>
  <si>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</si>
  <si>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</si>
  <si>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</si>
  <si>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</si>
  <si>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</si>
  <si>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</si>
  <si>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</si>
  <si>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</si>
  <si>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</si>
  <si>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</si>
  <si>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</si>
  <si>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</si>
  <si>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</si>
  <si>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</si>
  <si>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</si>
  <si>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</si>
  <si>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</si>
  <si>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</si>
  <si>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</si>
  <si>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</si>
  <si>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</si>
  <si>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</si>
  <si>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</si>
  <si>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</si>
  <si>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</si>
  <si>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</si>
  <si>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</si>
  <si>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</si>
  <si>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</si>
  <si>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</si>
  <si>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</si>
  <si>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</si>
  <si>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</si>
  <si>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</si>
  <si>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</si>
  <si>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</si>
  <si>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</si>
  <si>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</si>
  <si>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</si>
  <si>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</si>
  <si>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</si>
  <si>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</si>
  <si>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</si>
  <si>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</si>
  <si>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</si>
  <si>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</si>
  <si>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</si>
  <si>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</si>
  <si>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</si>
  <si>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</si>
  <si>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</si>
  <si>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</si>
  <si>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</si>
  <si>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</si>
  <si>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</si>
  <si>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</si>
  <si>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</si>
  <si>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</si>
  <si>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</si>
  <si>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</si>
  <si>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</si>
  <si>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</si>
  <si>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</si>
  <si>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</si>
  <si>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</si>
  <si>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</si>
  <si>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</si>
  <si>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</si>
  <si>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</si>
  <si>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</si>
  <si>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</si>
  <si>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</si>
  <si>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</si>
  <si>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</si>
  <si>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</si>
  <si>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</si>
  <si>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</si>
  <si>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</si>
  <si>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</si>
  <si>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</si>
  <si>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</si>
  <si>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</si>
  <si>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</si>
  <si>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</si>
  <si>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</si>
  <si>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</si>
  <si>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</si>
  <si>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</si>
  <si>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</si>
  <si>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</si>
  <si>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</si>
  <si>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</si>
  <si>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</si>
  <si>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</si>
  <si>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</si>
  <si>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</si>
  <si>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</si>
  <si>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</si>
  <si>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</si>
  <si>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</si>
  <si>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</si>
  <si>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</si>
  <si>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</si>
  <si>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</si>
  <si>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</si>
  <si>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</si>
  <si>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</si>
  <si>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</si>
  <si>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</si>
  <si>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</si>
  <si>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</si>
  <si>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</si>
  <si>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</si>
  <si>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</si>
  <si>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</si>
  <si>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</si>
  <si>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</si>
  <si>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</si>
  <si>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</si>
  <si>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</si>
  <si>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</si>
  <si>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</si>
  <si>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</si>
  <si>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</si>
  <si>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</si>
  <si>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</si>
  <si>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</si>
  <si>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</si>
  <si>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</si>
  <si>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</si>
  <si>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</si>
  <si>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</si>
  <si>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</si>
  <si>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</si>
  <si>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</si>
  <si>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</si>
  <si>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</si>
  <si>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</si>
  <si>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</si>
  <si>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</si>
  <si>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</si>
  <si>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</si>
  <si>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</si>
  <si>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</si>
  <si>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</si>
  <si>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</si>
  <si>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</si>
  <si>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</si>
  <si>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</si>
  <si>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</si>
  <si>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</si>
  <si>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</si>
  <si>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</si>
  <si>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</si>
  <si>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</si>
  <si>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</si>
  <si>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</si>
  <si>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</si>
  <si>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</si>
  <si>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</si>
  <si>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</si>
  <si>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</si>
  <si>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</si>
  <si>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</si>
  <si>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</si>
  <si>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</si>
  <si>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</si>
  <si>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</si>
  <si>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</si>
  <si>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</si>
  <si>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</si>
  <si>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</si>
  <si>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</si>
  <si>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</si>
  <si>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</si>
  <si>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</si>
  <si>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</si>
  <si>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</si>
  <si>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</si>
  <si>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</si>
  <si>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</si>
  <si>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</si>
  <si>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</si>
  <si>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</si>
  <si>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</si>
  <si>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</si>
  <si>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</si>
  <si>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</si>
  <si>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</si>
  <si>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</si>
  <si>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</si>
  <si>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</si>
  <si>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</si>
  <si>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</si>
  <si>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</si>
  <si>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</si>
  <si>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</si>
  <si>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</si>
  <si>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</si>
  <si>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</si>
  <si>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</si>
  <si>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</si>
  <si>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</si>
  <si>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</si>
  <si>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</si>
  <si>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</si>
  <si>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</si>
  <si>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</si>
  <si>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</si>
  <si>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</si>
  <si>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</si>
  <si>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</si>
  <si>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</si>
  <si>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</si>
  <si>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</si>
  <si>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</si>
  <si>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</si>
  <si>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</si>
  <si>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</si>
  <si>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</si>
  <si>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</si>
  <si>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</si>
  <si>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</si>
  <si>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</si>
  <si>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</si>
  <si>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</si>
  <si>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</si>
  <si>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</si>
  <si>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</si>
  <si>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</si>
  <si>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</si>
  <si>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</si>
  <si>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</si>
  <si>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</si>
  <si>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</si>
  <si>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</si>
  <si>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</si>
  <si>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</si>
  <si>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</si>
  <si>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</si>
  <si>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</si>
  <si>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</si>
  <si>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</si>
  <si>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</si>
  <si>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</si>
  <si>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</si>
  <si>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</si>
  <si>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</si>
  <si>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</si>
  <si>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</si>
  <si>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</si>
  <si>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</si>
  <si>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</si>
  <si>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</si>
  <si>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</si>
  <si>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</si>
  <si>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</si>
  <si>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</si>
  <si>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</si>
  <si>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</si>
  <si>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</si>
  <si>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</si>
  <si>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</si>
  <si>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</si>
  <si>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</si>
  <si>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</si>
  <si>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</si>
  <si>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</si>
  <si>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</si>
  <si>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</si>
  <si>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</si>
  <si>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</si>
  <si>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</si>
  <si>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</si>
  <si>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</si>
  <si>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</si>
  <si>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</si>
  <si>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</si>
  <si>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</si>
  <si>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</si>
  <si>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</si>
  <si>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</si>
  <si>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</si>
  <si>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</si>
  <si>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</si>
  <si>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</si>
  <si>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</si>
  <si>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</si>
  <si>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</si>
  <si>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</si>
  <si>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</si>
  <si>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</si>
  <si>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</si>
  <si>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</si>
  <si>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</si>
  <si>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</si>
  <si>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</si>
  <si>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</si>
  <si>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</si>
  <si>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</si>
  <si>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</si>
  <si>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</si>
  <si>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</si>
  <si>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</si>
  <si>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</si>
  <si>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</si>
  <si>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</si>
  <si>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</si>
  <si>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</si>
  <si>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</si>
  <si>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</si>
  <si>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</si>
  <si>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</si>
  <si>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</si>
  <si>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</si>
  <si>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</si>
  <si>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</si>
  <si>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</si>
  <si>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</si>
  <si>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</si>
  <si>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</si>
  <si>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</si>
  <si>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</si>
  <si>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</si>
  <si>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</si>
  <si>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</si>
  <si>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</si>
  <si>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</si>
  <si>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</si>
  <si>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</si>
  <si>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</si>
  <si>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</si>
  <si>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</si>
  <si>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</si>
  <si>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</si>
  <si>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</si>
  <si>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</si>
  <si>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</si>
  <si>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</si>
  <si>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</si>
  <si>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</si>
  <si>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</si>
  <si>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</si>
  <si>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</si>
  <si>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</si>
  <si>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</si>
  <si>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</si>
  <si>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</si>
  <si>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</si>
  <si>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</si>
  <si>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</si>
  <si>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</si>
  <si>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</si>
  <si>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</si>
  <si>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</si>
  <si>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</si>
  <si>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</si>
  <si>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</si>
  <si>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</si>
  <si>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</si>
  <si>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</si>
  <si>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</si>
  <si>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</si>
  <si>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</si>
  <si>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</si>
  <si>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</si>
  <si>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</si>
  <si>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</si>
  <si>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</si>
  <si>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</si>
  <si>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</si>
  <si>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</si>
  <si>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</si>
  <si>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</si>
  <si>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</si>
  <si>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</si>
  <si>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</si>
  <si>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</si>
  <si>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</si>
  <si>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</si>
  <si>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</si>
  <si>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</si>
  <si>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</si>
  <si>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</si>
  <si>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</si>
  <si>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</si>
  <si>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</si>
  <si>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</si>
  <si>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</si>
  <si>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</si>
  <si>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</si>
  <si>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</si>
  <si>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</si>
  <si>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</si>
  <si>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</si>
  <si>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</si>
  <si>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</si>
  <si>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</si>
  <si>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</si>
  <si>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</si>
  <si>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</si>
  <si>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</si>
  <si>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</si>
  <si>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</si>
  <si>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</si>
  <si>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</si>
  <si>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</si>
  <si>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</si>
  <si>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</si>
  <si>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</si>
  <si>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</si>
  <si>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</si>
  <si>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</si>
  <si>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</si>
  <si>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</si>
  <si>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</si>
  <si>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</si>
  <si>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</si>
  <si>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</si>
  <si>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</si>
  <si>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</si>
  <si>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</si>
  <si>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</si>
  <si>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</si>
  <si>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</si>
  <si>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</si>
  <si>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</si>
  <si>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</si>
  <si>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</si>
  <si>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</si>
  <si>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</si>
  <si>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</si>
  <si>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</si>
  <si>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</si>
  <si>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</si>
  <si>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</si>
  <si>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</si>
  <si>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</si>
  <si>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</si>
  <si>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</si>
  <si>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</si>
  <si>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</si>
  <si>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</si>
  <si>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</si>
  <si>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</si>
  <si>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</si>
  <si>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</si>
  <si>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</si>
  <si>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</si>
  <si>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</si>
  <si>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</si>
  <si>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</si>
  <si>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</si>
  <si>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</si>
  <si>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</si>
  <si>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</si>
  <si>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</si>
  <si>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</si>
  <si>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</si>
  <si>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</si>
  <si>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</si>
  <si>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</si>
  <si>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</si>
  <si>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</si>
  <si>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</si>
  <si>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</si>
  <si>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</si>
  <si>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</si>
  <si>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</si>
  <si>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</si>
  <si>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</si>
  <si>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</si>
  <si>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</si>
  <si>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</si>
  <si>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</si>
  <si>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</si>
  <si>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</si>
  <si>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</si>
  <si>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</si>
  <si>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</si>
  <si>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</si>
  <si>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</si>
  <si>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</si>
  <si>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</si>
  <si>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</si>
  <si>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</si>
  <si>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</si>
  <si>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</si>
  <si>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</si>
  <si>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</si>
  <si>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</si>
  <si>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</si>
  <si>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</si>
  <si>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</si>
  <si>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</si>
  <si>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</si>
  <si>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</si>
  <si>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</si>
  <si>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</si>
  <si>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</si>
  <si>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</si>
  <si>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</si>
  <si>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</si>
  <si>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</si>
  <si>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</si>
  <si>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</si>
  <si>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</si>
  <si>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</si>
  <si>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</si>
  <si>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</si>
  <si>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</si>
  <si>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</si>
  <si>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</si>
  <si>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</si>
  <si>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</si>
  <si>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</si>
  <si>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</si>
  <si>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</si>
  <si>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</si>
  <si>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</si>
  <si>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</si>
  <si>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</si>
  <si>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</si>
  <si>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</si>
  <si>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</si>
  <si>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</si>
  <si>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</si>
  <si>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</si>
  <si>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</si>
  <si>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</si>
  <si>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</si>
  <si>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</si>
  <si>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</si>
  <si>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</si>
  <si>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</si>
  <si>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</si>
  <si>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</si>
  <si>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</si>
  <si>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</si>
  <si>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</si>
  <si>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</si>
  <si>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</si>
  <si>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</si>
  <si>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</si>
  <si>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</si>
  <si>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</si>
  <si>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</si>
  <si>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</si>
  <si>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</si>
  <si>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</si>
  <si>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</si>
  <si>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</si>
  <si>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</si>
  <si>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</si>
  <si>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</si>
  <si>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</si>
  <si>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</si>
  <si>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</si>
  <si>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</si>
  <si>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</si>
  <si>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</si>
  <si>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</si>
  <si>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</si>
  <si>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</si>
  <si>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</si>
  <si>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</si>
  <si>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</si>
  <si>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</si>
  <si>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</si>
  <si>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</si>
  <si>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</si>
  <si>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</si>
  <si>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</si>
  <si>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</si>
  <si>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</si>
  <si>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</si>
  <si>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</si>
  <si>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</si>
  <si>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</si>
  <si>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</si>
  <si>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</si>
  <si>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</si>
  <si>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</si>
  <si>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</si>
  <si>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</si>
  <si>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</si>
  <si>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</si>
  <si>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</si>
  <si>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</si>
  <si>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</si>
  <si>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</si>
  <si>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</si>
  <si>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</si>
  <si>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</si>
  <si>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</si>
  <si>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</si>
  <si>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</si>
  <si>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</si>
  <si>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</si>
  <si>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</si>
  <si>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</si>
  <si>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</si>
  <si>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</si>
  <si>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</si>
  <si>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</si>
  <si>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</si>
  <si>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</si>
  <si>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</si>
  <si>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</si>
  <si>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</si>
  <si>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</si>
  <si>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</si>
  <si>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</si>
  <si>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</si>
  <si>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</si>
  <si>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</si>
  <si>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</si>
  <si>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</si>
  <si>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</si>
  <si>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</si>
  <si>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</si>
  <si>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</si>
  <si>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</si>
  <si>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</si>
  <si>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</si>
  <si>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</si>
  <si>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</si>
  <si>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</si>
  <si>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</si>
  <si>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</si>
  <si>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</si>
  <si>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</si>
  <si>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</si>
  <si>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</si>
  <si>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</si>
  <si>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</si>
  <si>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</si>
  <si>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</si>
  <si>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</si>
  <si>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</si>
  <si>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</si>
  <si>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</si>
  <si>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</si>
  <si>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</si>
  <si>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</si>
  <si>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</si>
  <si>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</si>
  <si>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</si>
  <si>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</si>
  <si>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</si>
  <si>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</si>
  <si>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</si>
  <si>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</si>
  <si>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</si>
  <si>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</si>
  <si>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</si>
  <si>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</si>
  <si>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</si>
  <si>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</si>
  <si>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</si>
  <si>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</si>
  <si>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</si>
  <si>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</si>
  <si>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</si>
  <si>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</si>
  <si>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</si>
  <si>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</si>
  <si>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</si>
  <si>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</si>
  <si>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</si>
  <si>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</si>
  <si>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</si>
  <si>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</si>
  <si>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</si>
  <si>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</si>
  <si>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</si>
  <si>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</si>
  <si>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</si>
  <si>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</si>
  <si>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</si>
  <si>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</si>
  <si>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</si>
  <si>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</si>
  <si>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</si>
  <si>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</si>
  <si>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</si>
  <si>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</si>
  <si>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</si>
  <si>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</si>
  <si>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</si>
  <si>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</si>
  <si>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</si>
  <si>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</si>
  <si>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</si>
  <si>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</si>
  <si>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</si>
  <si>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</si>
  <si>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</si>
  <si>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</si>
  <si>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</si>
  <si>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</si>
  <si>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</si>
  <si>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</si>
  <si>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</si>
  <si>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</si>
  <si>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</si>
  <si>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</si>
  <si>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</si>
  <si>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</si>
  <si>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</si>
  <si>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</si>
  <si>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</si>
  <si>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</si>
  <si>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</si>
  <si>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</si>
  <si>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</si>
  <si>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</si>
  <si>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</si>
  <si>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</si>
  <si>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</si>
  <si>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</si>
  <si>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</si>
  <si>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</si>
  <si>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</si>
  <si>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</si>
  <si>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</si>
  <si>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</si>
  <si>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</si>
  <si>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</si>
  <si>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</si>
  <si>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</si>
  <si>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</si>
  <si>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</si>
  <si>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</si>
  <si>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</si>
  <si>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</si>
  <si>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</si>
  <si>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</si>
  <si>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</si>
  <si>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</si>
  <si>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</si>
  <si>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</si>
  <si>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</si>
  <si>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</si>
  <si>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</si>
  <si>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</si>
  <si>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</si>
  <si>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</si>
  <si>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</si>
  <si>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</si>
  <si>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</si>
  <si>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</si>
  <si>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</si>
  <si>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</si>
  <si>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</si>
  <si>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</si>
  <si>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</si>
  <si>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</si>
  <si>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</si>
  <si>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</si>
  <si>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</si>
  <si>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</si>
  <si>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</si>
  <si>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</si>
  <si>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</si>
  <si>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</si>
  <si>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</si>
  <si>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</si>
  <si>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</si>
  <si>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</si>
  <si>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</si>
  <si>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</si>
  <si>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</si>
  <si>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</si>
  <si>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</si>
  <si>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</si>
  <si>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</si>
  <si>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</si>
  <si>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</si>
  <si>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</si>
  <si>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</si>
  <si>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</si>
  <si>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</si>
  <si>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</si>
  <si>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</si>
  <si>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</si>
  <si>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</si>
  <si>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</si>
  <si>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</si>
  <si>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</si>
  <si>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</si>
  <si>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</si>
  <si>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</si>
  <si>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</si>
  <si>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</si>
  <si>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</si>
  <si>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</si>
  <si>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</si>
  <si>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</si>
  <si>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</si>
  <si>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</si>
  <si>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</si>
  <si>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</si>
  <si>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</si>
  <si>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</si>
  <si>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</si>
  <si>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</si>
  <si>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</si>
  <si>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</si>
  <si>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</si>
  <si>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</si>
  <si>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</si>
  <si>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</si>
  <si>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</si>
  <si>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</si>
  <si>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</si>
  <si>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</si>
  <si>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</si>
  <si>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</si>
  <si>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</si>
  <si>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</si>
  <si>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</si>
  <si>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</si>
  <si>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</si>
  <si>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</si>
  <si>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</si>
  <si>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</si>
  <si>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</si>
  <si>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</si>
  <si>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</si>
  <si>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</si>
  <si>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</si>
  <si>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</si>
  <si>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</si>
  <si>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</si>
  <si>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</si>
  <si>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</si>
  <si>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</si>
  <si>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</si>
  <si>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</si>
  <si>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</si>
  <si>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</si>
  <si>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</si>
  <si>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</si>
  <si>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</si>
  <si>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</si>
  <si>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</si>
  <si>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</si>
  <si>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</si>
  <si>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</si>
  <si>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</si>
  <si>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</si>
  <si>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</si>
  <si>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</si>
  <si>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</si>
  <si>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</si>
  <si>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</si>
  <si>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</si>
  <si>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</si>
  <si>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</si>
  <si>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</si>
  <si>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</si>
  <si>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</si>
  <si>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</si>
  <si>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</si>
  <si>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</si>
  <si>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</si>
  <si>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</si>
  <si>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</si>
  <si>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</si>
  <si>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</si>
  <si>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</si>
  <si>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</si>
  <si>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</si>
  <si>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</si>
  <si>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</si>
  <si>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</si>
  <si>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</si>
  <si>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</si>
  <si>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</si>
  <si>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</si>
  <si>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</si>
  <si>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</si>
  <si>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</si>
  <si>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</si>
  <si>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</si>
  <si>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</si>
  <si>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</si>
  <si>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</si>
  <si>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</si>
  <si>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</si>
  <si>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</si>
  <si>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</si>
  <si>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</si>
  <si>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</si>
  <si>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</si>
  <si>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</si>
  <si>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</si>
  <si>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</si>
  <si>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</si>
  <si>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</si>
  <si>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</si>
  <si>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</si>
  <si>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</si>
  <si>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</si>
  <si>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</si>
  <si>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</si>
  <si>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</si>
  <si>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</si>
  <si>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</si>
  <si>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</si>
  <si>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</si>
  <si>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</si>
  <si>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</si>
  <si>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</si>
  <si>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</si>
  <si>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</si>
  <si>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</si>
  <si>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</si>
  <si>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</si>
  <si>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</si>
  <si>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</si>
  <si>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</si>
  <si>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</si>
  <si>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</si>
  <si>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</si>
  <si>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</si>
  <si>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</si>
  <si>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</si>
  <si>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</si>
  <si>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</si>
  <si>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</si>
  <si>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</si>
  <si>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</si>
  <si>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</si>
  <si>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</si>
  <si>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</si>
  <si>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</si>
  <si>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</si>
  <si>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</si>
  <si>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</si>
  <si>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</si>
  <si>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</si>
  <si>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</si>
  <si>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</si>
  <si>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</si>
  <si>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</si>
  <si>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</si>
  <si>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</si>
  <si>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</si>
  <si>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</si>
  <si>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</si>
  <si>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</si>
  <si>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</si>
  <si>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</si>
  <si>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</si>
  <si>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</si>
  <si>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</si>
  <si>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</si>
  <si>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</si>
  <si>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</si>
  <si>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</si>
  <si>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</si>
  <si>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</si>
  <si>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</si>
  <si>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</si>
  <si>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</si>
  <si>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</si>
  <si>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</si>
  <si>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</si>
  <si>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</si>
  <si>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</si>
  <si>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</si>
  <si>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</si>
  <si>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</si>
  <si>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</si>
  <si>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</si>
  <si>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</si>
  <si>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</si>
  <si>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</si>
  <si>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</si>
  <si>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</si>
  <si>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</si>
  <si>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</si>
  <si>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</si>
  <si>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</si>
  <si>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</si>
  <si>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</si>
  <si>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</si>
  <si>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</si>
  <si>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</si>
  <si>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</si>
  <si>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</si>
  <si>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</si>
  <si>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</si>
  <si>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</si>
  <si>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</si>
  <si>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</si>
  <si>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</si>
  <si>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</si>
  <si>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</si>
  <si>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</si>
  <si>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</si>
  <si>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</si>
  <si>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</si>
  <si>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</si>
  <si>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</si>
  <si>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</si>
  <si>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</si>
  <si>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</si>
  <si>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</si>
  <si>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</si>
  <si>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</si>
  <si>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</si>
  <si>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</si>
  <si>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</si>
  <si>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</si>
  <si>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</si>
  <si>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</si>
  <si>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</si>
  <si>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</si>
  <si>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</si>
  <si>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</si>
  <si>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</si>
  <si>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</si>
  <si>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</si>
  <si>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</si>
  <si>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</si>
  <si>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</si>
  <si>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</si>
  <si>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</si>
  <si>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</si>
  <si>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</si>
  <si>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</si>
  <si>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</si>
  <si>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</si>
  <si>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</si>
  <si>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</si>
  <si>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</si>
  <si>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</si>
  <si>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</si>
  <si>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</si>
  <si>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</si>
  <si>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</si>
  <si>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</si>
  <si>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</si>
  <si>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</si>
  <si>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</si>
  <si>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</si>
  <si>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</si>
  <si>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</si>
  <si>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</si>
  <si>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</si>
  <si>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</si>
  <si>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</si>
  <si>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</si>
  <si>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</si>
  <si>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</si>
  <si>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</si>
  <si>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</si>
  <si>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</si>
  <si>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</si>
  <si>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</si>
  <si>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</si>
  <si>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</si>
  <si>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</si>
  <si>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</si>
  <si>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</si>
  <si>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</si>
  <si>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</si>
  <si>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</si>
  <si>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</si>
  <si>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</si>
  <si>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</si>
  <si>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</si>
  <si>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</si>
  <si>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</si>
  <si>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</si>
  <si>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</si>
  <si>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</si>
  <si>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</si>
  <si>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</si>
  <si>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</si>
  <si>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</si>
  <si>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</si>
  <si>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</si>
  <si>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</si>
  <si>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</si>
  <si>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</si>
  <si>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</si>
  <si>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</si>
  <si>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</si>
  <si>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</si>
  <si>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</si>
  <si>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</si>
  <si>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</si>
  <si>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</si>
  <si>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</si>
  <si>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</si>
  <si>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</si>
  <si>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</si>
  <si>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</si>
  <si>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</si>
  <si>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</si>
  <si>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</si>
  <si>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</si>
  <si>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</si>
  <si>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</si>
  <si>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</si>
  <si>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</si>
  <si>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</si>
  <si>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</si>
  <si>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</si>
  <si>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</si>
  <si>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</si>
  <si>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</si>
  <si>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</si>
  <si>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</si>
  <si>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</si>
  <si>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</si>
  <si>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</si>
  <si>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</si>
  <si>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</si>
  <si>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</si>
  <si>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</si>
  <si>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</si>
  <si>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</si>
  <si>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</si>
  <si>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</si>
  <si>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</si>
  <si>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</si>
  <si>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</si>
  <si>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</si>
  <si>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</si>
  <si>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</si>
  <si>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</si>
  <si>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</si>
  <si>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</si>
  <si>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</si>
  <si>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</si>
  <si>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</si>
  <si>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</si>
  <si>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</si>
  <si>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</si>
  <si>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</si>
  <si>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</si>
  <si>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</si>
  <si>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</si>
  <si>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</si>
  <si>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</si>
  <si>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</si>
  <si>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</si>
  <si>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</si>
  <si>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</si>
  <si>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</si>
  <si>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</si>
  <si>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</si>
  <si>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</si>
  <si>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</si>
  <si>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</si>
  <si>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</si>
  <si>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</si>
  <si>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</si>
  <si>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</si>
  <si>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</si>
  <si>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</si>
  <si>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</si>
  <si>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</si>
  <si>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</si>
  <si>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</si>
  <si>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</si>
  <si>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</si>
  <si>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</si>
  <si>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</si>
  <si>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</si>
  <si>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</si>
  <si>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</si>
  <si>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</si>
  <si>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</si>
  <si>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</si>
  <si>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</si>
  <si>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</si>
  <si>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</si>
  <si>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</si>
  <si>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</si>
  <si>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</si>
  <si>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</si>
  <si>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</si>
  <si>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</si>
  <si>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</si>
  <si>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</si>
  <si>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</si>
  <si>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</si>
  <si>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</si>
  <si>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</si>
  <si>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</si>
  <si>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</si>
  <si>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</si>
  <si>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</si>
  <si>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</si>
  <si>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</si>
  <si>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</si>
  <si>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</si>
  <si>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</si>
  <si>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</si>
  <si>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</si>
  <si>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</si>
  <si>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</si>
  <si>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</si>
  <si>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</si>
  <si>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</si>
  <si>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</si>
  <si>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</si>
  <si>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</si>
  <si>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</si>
  <si>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</si>
  <si>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</si>
  <si>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</si>
  <si>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</si>
  <si>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</si>
  <si>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</si>
  <si>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</si>
  <si>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</si>
  <si>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</si>
  <si>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</si>
  <si>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</si>
  <si>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</si>
  <si>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</si>
  <si>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</si>
  <si>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</si>
  <si>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</si>
  <si>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</si>
  <si>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</si>
  <si>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</si>
  <si>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</si>
  <si>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</si>
  <si>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</si>
  <si>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</si>
  <si>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</si>
  <si>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</si>
  <si>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</si>
  <si>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</si>
  <si>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</si>
  <si>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</si>
  <si>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</si>
  <si>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</si>
  <si>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</si>
  <si>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</si>
  <si>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</si>
  <si>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</si>
  <si>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</si>
  <si>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</si>
  <si>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</si>
  <si>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</si>
  <si>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</si>
  <si>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</si>
  <si>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</si>
  <si>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</si>
  <si>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</si>
  <si>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</si>
  <si>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</si>
  <si>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</si>
  <si>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</si>
  <si>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</si>
  <si>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</si>
  <si>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</si>
  <si>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</si>
  <si>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</si>
  <si>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</si>
  <si>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</si>
  <si>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</si>
  <si>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</si>
  <si>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</si>
  <si>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</si>
  <si>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</si>
  <si>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</si>
  <si>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</si>
  <si>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</si>
  <si>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</si>
  <si>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</si>
  <si>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</si>
  <si>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</si>
  <si>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</si>
  <si>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</si>
  <si>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</si>
  <si>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</si>
  <si>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</si>
  <si>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</si>
  <si>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</si>
  <si>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</si>
  <si>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</si>
  <si>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</si>
  <si>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</si>
  <si>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</si>
  <si>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</si>
  <si>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</si>
  <si>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</si>
  <si>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</si>
  <si>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</si>
  <si>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</si>
  <si>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</si>
  <si>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</si>
  <si>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</si>
  <si>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</si>
  <si>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</si>
  <si>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</si>
  <si>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</si>
  <si>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</si>
  <si>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</si>
  <si>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</si>
  <si>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</si>
  <si>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</si>
  <si>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</si>
  <si>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</si>
  <si>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</si>
  <si>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</si>
  <si>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</si>
  <si>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</si>
  <si>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</si>
  <si>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</si>
  <si>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</si>
  <si>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</si>
  <si>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</si>
  <si>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</si>
  <si>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</si>
  <si>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</si>
  <si>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</si>
  <si>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</si>
  <si>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</si>
  <si>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</si>
  <si>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</si>
  <si>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</si>
  <si>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</si>
  <si>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</si>
  <si>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</si>
  <si>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</si>
  <si>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</si>
  <si>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</si>
  <si>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</si>
  <si>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</si>
  <si>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</si>
  <si>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</si>
  <si>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</si>
  <si>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</si>
  <si>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</si>
  <si>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</si>
  <si>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</si>
  <si>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</si>
  <si>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</si>
  <si>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</si>
  <si>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</si>
  <si>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</si>
  <si>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</si>
  <si>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</si>
  <si>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</si>
  <si>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</si>
  <si>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</si>
  <si>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</si>
  <si>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</si>
  <si>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</si>
  <si>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</si>
  <si>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</si>
  <si>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</si>
  <si>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</si>
  <si>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</si>
  <si>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</si>
  <si>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</si>
  <si>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</si>
  <si>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</si>
  <si>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</si>
  <si>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</si>
  <si>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</si>
  <si>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</si>
  <si>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</si>
  <si>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</si>
  <si>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</si>
  <si>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</si>
  <si>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</si>
  <si>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</si>
  <si>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</si>
  <si>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</si>
  <si>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</si>
  <si>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</si>
  <si>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</si>
  <si>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</si>
  <si>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</si>
  <si>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</si>
  <si>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</si>
  <si>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</si>
  <si>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</si>
  <si>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</si>
  <si>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</si>
  <si>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</si>
  <si>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</si>
  <si>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</si>
  <si>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</si>
  <si>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</si>
  <si>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</si>
  <si>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</si>
  <si>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</si>
  <si>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</si>
  <si>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</si>
  <si>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</si>
  <si>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</si>
  <si>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</si>
  <si>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</si>
  <si>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</si>
  <si>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</si>
  <si>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</si>
  <si>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</si>
  <si>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</si>
  <si>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</si>
  <si>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</si>
  <si>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</si>
  <si>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</si>
  <si>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</si>
  <si>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</si>
  <si>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</si>
  <si>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</si>
  <si>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</si>
  <si>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</si>
  <si>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</si>
  <si>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</si>
  <si>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</si>
  <si>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</si>
  <si>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</si>
  <si>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</si>
  <si>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</si>
  <si>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</si>
  <si>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</si>
  <si>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</si>
  <si>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</si>
  <si>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</si>
  <si>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</si>
  <si>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</si>
  <si>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</si>
  <si>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</si>
  <si>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</si>
  <si>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</si>
  <si>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</si>
  <si>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</si>
  <si>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</si>
  <si>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</si>
  <si>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</si>
  <si>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</si>
  <si>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</si>
  <si>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</si>
  <si>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</si>
  <si>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</si>
  <si>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</si>
  <si>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</si>
  <si>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</si>
  <si>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</si>
  <si>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</si>
  <si>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</si>
  <si>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</si>
  <si>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</si>
  <si>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</si>
  <si>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</si>
  <si>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</si>
  <si>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</si>
  <si>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</si>
  <si>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</si>
  <si>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</si>
  <si>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</si>
  <si>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</si>
  <si>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</si>
  <si>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</si>
  <si>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</si>
  <si>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</si>
  <si>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</si>
  <si>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</si>
  <si>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</si>
  <si>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</si>
  <si>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</si>
  <si>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</si>
  <si>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</si>
  <si>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</si>
  <si>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</si>
  <si>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</si>
  <si>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</si>
  <si>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</si>
  <si>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</si>
  <si>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</si>
  <si>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</si>
  <si>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</si>
  <si>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</si>
  <si>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</si>
  <si>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</si>
  <si>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</si>
  <si>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</si>
  <si>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</si>
  <si>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</si>
  <si>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</si>
  <si>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</si>
  <si>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</si>
  <si>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</si>
  <si>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</si>
  <si>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</si>
  <si>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</si>
  <si>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</si>
  <si>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</si>
  <si>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</si>
  <si>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</si>
  <si>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</si>
  <si>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</si>
  <si>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</si>
  <si>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</si>
  <si>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</si>
  <si>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</si>
  <si>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</si>
  <si>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</si>
  <si>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</si>
  <si>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</si>
  <si>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</si>
  <si>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</si>
  <si>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</si>
  <si>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</si>
  <si>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</si>
  <si>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</si>
  <si>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</si>
  <si>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</si>
  <si>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</si>
  <si>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</si>
  <si>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</si>
  <si>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</si>
  <si>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</si>
  <si>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</si>
  <si>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</si>
  <si>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</si>
  <si>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</si>
  <si>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</si>
  <si>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</si>
  <si>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</si>
  <si>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</si>
  <si>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</si>
  <si>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</si>
  <si>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</si>
  <si>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</si>
  <si>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</si>
  <si>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</si>
  <si>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</si>
  <si>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</si>
  <si>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</si>
  <si>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</si>
  <si>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</si>
  <si>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</si>
  <si>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</si>
  <si>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</si>
  <si>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</si>
  <si>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</si>
  <si>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</si>
  <si>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</si>
  <si>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</si>
  <si>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</si>
  <si>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</si>
  <si>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</si>
  <si>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</si>
  <si>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</si>
  <si>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</si>
  <si>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</si>
  <si>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</si>
  <si>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</si>
  <si>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</si>
  <si>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</si>
  <si>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</si>
  <si>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</si>
  <si>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</si>
  <si>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</si>
  <si>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</si>
  <si>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住宅</t>
    <phoneticPr fontId="3" type="noConversion"/>
  </si>
  <si>
    <t>公寓</t>
  </si>
  <si>
    <t>公寓</t>
    <phoneticPr fontId="3" type="noConversion"/>
  </si>
  <si>
    <t>地上</t>
  </si>
  <si>
    <t>平层住宅</t>
  </si>
  <si>
    <t>底商</t>
  </si>
  <si>
    <t>是</t>
    <phoneticPr fontId="3" type="noConversion"/>
  </si>
  <si>
    <t>地下</t>
  </si>
  <si>
    <t>车库</t>
  </si>
  <si>
    <t>土地（套用方法）</t>
  </si>
  <si>
    <t>自定义</t>
  </si>
  <si>
    <t>钢混</t>
  </si>
  <si>
    <t>按租金收入计税</t>
  </si>
  <si>
    <t>不动产收益法-商业</t>
  </si>
  <si>
    <t>不动产收益法-车库</t>
  </si>
  <si>
    <t>楼面地价</t>
  </si>
  <si>
    <t>比较法-住宅、综合</t>
  </si>
  <si>
    <t>剩余法-待开发</t>
  </si>
  <si>
    <t>商业</t>
    <phoneticPr fontId="3" type="noConversion"/>
  </si>
  <si>
    <t>地下车库</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</si>
  <si>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</si>
  <si>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</si>
  <si>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</si>
  <si>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</si>
  <si>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</si>
  <si>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</si>
  <si>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</si>
  <si>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</si>
  <si>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</si>
  <si>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</si>
  <si>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</si>
  <si>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</si>
  <si>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</si>
  <si>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寺门首路南侧、柳州路东侧</t>
  </si>
  <si>
    <t>青岛市</t>
  </si>
  <si>
    <t>住宅用地</t>
  </si>
  <si>
    <t>＞1且≤2.8</t>
  </si>
  <si>
    <t>拍卖</t>
  </si>
  <si>
    <t>2020-04-23</t>
  </si>
  <si>
    <t>青岛龙泽嘉悦置业有限公司</t>
  </si>
  <si>
    <t>4星</t>
  </si>
  <si>
    <t>寺门首路南侧、亳州路西侧</t>
  </si>
  <si>
    <t>寺门首路南侧、亳州路东侧</t>
  </si>
  <si>
    <t>李哥庄镇沽河大街东侧、南四路北侧</t>
  </si>
  <si>
    <t>＞1且≤2.0</t>
  </si>
  <si>
    <t>2020-04-21</t>
  </si>
  <si>
    <t>青岛昱苑房地产开发有限公司</t>
  </si>
  <si>
    <t>2星</t>
  </si>
  <si>
    <t>李哥庄镇东三路东侧、北八路北侧</t>
  </si>
  <si>
    <t>＞1且≤2.5</t>
  </si>
  <si>
    <t>2020-03-26</t>
  </si>
  <si>
    <t>青岛胶州胶东和平投资发展有限公司</t>
  </si>
  <si>
    <t>3星</t>
  </si>
  <si>
    <t>九龙街道办事处规划街坊路一南侧、规划支路十二东侧</t>
  </si>
  <si>
    <t>＞1.0且≤1.8</t>
  </si>
  <si>
    <t>2020-03-16</t>
  </si>
  <si>
    <t>青岛恒禄旅游开发有限公司</t>
  </si>
  <si>
    <t>九龙街道办事处规划支路十二东侧、街坊路九北侧</t>
  </si>
  <si>
    <t>＞1且≤2.4</t>
  </si>
  <si>
    <t>2020-01-16</t>
  </si>
  <si>
    <t>青岛中晟国恒房地产开发有限公司</t>
  </si>
  <si>
    <t>扬州路南侧、常州路东侧</t>
  </si>
  <si>
    <t>＞1且≤2.9</t>
  </si>
  <si>
    <t>2019-12-31</t>
  </si>
  <si>
    <t>青岛花样年瑞公馆房地产开发有限公司</t>
  </si>
  <si>
    <t>青连铁路南侧、物流大道西侧</t>
  </si>
  <si>
    <t>2019-12-12</t>
  </si>
  <si>
    <t>青岛传化盛世资产管理有限公司</t>
  </si>
  <si>
    <t>青连铁路南侧、规划街坊路北侧</t>
  </si>
  <si>
    <t>＞1且≤2.2</t>
  </si>
  <si>
    <t>泉州路东侧、五里堆路南侧</t>
  </si>
  <si>
    <t>＞1且≤1.8</t>
  </si>
  <si>
    <t>2019-11-26</t>
  </si>
  <si>
    <t>青岛保润置业有限公司</t>
  </si>
  <si>
    <t>儒林街南侧、亳州路东侧</t>
  </si>
  <si>
    <t>住宅＞1且≤2.7,服务设施≤0.9</t>
  </si>
  <si>
    <t>青岛金泰亿源置业有限公司</t>
  </si>
  <si>
    <t>青州路南侧、柳州路东侧</t>
  </si>
  <si>
    <t>青岛广林置业有限公司</t>
  </si>
  <si>
    <t>青州路南侧、亳州路东侧</t>
  </si>
  <si>
    <t>青岛天一天众房地产开发有限公司</t>
  </si>
  <si>
    <t>平成南路南侧、规划路北侧</t>
  </si>
  <si>
    <t>≤1.8、(＞1)</t>
  </si>
  <si>
    <t>2019-10-18</t>
  </si>
  <si>
    <t>青岛御翔置业有限公司</t>
  </si>
  <si>
    <t>尚德大道西侧、湘江路北侧</t>
  </si>
  <si>
    <t>≤1.5、(＞1)</t>
  </si>
  <si>
    <t>青岛龙泰舜泽置业有限公司,山东盈拓之恒新能源有限公司</t>
  </si>
  <si>
    <t>≤2.4、(＞1)</t>
  </si>
  <si>
    <t>常州路东侧、上海路北侧</t>
  </si>
  <si>
    <t>2019-09-30</t>
  </si>
  <si>
    <t>青岛万州联合置业有限公司</t>
  </si>
  <si>
    <t>科技大道东侧、湘江支路南侧</t>
  </si>
  <si>
    <t>2019-09-19</t>
  </si>
  <si>
    <t>青岛冠宇生态农业有限公司,青岛宝冠置业有限公司</t>
  </si>
  <si>
    <t>亳州路西侧、泸州路北侧</t>
  </si>
  <si>
    <t>北京润置商业运营管理有限公司,青岛胶州城市发展投资有限公司,超智资源有限公司,国合集团投资有限公司</t>
  </si>
  <si>
    <t>泰州路西侧、泸州路北侧</t>
  </si>
  <si>
    <t>香江路南侧、王庸路东侧</t>
  </si>
  <si>
    <t>≤2.2(＞1.0)</t>
  </si>
  <si>
    <t>2019-08-29</t>
  </si>
  <si>
    <t>青岛胶创置业有限公司</t>
  </si>
  <si>
    <t>胶州西路北侧、杭州路东侧</t>
  </si>
  <si>
    <t>≤2.6(＞1.0)</t>
  </si>
  <si>
    <t>青岛恒美置业有限公司</t>
  </si>
  <si>
    <t>青州路南侧、规划一号路西侧</t>
  </si>
  <si>
    <t>≤2.3(＞1.0)</t>
  </si>
  <si>
    <t>双岭路东侧、青年路北侧</t>
  </si>
  <si>
    <t>＞1且≤1.6</t>
  </si>
  <si>
    <t>2019-07-08</t>
  </si>
  <si>
    <t>青岛银盛泰博观锦岸房地产有限公司</t>
  </si>
  <si>
    <t>胶黄铁路东侧、北京路北侧</t>
  </si>
  <si>
    <t>＞1且≤3</t>
  </si>
  <si>
    <t>2019-06-27</t>
  </si>
  <si>
    <t>青岛中保航置业有限公司</t>
  </si>
  <si>
    <t>南坦大街西侧、规划二号路东侧</t>
  </si>
  <si>
    <t>2019-05-08</t>
  </si>
  <si>
    <t>青岛盛汇置业有限公司</t>
  </si>
  <si>
    <t>北王家庄村东侧、规划二号北侧</t>
  </si>
  <si>
    <t>2019-04-18</t>
  </si>
  <si>
    <t>兰州路南侧、规划一号路东侧</t>
  </si>
  <si>
    <t>＞1.0且≤2.0</t>
  </si>
  <si>
    <t>2019-04-01</t>
  </si>
  <si>
    <t>青岛仁里置业有限公司</t>
  </si>
  <si>
    <t>富民路西侧、规划五路南侧</t>
  </si>
  <si>
    <t>2019-03-01</t>
  </si>
  <si>
    <t>青岛莱丰置业有限公司</t>
  </si>
  <si>
    <t>纬三十四路北侧、胶平路东侧</t>
  </si>
  <si>
    <t>2019-02-18</t>
  </si>
  <si>
    <t>青岛兴荣置业有限公司</t>
  </si>
  <si>
    <t>纬三十四路北侧、经九路东侧</t>
  </si>
  <si>
    <t>青岛天聚置业有限公司</t>
  </si>
  <si>
    <t>洋河路东侧、云汉路南侧</t>
  </si>
  <si>
    <t>青岛市胶州新城建设发展有限公司</t>
  </si>
  <si>
    <t>胶州西路南侧、规划中宋路西侧</t>
  </si>
  <si>
    <t>青岛紫地雅邦置业有限公司,青岛天泰房地产开发股份有限公司</t>
  </si>
  <si>
    <t>兰州路南侧、太湖路东侧</t>
  </si>
  <si>
    <t>＞1且≤2</t>
  </si>
  <si>
    <t>青岛世茂正北浩远投资管理有限公司</t>
  </si>
  <si>
    <t>胶州市北八路北侧、西八路西侧</t>
  </si>
  <si>
    <t>2018-12-25</t>
  </si>
  <si>
    <t>青岛金泰恒产置业有限公司</t>
  </si>
  <si>
    <t>胶州市亳州路东侧、香港路北侧</t>
  </si>
  <si>
    <t>青岛枫韵福置业有限公司</t>
  </si>
  <si>
    <t>胶州西路南侧、规划中宋路东侧</t>
  </si>
  <si>
    <t>青岛天泰印象置业有限公司</t>
  </si>
  <si>
    <t>胶州市李孟路东侧、石河南路北侧</t>
  </si>
  <si>
    <t>我家地产(胶州)有限公司</t>
  </si>
  <si>
    <t>胶州市株洲路东侧、青州东路北侧</t>
  </si>
  <si>
    <t>＞1.8且≤2.0</t>
  </si>
  <si>
    <t>胶州市双岭西侧、科教路北侧</t>
  </si>
  <si>
    <t>青岛鸿锦卓越置业有限公司</t>
  </si>
  <si>
    <t>胶州市温州路东侧、青年路南侧</t>
  </si>
  <si>
    <t>＞1且≤1.7</t>
  </si>
  <si>
    <t>青岛恒翔永基置业有限公司</t>
  </si>
  <si>
    <t>胶州市柳州路西侧、寺门首路南侧</t>
  </si>
  <si>
    <t>胶州市恒源城建投资中心,青岛中琪远创置业有限公司</t>
  </si>
  <si>
    <t>胶州市柳州路以西、规划泸州路北侧</t>
  </si>
  <si>
    <t>青岛澳恒置业有限公司</t>
  </si>
  <si>
    <t>胶州市德州路南侧、农药厂西侧</t>
  </si>
  <si>
    <t>青岛绿都置业有限公司</t>
  </si>
  <si>
    <t>胶州市禹州路南侧、规划一号路东侧</t>
  </si>
  <si>
    <t>2018-10-11</t>
  </si>
  <si>
    <t>青岛绿阳投资置业有限公司</t>
  </si>
  <si>
    <t>胶州市青岛路南侧、杭州路东侧</t>
  </si>
  <si>
    <t>＞1且≤3.8</t>
  </si>
  <si>
    <t>青岛亿阳置业有限公司</t>
  </si>
  <si>
    <t>胶州市物流大道西侧、规划街坊路东侧</t>
  </si>
  <si>
    <t>＞1且≤2.3</t>
  </si>
  <si>
    <t>青岛传化投资有限公司</t>
  </si>
  <si>
    <t>胶州市兰州路南侧、金昌路东侧</t>
  </si>
  <si>
    <t>青岛南信城投管理咨询有限公司,腾睿地产投资I有限公司(PAAMRealEstateInvestmentIPteLtd)</t>
  </si>
  <si>
    <t>胶州市滦河路北侧、规划街坊路西侧</t>
  </si>
  <si>
    <t>胶州市禹州路南侧、规划一号路西侧</t>
  </si>
  <si>
    <t>青岛晟之源置业有限公司</t>
  </si>
  <si>
    <t>胶州市李哥庄镇联谊大街北侧、西八路西侧</t>
  </si>
  <si>
    <t>2018-09-13</t>
  </si>
  <si>
    <t>青岛昊顺房地产开发有限公司</t>
  </si>
  <si>
    <t>胶州市胶北街道办事处香江路北侧、纬四十路南侧</t>
  </si>
  <si>
    <t>2018-08-22</t>
  </si>
  <si>
    <t>青岛昊金德房地产开发有限公司</t>
  </si>
  <si>
    <t>胶州市胶西镇平成南路南侧、平成西路西侧</t>
  </si>
  <si>
    <t>青岛昌荣置业有限公司</t>
  </si>
  <si>
    <t>胶州市胶北街道办事处香江大道北侧、弘博路东侧</t>
  </si>
  <si>
    <t>＞1且≤1.5</t>
  </si>
  <si>
    <t>青岛润鸿磊房地产开发有限公司</t>
  </si>
  <si>
    <t>胶州市李哥庄镇桃源大街东侧、规划路南侧</t>
  </si>
  <si>
    <t>2018-08-17</t>
  </si>
  <si>
    <t>胶州市铺集镇朱东侧南侧、滨河路西侧南侧</t>
  </si>
  <si>
    <t>青岛澄韵文化旅游发展有限公司</t>
  </si>
  <si>
    <t>胶州市胶州西路南侧、梧州路东侧</t>
  </si>
  <si>
    <t>青岛市胶州新源城市建设发展有限公司</t>
  </si>
  <si>
    <t>胶州市海尔大道西侧、兰州路南侧</t>
  </si>
  <si>
    <t>2018-08-16</t>
  </si>
  <si>
    <t>保利(青岛)实业有限公司</t>
  </si>
  <si>
    <t>胶州市青海湖路北侧、潮州路东侧</t>
  </si>
  <si>
    <t>青岛祥锦房地产开发有限公司</t>
  </si>
  <si>
    <t>胶州市潮州路东侧、兰州东路南侧</t>
  </si>
  <si>
    <t>胶州市潮州路东侧、扬州支路北侧</t>
  </si>
  <si>
    <t>胶州市潮州路西侧、青海湖路北侧</t>
  </si>
  <si>
    <t>胶州市海尔大道西侧、扬州支路南侧</t>
  </si>
  <si>
    <t>胶州市海尔大道西侧、青海湖路北侧</t>
  </si>
  <si>
    <t>阳光新天地投资集团有限公司</t>
  </si>
  <si>
    <t>2018-05-30</t>
  </si>
  <si>
    <t>青岛胶东国际机场建设有限公司,保利(青岛)实业有限公司,山东中建房地产开发有限公司</t>
  </si>
  <si>
    <t>胶州市李哥庄镇桃源大街东侧、龙翔大街南侧</t>
  </si>
  <si>
    <t>胶州市李哥庄镇规划六号路东侧、规划七号路西侧</t>
  </si>
  <si>
    <t>2018-04-17</t>
  </si>
  <si>
    <t>山东中建房地产开发有限公司</t>
  </si>
  <si>
    <t>胶州市李哥庄镇规划规划六号路东侧、规划七号路西侧</t>
  </si>
  <si>
    <t>胶州市李哥庄镇规划一号路南侧、规划五号路北侧</t>
  </si>
  <si>
    <t>胶州市李哥庄镇规划一号路南侧、规划四号路东侧</t>
  </si>
  <si>
    <t>胶州市李哥庄镇规划一号路南侧、沽河大街东侧</t>
  </si>
  <si>
    <t>胶州市李哥庄镇规划一号路南侧、规划六号路东侧</t>
  </si>
  <si>
    <t>胶州市李哥庄镇规划规划五号路南侧、规划七号路东侧</t>
  </si>
  <si>
    <t>胶州市李哥庄镇规划二号路南侧、规划三号路北侧</t>
  </si>
  <si>
    <t>胶州市李哥庄镇规划一号路北侧、规划四号路东侧</t>
  </si>
  <si>
    <t>胶州市李哥庄镇规划六号路东侧、规划五号路南侧</t>
  </si>
  <si>
    <t>胶州市澳门路以南、泉州路以东</t>
  </si>
  <si>
    <t>＞1且≤1.01</t>
  </si>
  <si>
    <t>2018-02-12</t>
  </si>
  <si>
    <t>青岛锦昊嘉辉置业有限公司</t>
  </si>
  <si>
    <t>胶州市青岛路以南、潮州路以西</t>
  </si>
  <si>
    <t>＞1且≤3.2</t>
  </si>
  <si>
    <t>胶州市澳门路以北、潮州路以西</t>
  </si>
  <si>
    <t>胶州市青岛路以南、泉州路以东</t>
  </si>
  <si>
    <t>＞1且≤3.3</t>
  </si>
  <si>
    <t>胶州市青岛路以南、潮州路以东</t>
  </si>
  <si>
    <t>胶州市海尔大道西侧、北京路南侧</t>
  </si>
  <si>
    <t>2018-01-05</t>
  </si>
  <si>
    <t>胶州市株洲路西侧,规划路北侧</t>
  </si>
  <si>
    <t>＞1且≤1.35</t>
  </si>
  <si>
    <t>2017-12-31</t>
  </si>
  <si>
    <t>青岛双城房地产有限公司</t>
  </si>
  <si>
    <t>胶州市株洲路东侧,规划路北侧</t>
  </si>
  <si>
    <t>青岛海智置业有限公司</t>
  </si>
  <si>
    <t>胶州市上海路北侧、规划一号路东侧</t>
  </si>
  <si>
    <t>＞1且≤1.4</t>
  </si>
  <si>
    <t>2017-12-29</t>
  </si>
  <si>
    <t>青岛天泰房地产开发股份有限公司</t>
  </si>
  <si>
    <t>胶州市上海路北侧、规划一号路西侧</t>
  </si>
  <si>
    <t>胶州市海尔大道西侧、青海湖路北侧</t>
    <phoneticPr fontId="3" type="noConversion"/>
  </si>
  <si>
    <t>住宅</t>
    <phoneticPr fontId="26" type="noConversion"/>
  </si>
  <si>
    <t>一般</t>
  </si>
  <si>
    <t>较好</t>
  </si>
  <si>
    <t>七通</t>
  </si>
  <si>
    <t>较规则</t>
    <phoneticPr fontId="26" type="noConversion"/>
  </si>
  <si>
    <t>较好</t>
    <phoneticPr fontId="26" type="noConversion"/>
  </si>
  <si>
    <t>五通</t>
    <phoneticPr fontId="26" type="noConversion"/>
  </si>
  <si>
    <t>胶州市海尔大道西侧、扬州支路南侧</t>
    <phoneticPr fontId="3" type="noConversion"/>
  </si>
  <si>
    <t>胶州市海尔大道西侧、兰州路南侧</t>
    <phoneticPr fontId="3" type="noConversion"/>
  </si>
  <si>
    <t>押一</t>
  </si>
  <si>
    <t>60-70（含）</t>
  </si>
  <si>
    <t>50-60（含）</t>
  </si>
  <si>
    <t>住宅</t>
    <phoneticPr fontId="21" type="noConversion"/>
  </si>
  <si>
    <t>正常</t>
  </si>
  <si>
    <t>售价</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</si>
  <si>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</si>
  <si>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</si>
  <si>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</si>
  <si>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</si>
  <si>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</si>
  <si>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</si>
  <si>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</si>
  <si>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</si>
  <si>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</si>
  <si>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</si>
  <si>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</si>
  <si>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</si>
  <si>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</si>
  <si>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</si>
  <si>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</si>
  <si>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</si>
  <si>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</si>
  <si>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</si>
  <si>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</si>
  <si>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已全部缴纳</t>
  </si>
  <si>
    <r>
      <rPr>
        <sz val="11"/>
        <color indexed="8"/>
        <rFont val="宋体"/>
        <family val="3"/>
        <charset val="134"/>
      </rPr>
      <t>不动产收益法</t>
    </r>
    <r>
      <rPr>
        <sz val="11"/>
        <color indexed="8"/>
        <rFont val="Arial"/>
        <family val="2"/>
      </rPr>
      <t>-</t>
    </r>
    <r>
      <rPr>
        <sz val="11"/>
        <color indexed="8"/>
        <rFont val="宋体"/>
        <family val="3"/>
        <charset val="134"/>
      </rPr>
      <t>公寓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</si>
  <si>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</si>
  <si>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小高层</t>
  </si>
  <si>
    <t>小高层</t>
    <phoneticPr fontId="21" type="noConversion"/>
  </si>
  <si>
    <t>较差</t>
  </si>
  <si>
    <t>30-40（含）</t>
  </si>
  <si>
    <t>20-30（含）</t>
  </si>
  <si>
    <t>loft</t>
  </si>
  <si>
    <t>loft</t>
    <phoneticPr fontId="21" type="noConversion"/>
  </si>
  <si>
    <t>公寓</t>
    <phoneticPr fontId="21" type="noConversion"/>
  </si>
  <si>
    <r>
      <rPr>
        <sz val="11"/>
        <rFont val="宋体"/>
        <family val="3"/>
        <charset val="134"/>
      </rPr>
      <t>精装售价</t>
    </r>
    <r>
      <rPr>
        <sz val="11"/>
        <rFont val="Arial"/>
        <family val="2"/>
      </rPr>
      <t>11000</t>
    </r>
    <r>
      <rPr>
        <sz val="11"/>
        <rFont val="宋体"/>
        <family val="3"/>
        <charset val="134"/>
      </rPr>
      <t>装修标准</t>
    </r>
    <r>
      <rPr>
        <sz val="11"/>
        <rFont val="Arial"/>
        <family val="2"/>
      </rPr>
      <t>2500</t>
    </r>
    <phoneticPr fontId="228" type="noConversion"/>
  </si>
  <si>
    <t>三通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</si>
  <si>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</si>
  <si>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</si>
  <si>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</si>
  <si>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</si>
  <si>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</si>
  <si>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兴源巴黎城</t>
    <phoneticPr fontId="21" type="noConversion"/>
  </si>
  <si>
    <t>樾郡</t>
    <phoneticPr fontId="3" type="noConversion"/>
  </si>
  <si>
    <t>碧桂园盛汇澜庭</t>
    <phoneticPr fontId="3" type="noConversion"/>
  </si>
  <si>
    <t>上合U领寓</t>
    <phoneticPr fontId="21" type="noConversion"/>
  </si>
  <si>
    <t>协信航空科技城</t>
    <phoneticPr fontId="3" type="noConversion"/>
  </si>
  <si>
    <t>中南星汇城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</si>
</sst>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0" borderId="0" xfId="16"/>
    <xf numFmtId="0" fontId="0" fillId="6" borderId="0" xfId="0" applyFill="1">
      <alignment vertical="center"/>
    </xf>
    <xf numFmtId="0" fontId="86" fillId="0" borderId="0" xfId="16" applyFill="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11</xdr:col>
      <xdr:colOff>663937</xdr:colOff>
      <xdr:row>138</xdr:row>
      <xdr:rowOff>25015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7145000"/>
          <a:ext cx="9057143" cy="6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10</xdr:row>
      <xdr:rowOff>56929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4219048" cy="1771429"/>
        </a:xfrm>
        <a:prstGeom prst="rect">
          <a:avLst/>
        </a:prstGeom>
      </xdr:spPr>
    </xdr:pic>
    <xdr:clientData/>
  </xdr:twoCellAnchor>
  <xdr:twoCellAnchor editAs="oneCell">
    <xdr:from>
      <xdr:col>0</xdr:col>
      <xdr:colOff>0</xdr:colOff>
      <xdr:row>10</xdr:row>
      <xdr:rowOff>76200</xdr:rowOff>
    </xdr:from>
    <xdr:to>
      <xdr:col>9</xdr:col>
      <xdr:colOff>342086</xdr:colOff>
      <xdr:row>17</xdr:row>
      <xdr:rowOff>85574</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90700"/>
          <a:ext cx="6514286" cy="1209524"/>
        </a:xfrm>
        <a:prstGeom prst="rect">
          <a:avLst/>
        </a:prstGeom>
      </xdr:spPr>
    </xdr:pic>
    <xdr:clientData/>
  </xdr:twoCellAnchor>
  <xdr:twoCellAnchor editAs="oneCell">
    <xdr:from>
      <xdr:col>0</xdr:col>
      <xdr:colOff>0</xdr:colOff>
      <xdr:row>18</xdr:row>
      <xdr:rowOff>0</xdr:rowOff>
    </xdr:from>
    <xdr:to>
      <xdr:col>7</xdr:col>
      <xdr:colOff>447019</xdr:colOff>
      <xdr:row>27</xdr:row>
      <xdr:rowOff>161712</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086100"/>
          <a:ext cx="5247619" cy="1704762"/>
        </a:xfrm>
        <a:prstGeom prst="rect">
          <a:avLst/>
        </a:prstGeom>
      </xdr:spPr>
    </xdr:pic>
    <xdr:clientData/>
  </xdr:twoCellAnchor>
  <xdr:twoCellAnchor editAs="oneCell">
    <xdr:from>
      <xdr:col>0</xdr:col>
      <xdr:colOff>0</xdr:colOff>
      <xdr:row>28</xdr:row>
      <xdr:rowOff>0</xdr:rowOff>
    </xdr:from>
    <xdr:to>
      <xdr:col>9</xdr:col>
      <xdr:colOff>599229</xdr:colOff>
      <xdr:row>34</xdr:row>
      <xdr:rowOff>85586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4800600"/>
          <a:ext cx="6771429" cy="1114286"/>
        </a:xfrm>
        <a:prstGeom prst="rect">
          <a:avLst/>
        </a:prstGeom>
      </xdr:spPr>
    </xdr:pic>
    <xdr:clientData/>
  </xdr:twoCellAnchor>
  <xdr:twoCellAnchor editAs="oneCell">
    <xdr:from>
      <xdr:col>0</xdr:col>
      <xdr:colOff>0</xdr:colOff>
      <xdr:row>35</xdr:row>
      <xdr:rowOff>0</xdr:rowOff>
    </xdr:from>
    <xdr:to>
      <xdr:col>7</xdr:col>
      <xdr:colOff>27972</xdr:colOff>
      <xdr:row>44</xdr:row>
      <xdr:rowOff>114093</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6000750"/>
          <a:ext cx="4828572" cy="1657143"/>
        </a:xfrm>
        <a:prstGeom prst="rect">
          <a:avLst/>
        </a:prstGeom>
      </xdr:spPr>
    </xdr:pic>
    <xdr:clientData/>
  </xdr:twoCellAnchor>
  <xdr:twoCellAnchor editAs="oneCell">
    <xdr:from>
      <xdr:col>0</xdr:col>
      <xdr:colOff>0</xdr:colOff>
      <xdr:row>45</xdr:row>
      <xdr:rowOff>0</xdr:rowOff>
    </xdr:from>
    <xdr:to>
      <xdr:col>9</xdr:col>
      <xdr:colOff>551610</xdr:colOff>
      <xdr:row>53</xdr:row>
      <xdr:rowOff>114114</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7715250"/>
          <a:ext cx="6723810" cy="1485714"/>
        </a:xfrm>
        <a:prstGeom prst="rect">
          <a:avLst/>
        </a:prstGeom>
      </xdr:spPr>
    </xdr:pic>
    <xdr:clientData/>
  </xdr:twoCellAnchor>
  <xdr:twoCellAnchor editAs="oneCell">
    <xdr:from>
      <xdr:col>11</xdr:col>
      <xdr:colOff>0</xdr:colOff>
      <xdr:row>1</xdr:row>
      <xdr:rowOff>0</xdr:rowOff>
    </xdr:from>
    <xdr:to>
      <xdr:col>30</xdr:col>
      <xdr:colOff>531886</xdr:colOff>
      <xdr:row>44</xdr:row>
      <xdr:rowOff>59969</xdr:rowOff>
    </xdr:to>
    <xdr:pic>
      <xdr:nvPicPr>
        <xdr:cNvPr id="2" name="图片 1"/>
        <xdr:cNvPicPr>
          <a:picLocks noChangeAspect="1"/>
        </xdr:cNvPicPr>
      </xdr:nvPicPr>
      <xdr:blipFill>
        <a:blip xmlns:r="http://schemas.openxmlformats.org/officeDocument/2006/relationships" r:embed="rId7"/>
        <a:stretch>
          <a:fillRect/>
        </a:stretch>
      </xdr:blipFill>
      <xdr:spPr>
        <a:xfrm>
          <a:off x="6705600" y="182880"/>
          <a:ext cx="12114286" cy="7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132114</xdr:colOff>
      <xdr:row>36</xdr:row>
      <xdr:rowOff>16320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4" cy="6600000"/>
        </a:xfrm>
        <a:prstGeom prst="rect">
          <a:avLst/>
        </a:prstGeom>
      </xdr:spPr>
    </xdr:pic>
    <xdr:clientData/>
  </xdr:twoCellAnchor>
  <xdr:twoCellAnchor editAs="oneCell">
    <xdr:from>
      <xdr:col>16</xdr:col>
      <xdr:colOff>446314</xdr:colOff>
      <xdr:row>0</xdr:row>
      <xdr:rowOff>0</xdr:rowOff>
    </xdr:from>
    <xdr:to>
      <xdr:col>29</xdr:col>
      <xdr:colOff>254847</xdr:colOff>
      <xdr:row>42</xdr:row>
      <xdr:rowOff>18076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199914" y="0"/>
          <a:ext cx="7733333" cy="7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山东省青岛市胶州市出让国有建设用地使用权抵押价格预评估</v>
      </c>
      <c r="AX2" s="2850"/>
      <c r="AZ2" s="2850"/>
      <c r="BA2" s="2851"/>
      <c r="BC2" s="2851"/>
    </row>
    <row r="3" spans="1:55" s="2852" customFormat="1">
      <c r="A3" s="2831" t="s">
        <v>2658</v>
      </c>
      <c r="B3" s="2834">
        <f>'预评函-封皮'!B40</f>
        <v>0</v>
      </c>
    </row>
    <row r="4" spans="1:55" s="2833" customFormat="1">
      <c r="A4" s="2831" t="s">
        <v>2659</v>
      </c>
      <c r="B4" s="2832" t="str">
        <f>'预评函-封皮'!B46</f>
        <v>王鹏、郑燚</v>
      </c>
      <c r="N4" s="2833" t="str">
        <f>'预评函-1'!A28</f>
        <v/>
      </c>
    </row>
    <row r="5" spans="1:55" s="2846" customFormat="1" ht="16.2" thickBot="1">
      <c r="A5" s="2853" t="s">
        <v>2660</v>
      </c>
      <c r="B5" s="2854" t="str">
        <f>'预评函-封皮'!B49</f>
        <v>康正预评字号</v>
      </c>
    </row>
    <row r="6" spans="1:55" s="2855" customFormat="1" ht="16.2" thickTop="1">
      <c r="A6" s="2847" t="s">
        <v>2702</v>
      </c>
      <c r="B6" s="2848" t="str">
        <f>'预评函-1'!A4</f>
        <v>受贵公司委托，我公司对山东省青岛市胶州市出让国有建设用地使用权抵押价格进行了预评估。</v>
      </c>
      <c r="AM6" s="2856"/>
    </row>
    <row r="7" spans="1:55" s="2830" customFormat="1">
      <c r="A7" s="2831" t="s">
        <v>2654</v>
      </c>
      <c r="B7" s="2832"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2020年5月18日（评估专业人员勘察现场之日）</v>
      </c>
    </row>
    <row r="11" spans="1:55" s="2830" customFormat="1">
      <c r="A11" s="2831" t="s">
        <v>2662</v>
      </c>
      <c r="B11" s="2832" t="str">
        <f>'预评函-1'!A14</f>
        <v>根据《国有土地使用证》[]，本次评估估价对象证载（地类）用途为。</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根据《国有土地使用证》[]，估价对象（分摊）出让国有建设用地使用权面积为53313平方米。根据《建设工程规划许可证》[]、《出让合同》[]，估价对象规划建筑面积为302059平方米。</v>
      </c>
    </row>
    <row r="16" spans="1:55" s="2830" customFormat="1">
      <c r="A16" s="2831" t="s">
        <v>2666</v>
      </c>
      <c r="B16" s="2832"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估价期日：2020年5月18日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f>'预评函-2'!E5</f>
        <v>0</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v>
      </c>
    </row>
    <row r="39" spans="1:2">
      <c r="A39" s="2831" t="s">
        <v>2716</v>
      </c>
      <c r="B39" s="2832" t="str">
        <f>'预评函-2'!L5</f>
        <v>红线外七通、宗地红线内场地</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53313</v>
      </c>
    </row>
    <row r="44" spans="1:2">
      <c r="A44" s="2831" t="s">
        <v>2737</v>
      </c>
      <c r="B44" s="2832" t="str">
        <f>'预评函-2'!O3</f>
        <v>规划建筑面积/㎡</v>
      </c>
    </row>
    <row r="45" spans="1:2">
      <c r="A45" s="2831" t="s">
        <v>2719</v>
      </c>
      <c r="B45" s="2832">
        <f>'预评函-2'!O5</f>
        <v>302059</v>
      </c>
    </row>
    <row r="46" spans="1:2">
      <c r="A46" s="2831" t="s">
        <v>2720</v>
      </c>
      <c r="B46" s="2832">
        <f ca="1">'预评函-2'!P5</f>
        <v>19470</v>
      </c>
    </row>
    <row r="47" spans="1:2">
      <c r="A47" s="2831" t="s">
        <v>2721</v>
      </c>
      <c r="B47" s="2832">
        <f ca="1">'预评函-2'!Q5</f>
        <v>3436</v>
      </c>
    </row>
    <row r="48" spans="1:2">
      <c r="A48" s="2831" t="s">
        <v>2722</v>
      </c>
      <c r="B48" s="2832">
        <f ca="1">'预评函-2'!R5</f>
        <v>103798</v>
      </c>
    </row>
    <row r="49" spans="1:2">
      <c r="A49" s="2831" t="s">
        <v>2738</v>
      </c>
      <c r="B49" s="2832" t="str">
        <f>'预评函-2'!A6</f>
        <v>抵押价格</v>
      </c>
    </row>
    <row r="50" spans="1:2">
      <c r="A50" s="2831" t="s">
        <v>2723</v>
      </c>
      <c r="B50" s="2832">
        <f ca="1">'预评函-2'!R6</f>
        <v>103798</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1.权利限制：根据估价对象《不动产权证书》原件、《国有土地使用权》复印件，截至估价期日，估价对象抵押权未见登记。未设定租赁等其他他项权利。</v>
      </c>
    </row>
    <row r="56" spans="1:2">
      <c r="A56" s="2831" t="s">
        <v>2676</v>
      </c>
      <c r="B56" s="2832" t="str">
        <f>'预评函-3'!A3</f>
        <v>2.基础设施条件：估价对象实际开发程度为红线外七通、宗地红线内；本次评估设定开发程度为红线外七通、宗地红线内场地。</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6.2" thickBot="1">
      <c r="A72" s="2853" t="s">
        <v>2688</v>
      </c>
      <c r="B72" s="2859">
        <f ca="1">'预评函-3'!B21</f>
        <v>2014110011</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3" sqref="H23"/>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1935</v>
      </c>
      <c r="B1" s="3252" t="str">
        <f>IF(B10="北京市","北京市",C10)&amp;F10&amp;B16&amp;"国有建设用地使用权"&amp;B9&amp;"预评估"</f>
        <v>山东省青岛市胶州市出让国有建设用地使用权抵押价格预评估</v>
      </c>
      <c r="C1" s="3253"/>
      <c r="D1" s="3253"/>
      <c r="E1" s="3253"/>
      <c r="F1" s="3253"/>
      <c r="G1" s="3253"/>
      <c r="H1" s="3253"/>
      <c r="I1" s="3254"/>
      <c r="J1" s="1676"/>
      <c r="K1" s="2417" t="str">
        <f>IF(B10="北京市","北京市",C10)&amp;F10&amp;B16&amp;"国有建设用地使用权"&amp;B9</f>
        <v>山东省青岛市胶州市出让国有建设用地使用权抵押价格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山东省青岛市胶州市出让国有建设用地使用权</v>
      </c>
      <c r="L2" s="1705"/>
      <c r="M2" s="1705"/>
      <c r="N2" s="1676"/>
      <c r="O2" s="1677"/>
      <c r="P2" s="1676"/>
      <c r="Q2" s="1676"/>
      <c r="R2" s="1676"/>
      <c r="S2" s="1676"/>
      <c r="T2" s="1676"/>
      <c r="U2" s="1676"/>
    </row>
    <row r="3" spans="1:21">
      <c r="A3" s="1643" t="s">
        <v>1937</v>
      </c>
      <c r="B3" s="1644">
        <v>43969</v>
      </c>
      <c r="C3" s="1645" t="s">
        <v>1993</v>
      </c>
      <c r="D3" s="1644">
        <v>43969</v>
      </c>
      <c r="E3" s="1676"/>
      <c r="F3" s="1676"/>
      <c r="G3" s="1676"/>
      <c r="H3" s="1642"/>
      <c r="I3" s="1677"/>
      <c r="J3" s="1676"/>
      <c r="K3" s="1756"/>
      <c r="L3" s="1705"/>
      <c r="M3" s="1705"/>
      <c r="N3" s="1676"/>
      <c r="O3" s="1677"/>
      <c r="P3" s="1676"/>
      <c r="Q3" s="1676"/>
      <c r="R3" s="1676"/>
      <c r="S3" s="1676"/>
      <c r="T3" s="1676"/>
      <c r="U3" s="1676"/>
    </row>
    <row r="4" spans="1:21" ht="16.2" thickBot="1">
      <c r="A4" s="1646" t="s">
        <v>1938</v>
      </c>
      <c r="B4" s="1825" t="s">
        <v>2988</v>
      </c>
      <c r="C4" s="1828">
        <f ca="1">SUMIF(土地估价师,B4,估价师及机构信息!E3:E24)</f>
        <v>2002110030</v>
      </c>
      <c r="D4" s="1825" t="s">
        <v>2989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c r="C6" s="1743"/>
      <c r="D6" s="1650"/>
      <c r="E6" s="1676"/>
      <c r="F6" s="1676"/>
      <c r="G6" s="1676"/>
      <c r="H6" s="1642"/>
      <c r="I6" s="1677"/>
      <c r="J6" s="1676"/>
      <c r="K6" s="3001"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2980</v>
      </c>
      <c r="C8" s="1653"/>
      <c r="D8" s="3258" t="s">
        <v>1942</v>
      </c>
      <c r="E8" s="1826" t="s">
        <v>2990</v>
      </c>
      <c r="F8" s="1654"/>
      <c r="G8" s="1642"/>
      <c r="H8" s="1642"/>
      <c r="I8" s="1689"/>
      <c r="J8" s="1676"/>
      <c r="K8" s="1756"/>
      <c r="L8" s="1705"/>
      <c r="M8" s="1705"/>
      <c r="N8" s="1676"/>
      <c r="O8" s="1677"/>
      <c r="P8" s="1676"/>
      <c r="Q8" s="1676"/>
      <c r="R8" s="1676"/>
      <c r="S8" s="1676"/>
      <c r="T8" s="1676"/>
      <c r="U8" s="1676"/>
    </row>
    <row r="9" spans="1:21" ht="16.2" thickBot="1">
      <c r="A9" s="1655" t="s">
        <v>1941</v>
      </c>
      <c r="B9" s="1656" t="s">
        <v>2990</v>
      </c>
      <c r="C9" s="1657"/>
      <c r="D9" s="3259"/>
      <c r="E9" s="1656" t="s">
        <v>952</v>
      </c>
      <c r="F9" s="1729"/>
      <c r="G9" s="1724"/>
      <c r="H9" s="1724"/>
      <c r="I9" s="1725"/>
      <c r="J9" s="1676"/>
      <c r="K9" s="1756"/>
      <c r="L9" s="1705"/>
      <c r="M9" s="1705"/>
      <c r="N9" s="1676"/>
      <c r="O9" s="1677"/>
      <c r="P9" s="1676"/>
      <c r="Q9" s="1676"/>
      <c r="R9" s="1676"/>
      <c r="S9" s="1676"/>
      <c r="T9" s="1676"/>
      <c r="U9" s="1676"/>
    </row>
    <row r="10" spans="1:21" ht="31.8" thickTop="1">
      <c r="A10" s="1726" t="s">
        <v>1997</v>
      </c>
      <c r="B10" s="1701" t="s">
        <v>2991</v>
      </c>
      <c r="C10" s="1658" t="s">
        <v>2992</v>
      </c>
      <c r="D10" s="1649"/>
      <c r="E10" s="1659" t="s">
        <v>1944</v>
      </c>
      <c r="F10" s="1660" t="s">
        <v>2993</v>
      </c>
      <c r="G10" s="1727"/>
      <c r="H10" s="1728"/>
      <c r="I10" s="1649"/>
      <c r="J10" s="1676"/>
      <c r="K10" s="1756"/>
      <c r="L10" s="1705"/>
      <c r="M10" s="1705"/>
      <c r="N10" s="1676"/>
      <c r="O10" s="1677"/>
      <c r="P10" s="1676"/>
      <c r="Q10" s="1676"/>
      <c r="R10" s="1676"/>
      <c r="S10" s="1676"/>
      <c r="T10" s="1676"/>
      <c r="U10" s="1676"/>
    </row>
    <row r="11" spans="1:21">
      <c r="A11" s="1679" t="s">
        <v>1998</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55"/>
      <c r="C12" s="3256"/>
      <c r="D12" s="3257"/>
      <c r="E12" s="1681" t="s">
        <v>2059</v>
      </c>
      <c r="F12" s="3273" t="s">
        <v>2886</v>
      </c>
      <c r="G12" s="3274"/>
      <c r="H12" s="3274"/>
      <c r="I12" s="3275"/>
      <c r="J12" s="1676"/>
      <c r="K12" s="1756"/>
      <c r="L12" s="1705"/>
      <c r="M12" s="1705"/>
      <c r="N12" s="1676"/>
      <c r="O12" s="1677"/>
      <c r="P12" s="1676"/>
      <c r="Q12" s="1676"/>
      <c r="R12" s="1676"/>
      <c r="S12" s="1676"/>
      <c r="T12" s="1676"/>
      <c r="U12" s="1676"/>
    </row>
    <row r="13" spans="1:21">
      <c r="A13" s="1669" t="s">
        <v>2057</v>
      </c>
      <c r="B13" s="3255"/>
      <c r="C13" s="3256"/>
      <c r="D13" s="3257"/>
      <c r="E13" s="1681" t="s">
        <v>2059</v>
      </c>
      <c r="F13" s="3273" t="s">
        <v>2887</v>
      </c>
      <c r="G13" s="3274"/>
      <c r="H13" s="3274"/>
      <c r="I13" s="3275"/>
      <c r="J13" s="1676"/>
      <c r="K13" s="1756"/>
      <c r="L13" s="1705"/>
      <c r="M13" s="1705"/>
      <c r="N13" s="1676"/>
      <c r="O13" s="1677"/>
      <c r="P13" s="1676"/>
      <c r="Q13" s="1676"/>
      <c r="R13" s="1676"/>
      <c r="S13" s="1676"/>
      <c r="T13" s="1676"/>
      <c r="U13" s="1676"/>
    </row>
    <row r="14" spans="1:21">
      <c r="A14" s="1643" t="s">
        <v>2060</v>
      </c>
      <c r="B14" s="1681"/>
      <c r="C14" s="1827" t="s">
        <v>2995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6.8">
      <c r="A16" s="1662" t="s">
        <v>1945</v>
      </c>
      <c r="B16" s="1663" t="s">
        <v>2975</v>
      </c>
      <c r="C16" s="1681" t="s">
        <v>1946</v>
      </c>
      <c r="D16" s="2608" t="s">
        <v>1947</v>
      </c>
      <c r="E16" s="1704" t="s">
        <v>2996</v>
      </c>
      <c r="F16" s="1704"/>
      <c r="G16" s="1704" t="s">
        <v>35</v>
      </c>
      <c r="H16" s="1704"/>
      <c r="I16" s="1668" t="s">
        <v>1952</v>
      </c>
      <c r="J16" s="1676"/>
      <c r="K16" s="2418" t="str">
        <f>IF(D17="","",D16&amp;TEXT(D17,"yyyy年m月d日;;"))</f>
        <v>住宅2079年12月31日</v>
      </c>
      <c r="L16" s="1681" t="str">
        <f>IF(OR(K16="",M16=""),"","、")</f>
        <v>、</v>
      </c>
      <c r="M16" s="2418" t="str">
        <f>IF(E17="","",E16&amp;TEXT(E17,"yyyy年m月d日;;"))</f>
        <v>商业2049年12月31日</v>
      </c>
      <c r="N16" s="1681" t="str">
        <f>IF(OR(M16="",O16=""),"","、")</f>
        <v/>
      </c>
      <c r="O16" s="2418" t="str">
        <f>IF(F17="","",F16&amp;TEXT(F17,"yyyy年m月d日;;"))</f>
        <v/>
      </c>
      <c r="P16" s="1681" t="str">
        <f>IF(OR(O16="",Q16=""),"","、")</f>
        <v/>
      </c>
      <c r="Q16" s="2418" t="str">
        <f>IF(G17="","",G16&amp;TEXT(G17,"yyyy年m月d日;;"))</f>
        <v>地下车库2059年12月31日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65745</v>
      </c>
      <c r="E17" s="1682">
        <v>54788</v>
      </c>
      <c r="F17" s="1682"/>
      <c r="G17" s="1682">
        <v>58440</v>
      </c>
      <c r="H17" s="1682"/>
      <c r="I17" s="1682"/>
      <c r="J17" s="1676"/>
      <c r="K17" s="2417" t="str">
        <f>CONCATENATE(K16,L16,M16,N16,O16,P16,Q16,R16,S16,T16,,U16)</f>
        <v>住宅2079年12月31日、商业2049年12月31日地下车库2059年12月31日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59.66</v>
      </c>
      <c r="E19" s="1667">
        <f>IF(B16="出让",IF(E17="","",ROUNDDOWN(MIN((E17-$D$3)/365,E18),2)),E18)</f>
        <v>29.64</v>
      </c>
      <c r="F19" s="1667" t="str">
        <f>IF(B16="出让",IF(F17="","",ROUNDDOWN(MIN((F17-$D$3)/365,F18),2)),F18)</f>
        <v/>
      </c>
      <c r="G19" s="1667">
        <f>IF(B16="出让",IF(G17="","",ROUNDDOWN(MIN((G17-$D$3)/365,G18),2)),G18)</f>
        <v>39.64</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70"/>
      <c r="E20" s="3271"/>
      <c r="F20" s="3271"/>
      <c r="G20" s="3271"/>
      <c r="H20" s="3271"/>
      <c r="I20" s="3272"/>
      <c r="J20" s="1676"/>
      <c r="K20" s="1756"/>
      <c r="L20" s="1705"/>
      <c r="M20" s="1705"/>
      <c r="N20" s="1676"/>
      <c r="O20" s="1677"/>
      <c r="P20" s="1676"/>
      <c r="Q20" s="1676"/>
      <c r="R20" s="1676"/>
      <c r="S20" s="1676"/>
      <c r="T20" s="1676"/>
      <c r="U20" s="1676"/>
    </row>
    <row r="21" spans="1:21">
      <c r="A21" s="1745" t="s">
        <v>1956</v>
      </c>
      <c r="B21" s="1746" t="s">
        <v>1957</v>
      </c>
      <c r="C21" s="1741">
        <f>'数据-汇总表'!E3</f>
        <v>302059</v>
      </c>
      <c r="D21" s="1742" t="s">
        <v>1958</v>
      </c>
      <c r="E21" s="3260" t="s">
        <v>1996</v>
      </c>
      <c r="F21" s="3261"/>
      <c r="G21" s="3261"/>
      <c r="H21" s="3261"/>
      <c r="I21" s="3262"/>
      <c r="J21" s="1676"/>
      <c r="K21" s="1756"/>
      <c r="L21" s="1705"/>
      <c r="M21" s="1705"/>
      <c r="N21" s="1676"/>
      <c r="O21" s="1677"/>
      <c r="P21" s="1676"/>
      <c r="Q21" s="1676"/>
      <c r="R21" s="1676"/>
      <c r="S21" s="1676"/>
      <c r="T21" s="1676"/>
      <c r="U21" s="1676"/>
    </row>
    <row r="22" spans="1:21">
      <c r="A22" s="3091" t="s">
        <v>952</v>
      </c>
      <c r="B22" s="1643" t="s">
        <v>1959</v>
      </c>
      <c r="C22" s="1668">
        <f>'数据-汇总表'!D3</f>
        <v>53313</v>
      </c>
      <c r="D22" s="1669" t="s">
        <v>1958</v>
      </c>
      <c r="E22" s="3260" t="s">
        <v>2888</v>
      </c>
      <c r="F22" s="3261"/>
      <c r="G22" s="3261"/>
      <c r="H22" s="3261"/>
      <c r="I22" s="3262"/>
      <c r="J22" s="1676"/>
      <c r="K22" s="1756"/>
      <c r="L22" s="1705"/>
      <c r="M22" s="1705"/>
      <c r="N22" s="1676"/>
      <c r="O22" s="1677"/>
      <c r="P22" s="1676"/>
      <c r="Q22" s="1676"/>
      <c r="R22" s="1676"/>
      <c r="S22" s="1676"/>
      <c r="T22" s="1676"/>
      <c r="U22" s="1676"/>
    </row>
    <row r="23" spans="1:21" ht="47.4"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63" t="s">
        <v>1964</v>
      </c>
      <c r="C24" s="3264"/>
      <c r="D24" s="3265" t="s">
        <v>1965</v>
      </c>
      <c r="E24" s="3266"/>
      <c r="F24" s="1690" t="s">
        <v>1966</v>
      </c>
      <c r="G24" s="1676"/>
      <c r="H24" s="1676"/>
      <c r="I24" s="1689"/>
      <c r="J24" s="1676"/>
      <c r="K24" s="3251"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2323</v>
      </c>
      <c r="C25" s="1691" t="s">
        <v>1968</v>
      </c>
      <c r="D25" s="1692"/>
      <c r="E25" s="1693" t="s">
        <v>952</v>
      </c>
      <c r="F25" s="1694"/>
      <c r="G25" s="1676"/>
      <c r="H25" s="1676"/>
      <c r="I25" s="1689"/>
      <c r="J25" s="1676"/>
      <c r="K25" s="325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1969</v>
      </c>
      <c r="C26" s="1691" t="s">
        <v>2324</v>
      </c>
      <c r="D26" s="1642"/>
      <c r="E26" s="1642"/>
      <c r="F26" s="1670"/>
      <c r="G26" s="1676"/>
      <c r="H26" s="1676"/>
      <c r="I26" s="1689"/>
      <c r="J26" s="1676"/>
      <c r="K26" s="325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6.2" thickTop="1">
      <c r="A31" s="3237" t="s">
        <v>1999</v>
      </c>
      <c r="B31" s="1746" t="s">
        <v>2000</v>
      </c>
      <c r="C31" s="3276"/>
      <c r="D31" s="3277"/>
      <c r="E31" s="1676"/>
      <c r="F31" s="1676"/>
      <c r="G31" s="1676"/>
      <c r="H31" s="1676"/>
      <c r="I31" s="1689"/>
      <c r="J31" s="1676"/>
      <c r="K31" s="2420"/>
      <c r="L31" s="1676"/>
      <c r="M31" s="1676"/>
      <c r="N31" s="1676"/>
      <c r="O31" s="1676"/>
      <c r="P31" s="1676"/>
      <c r="Q31" s="1676"/>
      <c r="R31" s="1676"/>
      <c r="S31" s="1676"/>
      <c r="T31" s="1676"/>
      <c r="U31" s="1676"/>
    </row>
    <row r="32" spans="1:21">
      <c r="A32" s="3237"/>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7"/>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8"/>
      <c r="B34" s="1643" t="s">
        <v>2003</v>
      </c>
      <c r="C34" s="3239"/>
      <c r="D34" s="3240"/>
      <c r="E34" s="1676"/>
      <c r="F34" s="1676"/>
      <c r="G34" s="1676"/>
      <c r="H34" s="1676"/>
      <c r="I34" s="1689"/>
      <c r="J34" s="1676"/>
      <c r="K34" s="2420"/>
      <c r="L34" s="1676"/>
      <c r="M34" s="1676"/>
      <c r="N34" s="1676"/>
      <c r="O34" s="1676"/>
      <c r="P34" s="1676"/>
      <c r="Q34" s="1676"/>
      <c r="R34" s="1676"/>
      <c r="S34" s="1676"/>
      <c r="T34" s="1676"/>
      <c r="U34" s="1676"/>
    </row>
    <row r="35" spans="1:21">
      <c r="A35" s="3241" t="s">
        <v>847</v>
      </c>
      <c r="B35" s="1704"/>
      <c r="C35" s="1758" t="str">
        <f>IF(B35="场地平整","——","具体情况：")</f>
        <v>具体情况：</v>
      </c>
      <c r="D35" s="3243"/>
      <c r="E35" s="3244"/>
      <c r="F35" s="3244"/>
      <c r="G35" s="3244"/>
      <c r="H35" s="3244"/>
      <c r="I35" s="3245"/>
      <c r="J35" s="1676"/>
      <c r="K35" s="1757"/>
      <c r="L35" s="1705"/>
      <c r="M35" s="1705"/>
      <c r="N35" s="1676"/>
      <c r="O35" s="1677"/>
      <c r="P35" s="1676"/>
      <c r="Q35" s="1676"/>
      <c r="R35" s="1676"/>
      <c r="S35" s="1676"/>
      <c r="T35" s="1676"/>
      <c r="U35" s="1676"/>
    </row>
    <row r="36" spans="1:21">
      <c r="A36" s="3237"/>
      <c r="B36" s="3246" t="s">
        <v>2052</v>
      </c>
      <c r="C36" s="3247"/>
      <c r="D36" s="1774"/>
      <c r="E36" s="3248"/>
      <c r="F36" s="3248"/>
      <c r="G36" s="1669" t="str">
        <f>IF(B35="场地未平整","估价结果处理","")</f>
        <v/>
      </c>
      <c r="H36" s="3249"/>
      <c r="I36" s="3249"/>
      <c r="J36" s="1676"/>
      <c r="K36" s="1757"/>
      <c r="L36" s="1705"/>
      <c r="M36" s="1705"/>
      <c r="N36" s="1676"/>
      <c r="O36" s="1677"/>
      <c r="P36" s="1676"/>
      <c r="Q36" s="1676"/>
      <c r="R36" s="1676"/>
      <c r="S36" s="1676"/>
      <c r="T36" s="1676"/>
      <c r="U36" s="1676"/>
    </row>
    <row r="37" spans="1:21" ht="31.2">
      <c r="A37" s="3237"/>
      <c r="B37" s="326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7"/>
      <c r="B38" s="3268"/>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38"/>
      <c r="B39" s="326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50" t="s">
        <v>1983</v>
      </c>
      <c r="T40" s="1713" t="str">
        <f>NUMBERSTRING(7-K40,1)&amp;"通"</f>
        <v>七通</v>
      </c>
      <c r="U40" s="1676"/>
    </row>
    <row r="41" spans="1:21" ht="31.2">
      <c r="A41" s="1645"/>
      <c r="B41" s="3242" t="s">
        <v>1721</v>
      </c>
      <c r="C41" s="3242"/>
      <c r="D41" s="3242"/>
      <c r="E41" s="3242"/>
      <c r="F41" s="1714" t="str">
        <f>C10</f>
        <v>山东省青岛市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53313</v>
      </c>
      <c r="B3" s="22">
        <f>IF(C3="否",G5-AT5,G5)</f>
        <v>302059</v>
      </c>
      <c r="C3" s="23" t="s">
        <v>2997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302059</v>
      </c>
      <c r="H5" s="27">
        <f t="shared" ref="H5:AT5" si="0">SUM(H13:H641)</f>
        <v>300745</v>
      </c>
      <c r="I5" s="27">
        <f t="shared" si="0"/>
        <v>198870</v>
      </c>
      <c r="J5" s="27">
        <f t="shared" si="0"/>
        <v>0</v>
      </c>
      <c r="K5" s="27">
        <f t="shared" si="0"/>
        <v>20923</v>
      </c>
      <c r="L5" s="27">
        <f t="shared" si="0"/>
        <v>0</v>
      </c>
      <c r="M5" s="27">
        <f t="shared" si="0"/>
        <v>2220</v>
      </c>
      <c r="N5" s="27">
        <f t="shared" si="0"/>
        <v>0</v>
      </c>
      <c r="O5" s="27">
        <f t="shared" si="0"/>
        <v>78732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1314</v>
      </c>
      <c r="AD5" s="27">
        <f t="shared" si="0"/>
        <v>1314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302059</v>
      </c>
      <c r="BA5" s="29">
        <f t="shared" si="1"/>
        <v>300745</v>
      </c>
      <c r="BB5" s="29">
        <f t="shared" si="1"/>
        <v>198870</v>
      </c>
      <c r="BC5" s="29">
        <f t="shared" si="1"/>
        <v>20923</v>
      </c>
      <c r="BD5" s="29">
        <f t="shared" si="1"/>
        <v>2220</v>
      </c>
      <c r="BE5" s="29">
        <f t="shared" si="1"/>
        <v>78732</v>
      </c>
      <c r="BF5" s="29">
        <f t="shared" si="1"/>
        <v>0</v>
      </c>
      <c r="BG5" s="29">
        <f t="shared" si="1"/>
        <v>0</v>
      </c>
      <c r="BH5" s="29">
        <f t="shared" si="1"/>
        <v>0</v>
      </c>
      <c r="BI5" s="29">
        <f t="shared" si="1"/>
        <v>0</v>
      </c>
      <c r="BJ5" s="29">
        <f t="shared" si="1"/>
        <v>0</v>
      </c>
      <c r="BK5" s="29">
        <f t="shared" si="1"/>
        <v>0</v>
      </c>
      <c r="BL5" s="29">
        <f t="shared" si="1"/>
        <v>1314</v>
      </c>
      <c r="BM5" s="29">
        <f t="shared" si="1"/>
        <v>1314</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53313</v>
      </c>
      <c r="F6" s="27" t="s">
        <v>1</v>
      </c>
      <c r="G6" s="27" t="s">
        <v>2</v>
      </c>
      <c r="H6" s="33">
        <f>SUMIF(I$12:AB$12,"总值",I6:AB6)</f>
        <v>53081.08</v>
      </c>
      <c r="I6" s="27">
        <f t="shared" ref="I6:AB6" si="2">ROUND($A$3*I5/$B$3,2)</f>
        <v>35100.28</v>
      </c>
      <c r="J6" s="27">
        <f t="shared" si="2"/>
        <v>0</v>
      </c>
      <c r="K6" s="27">
        <f t="shared" si="2"/>
        <v>3692.88</v>
      </c>
      <c r="L6" s="27">
        <f t="shared" si="2"/>
        <v>0</v>
      </c>
      <c r="M6" s="27">
        <f t="shared" si="2"/>
        <v>391.83</v>
      </c>
      <c r="N6" s="27">
        <f t="shared" si="2"/>
        <v>0</v>
      </c>
      <c r="O6" s="27">
        <f t="shared" si="2"/>
        <v>13896.09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231.92</v>
      </c>
      <c r="AD6" s="27">
        <f t="shared" ref="AD6:AS6" si="3">ROUND($A$3*AD5/$B$3,2)</f>
        <v>231.92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53081.08</v>
      </c>
      <c r="BB6" s="27">
        <f>ROUND($AY$6*BB5/$AZ$5,2)</f>
        <v>35100.28</v>
      </c>
      <c r="BC6" s="27">
        <f t="shared" ref="BC6:BH6" si="4">ROUND($AY$6*BC5/$AZ$5,2)</f>
        <v>3692.88</v>
      </c>
      <c r="BD6" s="27">
        <f t="shared" si="4"/>
        <v>391.83</v>
      </c>
      <c r="BE6" s="27">
        <f t="shared" si="4"/>
        <v>13896.09</v>
      </c>
      <c r="BF6" s="27">
        <f t="shared" si="4"/>
        <v>0</v>
      </c>
      <c r="BG6" s="27">
        <f t="shared" si="4"/>
        <v>0</v>
      </c>
      <c r="BH6" s="27">
        <f t="shared" si="4"/>
        <v>0</v>
      </c>
      <c r="BI6" s="27">
        <f t="shared" ref="BI6:BT6" si="5">ROUND($AY$6*BI5/$AZ$5,2)</f>
        <v>0</v>
      </c>
      <c r="BJ6" s="27">
        <f t="shared" si="5"/>
        <v>0</v>
      </c>
      <c r="BK6" s="27">
        <f t="shared" si="5"/>
        <v>0</v>
      </c>
      <c r="BL6" s="27">
        <f t="shared" si="5"/>
        <v>231.92</v>
      </c>
      <c r="BM6" s="27">
        <f t="shared" si="5"/>
        <v>231.92</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8" t="s">
        <v>3001</v>
      </c>
      <c r="J9" s="51"/>
      <c r="K9" s="2968" t="s">
        <v>3001</v>
      </c>
      <c r="L9" s="51"/>
      <c r="M9" s="2968" t="s">
        <v>3001</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8" t="s">
        <v>923</v>
      </c>
      <c r="J10" s="51"/>
      <c r="K10" s="2970" t="s">
        <v>2996</v>
      </c>
      <c r="L10" s="51"/>
      <c r="M10" s="2970" t="s">
        <v>2996</v>
      </c>
      <c r="N10" s="51"/>
      <c r="O10" s="66" t="s">
        <v>3006</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9" t="s">
        <v>3002</v>
      </c>
      <c r="J11" s="71"/>
      <c r="K11" s="2969" t="s">
        <v>2999</v>
      </c>
      <c r="L11" s="71"/>
      <c r="M11" s="70" t="s">
        <v>3003</v>
      </c>
      <c r="N11" s="71"/>
      <c r="O11" s="70" t="s">
        <v>3006</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c r="B13" s="2964"/>
      <c r="C13" s="2964" t="s">
        <v>2998</v>
      </c>
      <c r="D13" s="2965" t="s">
        <v>1678</v>
      </c>
      <c r="E13" s="27">
        <f t="shared" ref="E13:E20" si="6">IF($C$3="是",ROUND($A$3*G13/$B$3,2),ROUND($A$3*(G13-AT13)/$B$3,2))</f>
        <v>35332.199999999997</v>
      </c>
      <c r="F13" s="81"/>
      <c r="G13" s="82">
        <f t="shared" ref="G13:G20" si="7">H13+AC13+AT13</f>
        <v>200184</v>
      </c>
      <c r="H13" s="33">
        <f t="shared" ref="H13:H20" si="8">SUMIF(I$12:AB$12,"总值",I13:AB13)</f>
        <v>198870</v>
      </c>
      <c r="I13" s="83">
        <v>198870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1314</v>
      </c>
      <c r="AD13" s="83">
        <v>1314</v>
      </c>
      <c r="AE13" s="83"/>
      <c r="AF13" s="83"/>
      <c r="AG13" s="83"/>
      <c r="AH13" s="83"/>
      <c r="AI13" s="83"/>
      <c r="AJ13" s="83"/>
      <c r="AK13" s="83"/>
      <c r="AL13" s="83"/>
      <c r="AM13" s="83"/>
      <c r="AN13" s="83"/>
      <c r="AO13" s="83"/>
      <c r="AP13" s="83"/>
      <c r="AQ13" s="83"/>
      <c r="AR13" s="83"/>
      <c r="AS13" s="83"/>
      <c r="AT13" s="83"/>
      <c r="AU13" s="83"/>
      <c r="AV13" s="17">
        <f t="shared" ref="AV13:AX20" si="10">A13</f>
        <v>0</v>
      </c>
      <c r="AW13" s="17">
        <f t="shared" si="10"/>
        <v>0</v>
      </c>
      <c r="AX13" s="17" t="str">
        <f t="shared" si="10"/>
        <v>住宅</v>
      </c>
      <c r="AY13" s="996">
        <f t="shared" ref="AY13:AY20" si="11">ROUND($AY$6*AZ13/$AZ$5,2)</f>
        <v>35332.199999999997</v>
      </c>
      <c r="AZ13" s="27">
        <f t="shared" ref="AZ13:AZ20" si="12">BA13+BL13</f>
        <v>200184</v>
      </c>
      <c r="BA13" s="27">
        <f t="shared" ref="BA13:BA20" si="13">SUM(BB13:BK13)</f>
        <v>198870</v>
      </c>
      <c r="BB13" s="27">
        <f t="shared" ref="BB13:BB20" si="14">IF($D13="是",I13-J13,0)</f>
        <v>198870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1314</v>
      </c>
      <c r="BM13" s="27">
        <f t="shared" ref="BM13:BM20" si="25">IF($D13="是",AD13-AE13,0)</f>
        <v>1314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4" t="s">
        <v>3000</v>
      </c>
      <c r="D14" s="2965" t="s">
        <v>1678</v>
      </c>
      <c r="E14" s="27">
        <f t="shared" si="6"/>
        <v>3692.88</v>
      </c>
      <c r="F14" s="81"/>
      <c r="G14" s="82">
        <f t="shared" si="7"/>
        <v>20923</v>
      </c>
      <c r="H14" s="33">
        <f t="shared" si="8"/>
        <v>20923</v>
      </c>
      <c r="I14" s="83"/>
      <c r="J14" s="83"/>
      <c r="K14" s="83">
        <v>20923</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83"/>
      <c r="AQ14" s="83"/>
      <c r="AR14" s="83"/>
      <c r="AS14" s="83"/>
      <c r="AT14" s="83"/>
      <c r="AU14" s="83"/>
      <c r="AV14" s="17">
        <f t="shared" si="10"/>
        <v>0</v>
      </c>
      <c r="AW14" s="17">
        <f t="shared" si="10"/>
        <v>0</v>
      </c>
      <c r="AX14" s="17" t="str">
        <f t="shared" si="10"/>
        <v>公寓</v>
      </c>
      <c r="AY14" s="996">
        <f t="shared" si="11"/>
        <v>3692.88</v>
      </c>
      <c r="AZ14" s="27">
        <f t="shared" si="12"/>
        <v>20923</v>
      </c>
      <c r="BA14" s="27">
        <f t="shared" si="13"/>
        <v>20923</v>
      </c>
      <c r="BB14" s="27">
        <f t="shared" si="14"/>
        <v>0</v>
      </c>
      <c r="BC14" s="27">
        <f t="shared" si="15"/>
        <v>20923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4" t="s">
        <v>3016</v>
      </c>
      <c r="D15" s="2965" t="s">
        <v>1678</v>
      </c>
      <c r="E15" s="27">
        <f t="shared" si="6"/>
        <v>391.83</v>
      </c>
      <c r="F15" s="81"/>
      <c r="G15" s="82">
        <f t="shared" si="7"/>
        <v>2220</v>
      </c>
      <c r="H15" s="33">
        <f t="shared" si="8"/>
        <v>2220</v>
      </c>
      <c r="I15" s="83"/>
      <c r="J15" s="83"/>
      <c r="K15" s="83"/>
      <c r="L15" s="83"/>
      <c r="M15" s="83">
        <v>2220</v>
      </c>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83"/>
      <c r="AP15" s="83"/>
      <c r="AQ15" s="83"/>
      <c r="AR15" s="83"/>
      <c r="AS15" s="83"/>
      <c r="AT15" s="83"/>
      <c r="AU15" s="83"/>
      <c r="AV15" s="17">
        <f t="shared" si="10"/>
        <v>0</v>
      </c>
      <c r="AW15" s="17">
        <f t="shared" si="10"/>
        <v>0</v>
      </c>
      <c r="AX15" s="17" t="str">
        <f t="shared" si="10"/>
        <v>商业</v>
      </c>
      <c r="AY15" s="996">
        <f t="shared" si="11"/>
        <v>391.83</v>
      </c>
      <c r="AZ15" s="27">
        <f t="shared" si="12"/>
        <v>2220</v>
      </c>
      <c r="BA15" s="27">
        <f t="shared" si="13"/>
        <v>2220</v>
      </c>
      <c r="BB15" s="27">
        <f t="shared" si="14"/>
        <v>0</v>
      </c>
      <c r="BC15" s="27">
        <f t="shared" si="15"/>
        <v>0</v>
      </c>
      <c r="BD15" s="27">
        <f t="shared" si="16"/>
        <v>2220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4" t="s">
        <v>3017</v>
      </c>
      <c r="D16" s="2965" t="s">
        <v>3004</v>
      </c>
      <c r="E16" s="27">
        <f t="shared" si="6"/>
        <v>13896.09</v>
      </c>
      <c r="F16" s="81"/>
      <c r="G16" s="82">
        <f t="shared" si="7"/>
        <v>78732</v>
      </c>
      <c r="H16" s="33">
        <f t="shared" si="8"/>
        <v>78732</v>
      </c>
      <c r="I16" s="83"/>
      <c r="J16" s="83"/>
      <c r="K16" s="83"/>
      <c r="L16" s="83"/>
      <c r="M16" s="83"/>
      <c r="N16" s="83"/>
      <c r="O16" s="83">
        <v>78732</v>
      </c>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83"/>
      <c r="AP16" s="83"/>
      <c r="AQ16" s="83"/>
      <c r="AR16" s="83"/>
      <c r="AS16" s="83"/>
      <c r="AT16" s="83"/>
      <c r="AU16" s="83"/>
      <c r="AV16" s="17">
        <f t="shared" si="10"/>
        <v>0</v>
      </c>
      <c r="AW16" s="17">
        <f t="shared" si="10"/>
        <v>0</v>
      </c>
      <c r="AX16" s="17" t="str">
        <f t="shared" si="10"/>
        <v>地下车库</v>
      </c>
      <c r="AY16" s="996">
        <f t="shared" si="11"/>
        <v>13896.09</v>
      </c>
      <c r="AZ16" s="27">
        <f t="shared" si="12"/>
        <v>78732</v>
      </c>
      <c r="BA16" s="27">
        <f t="shared" si="13"/>
        <v>78732</v>
      </c>
      <c r="BB16" s="27">
        <f t="shared" si="14"/>
        <v>0</v>
      </c>
      <c r="BC16" s="27">
        <f t="shared" si="15"/>
        <v>0</v>
      </c>
      <c r="BD16" s="27">
        <f t="shared" si="16"/>
        <v>0</v>
      </c>
      <c r="BE16" s="27">
        <f t="shared" si="17"/>
        <v>78732</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4"/>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83"/>
      <c r="AP17" s="83"/>
      <c r="AQ17" s="83"/>
      <c r="AR17" s="83"/>
      <c r="AS17" s="83"/>
      <c r="AT17" s="83"/>
      <c r="AU17" s="8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83"/>
      <c r="AP18" s="83"/>
      <c r="AQ18" s="83"/>
      <c r="AR18" s="83"/>
      <c r="AS18" s="83"/>
      <c r="AT18" s="83"/>
      <c r="AU18" s="83"/>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46.8">
      <c r="A3" s="3278"/>
      <c r="B3" s="3278"/>
      <c r="C3" s="3278"/>
      <c r="D3" s="3279"/>
      <c r="E3" s="327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9" t="s">
        <v>203</v>
      </c>
      <c r="B2" s="3289"/>
      <c r="C2" s="3289"/>
      <c r="D2" s="1958" t="s">
        <v>204</v>
      </c>
      <c r="E2" s="106" t="s">
        <v>205</v>
      </c>
      <c r="F2" s="1967"/>
      <c r="G2" s="1194"/>
      <c r="H2" s="1195"/>
      <c r="I2" s="1196" t="s">
        <v>857</v>
      </c>
      <c r="J2" s="1967"/>
      <c r="K2" s="1967"/>
      <c r="L2" s="1967"/>
    </row>
    <row r="3" spans="1:16" ht="15" thickBot="1">
      <c r="A3" s="3290" t="s">
        <v>206</v>
      </c>
      <c r="B3" s="3290"/>
      <c r="C3" s="3290"/>
      <c r="D3" s="107">
        <f>'数据-基础表'!AY6</f>
        <v>53313</v>
      </c>
      <c r="E3" s="107">
        <f>'数据-基础表'!AZ5</f>
        <v>302059</v>
      </c>
      <c r="F3" s="1967"/>
      <c r="G3" s="280" t="s">
        <v>858</v>
      </c>
      <c r="H3" s="275" t="s">
        <v>859</v>
      </c>
      <c r="I3" s="1959">
        <f>ROUND('数据-基础表'!B3/'数据-基础表'!A3,2)</f>
        <v>5.67</v>
      </c>
      <c r="J3" s="1967"/>
      <c r="K3" s="1967"/>
      <c r="L3" s="1967"/>
    </row>
    <row r="4" spans="1:16" ht="14.4">
      <c r="A4" s="3291"/>
      <c r="B4" s="3292"/>
      <c r="C4" s="3293"/>
      <c r="D4" s="108" t="s">
        <v>204</v>
      </c>
      <c r="E4" s="109" t="s">
        <v>205</v>
      </c>
      <c r="F4" s="1967"/>
      <c r="G4" s="1197"/>
      <c r="H4" s="275" t="s">
        <v>860</v>
      </c>
      <c r="I4" s="1959">
        <f>ROUND(SUMIF('数据-基础表'!I9:AS9,"地上",'数据-基础表'!I5:AS5)/'数据-基础表'!A3,2)</f>
        <v>4.1900000000000004</v>
      </c>
      <c r="J4" s="1967"/>
      <c r="K4" s="1967"/>
      <c r="L4" s="1967"/>
    </row>
    <row r="5" spans="1:16" ht="14.4">
      <c r="A5" s="110" t="s">
        <v>207</v>
      </c>
      <c r="B5" s="3294" t="s">
        <v>230</v>
      </c>
      <c r="C5" s="3294"/>
      <c r="D5" s="111">
        <f>ROUND($D$3*E5/$E$3,2)</f>
        <v>35100.28</v>
      </c>
      <c r="E5" s="112">
        <f>SUMIF('数据-基础表'!$11:$11,"住宅",'数据-基础表'!$5:$5)</f>
        <v>198870</v>
      </c>
      <c r="F5" s="1967"/>
      <c r="G5" s="280" t="s">
        <v>861</v>
      </c>
      <c r="H5" s="275" t="s">
        <v>859</v>
      </c>
      <c r="I5" s="1959">
        <f>ROUND(E31/D31,2)</f>
        <v>5.67</v>
      </c>
      <c r="J5" s="1967"/>
      <c r="K5" s="1967"/>
      <c r="L5" s="1967"/>
    </row>
    <row r="6" spans="1:16" ht="15" thickBot="1">
      <c r="A6" s="113"/>
      <c r="B6" s="3294" t="s">
        <v>208</v>
      </c>
      <c r="C6" s="3294"/>
      <c r="D6" s="111">
        <f>ROUND($D$3*E6/$E$3,2)</f>
        <v>18212.72</v>
      </c>
      <c r="E6" s="112">
        <f>E3-E5</f>
        <v>103189</v>
      </c>
      <c r="F6" s="1967"/>
      <c r="G6" s="1197"/>
      <c r="H6" s="275" t="s">
        <v>860</v>
      </c>
      <c r="I6" s="1959">
        <f>ROUND(F31/D31,2)</f>
        <v>4.1900000000000004</v>
      </c>
      <c r="J6" s="1967"/>
      <c r="K6" s="1967"/>
      <c r="L6" s="1967"/>
    </row>
    <row r="7" spans="1:16" ht="14.4">
      <c r="A7" s="3286"/>
      <c r="B7" s="3287"/>
      <c r="C7" s="3288"/>
      <c r="D7" s="108" t="s">
        <v>204</v>
      </c>
      <c r="E7" s="114" t="s">
        <v>231</v>
      </c>
      <c r="F7" s="1967"/>
      <c r="G7" s="1152" t="s">
        <v>1645</v>
      </c>
      <c r="H7" s="1153"/>
      <c r="I7" s="1829">
        <v>4</v>
      </c>
      <c r="J7" s="1967"/>
      <c r="K7" s="1967"/>
      <c r="L7" s="1967"/>
    </row>
    <row r="8" spans="1:16" ht="14.4">
      <c r="A8" s="110" t="s">
        <v>209</v>
      </c>
      <c r="B8" s="115" t="s">
        <v>210</v>
      </c>
      <c r="C8" s="111" t="s">
        <v>211</v>
      </c>
      <c r="D8" s="111">
        <f t="shared" ref="D8:D15" si="0">ROUND($D$3*E8/$E$3,2)</f>
        <v>39184.99</v>
      </c>
      <c r="E8" s="116">
        <f>SUMIF('数据-基础表'!BB10:BK10,"地上",'数据-基础表'!BB5:BK5)</f>
        <v>222013</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13896.09</v>
      </c>
      <c r="E13" s="116">
        <f>SUMPRODUCT(('数据-基础表'!BB10:BK10="地下")*('数据-基础表'!BB11:BK11="车库")*('数据-基础表'!BB5:BK5))</f>
        <v>78732</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53081.08</v>
      </c>
      <c r="E16" s="120">
        <f>SUM(E8:E15)</f>
        <v>300745</v>
      </c>
      <c r="F16" s="1967"/>
      <c r="G16" s="1969"/>
      <c r="H16" s="968" t="s">
        <v>219</v>
      </c>
      <c r="I16" s="969"/>
      <c r="J16" s="1967"/>
      <c r="K16" s="3280" t="s">
        <v>2564</v>
      </c>
      <c r="L16" s="3281"/>
      <c r="M16" s="3281"/>
      <c r="N16" s="3281"/>
      <c r="O16" s="3281"/>
      <c r="P16" s="3282"/>
    </row>
    <row r="17" spans="1:19" ht="14.4">
      <c r="A17" s="121" t="s">
        <v>216</v>
      </c>
      <c r="B17" s="122" t="s">
        <v>217</v>
      </c>
      <c r="C17" s="2281" t="s">
        <v>2311</v>
      </c>
      <c r="D17" s="108" t="s">
        <v>204</v>
      </c>
      <c r="E17" s="124" t="s">
        <v>205</v>
      </c>
      <c r="F17" s="125"/>
      <c r="G17" s="1361"/>
      <c r="H17" s="970" t="s">
        <v>218</v>
      </c>
      <c r="I17" s="971" t="s">
        <v>2310</v>
      </c>
      <c r="J17" s="1967"/>
      <c r="K17" s="3283" t="s">
        <v>2565</v>
      </c>
      <c r="L17" s="3284"/>
      <c r="M17" s="3285"/>
      <c r="N17" s="3283" t="s">
        <v>2566</v>
      </c>
      <c r="O17" s="3284"/>
      <c r="P17" s="3285"/>
      <c r="R17" s="2282" t="s">
        <v>2309</v>
      </c>
      <c r="S17" s="144"/>
    </row>
    <row r="18" spans="1:19" ht="14.4">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2307</v>
      </c>
      <c r="S18" s="2283" t="s">
        <v>2308</v>
      </c>
    </row>
    <row r="19" spans="1:19" ht="14.4">
      <c r="A19" s="133"/>
      <c r="B19" s="115" t="s">
        <v>225</v>
      </c>
      <c r="C19" s="2971" t="str">
        <f>'数据-基础表'!C13</f>
        <v>住宅</v>
      </c>
      <c r="D19" s="111">
        <f t="shared" ref="D19:D26" si="1">ROUND($D$3*E19/$E$3,2)</f>
        <v>35100.28</v>
      </c>
      <c r="E19" s="134">
        <f t="shared" ref="E19:E26" si="2">SUM(F19:G19)</f>
        <v>198870</v>
      </c>
      <c r="F19" s="135">
        <f>'数据-基础表'!I13</f>
        <v>198870</v>
      </c>
      <c r="G19" s="135"/>
      <c r="H19" s="974">
        <f>ROUND($D$3*I19/$E$3,2)</f>
        <v>231.92</v>
      </c>
      <c r="I19" s="116">
        <f>IF($I$17="自定义",P19,M19)</f>
        <v>1314</v>
      </c>
      <c r="J19" s="1967"/>
      <c r="K19" s="2570">
        <f t="shared" ref="K19:K26" si="3">ROUND(E$28*E19/E$27,2)</f>
        <v>0</v>
      </c>
      <c r="L19" s="275">
        <f t="shared" ref="L19:L26" si="4">ROUND(IF(COUNTIF(C19,"*住宅*")&gt;0,E$29*E19/E$32,0),2)</f>
        <v>1314</v>
      </c>
      <c r="M19" s="2571">
        <f>K19+L19</f>
        <v>1314</v>
      </c>
      <c r="N19" s="2572"/>
      <c r="O19" s="2573"/>
      <c r="P19" s="2574">
        <f>N19+O19</f>
        <v>0</v>
      </c>
      <c r="R19" s="275">
        <f t="shared" ref="R19:S26" si="5">D19+H19</f>
        <v>35332.199999999997</v>
      </c>
      <c r="S19" s="2284">
        <f t="shared" si="5"/>
        <v>200184</v>
      </c>
    </row>
    <row r="20" spans="1:19" ht="14.4">
      <c r="A20" s="138"/>
      <c r="B20" s="115" t="s">
        <v>226</v>
      </c>
      <c r="C20" s="2971" t="str">
        <f>'数据-基础表'!C14</f>
        <v>公寓</v>
      </c>
      <c r="D20" s="111">
        <f t="shared" si="1"/>
        <v>3692.88</v>
      </c>
      <c r="E20" s="134">
        <f t="shared" si="2"/>
        <v>20923</v>
      </c>
      <c r="F20" s="135">
        <f>'数据-基础表'!K14</f>
        <v>20923</v>
      </c>
      <c r="G20" s="135"/>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3692.88</v>
      </c>
      <c r="S20" s="2284">
        <f t="shared" si="5"/>
        <v>20923</v>
      </c>
    </row>
    <row r="21" spans="1:19" ht="14.4">
      <c r="A21" s="138"/>
      <c r="B21" s="115" t="s">
        <v>226</v>
      </c>
      <c r="C21" s="2971" t="str">
        <f>'数据-基础表'!C15</f>
        <v>商业</v>
      </c>
      <c r="D21" s="111">
        <f t="shared" si="1"/>
        <v>391.83</v>
      </c>
      <c r="E21" s="134">
        <f t="shared" si="2"/>
        <v>2220</v>
      </c>
      <c r="F21" s="135">
        <f>'数据-基础表'!M15</f>
        <v>2220</v>
      </c>
      <c r="G21" s="135"/>
      <c r="H21" s="974">
        <f t="shared" si="6"/>
        <v>0</v>
      </c>
      <c r="I21" s="116">
        <f t="shared" si="7"/>
        <v>0</v>
      </c>
      <c r="J21" s="1967"/>
      <c r="K21" s="2570">
        <f t="shared" si="3"/>
        <v>0</v>
      </c>
      <c r="L21" s="275">
        <f t="shared" si="4"/>
        <v>0</v>
      </c>
      <c r="M21" s="2571">
        <f t="shared" si="8"/>
        <v>0</v>
      </c>
      <c r="N21" s="2572"/>
      <c r="O21" s="2573"/>
      <c r="P21" s="2574">
        <f t="shared" si="9"/>
        <v>0</v>
      </c>
      <c r="R21" s="275">
        <f t="shared" si="5"/>
        <v>391.83</v>
      </c>
      <c r="S21" s="2284">
        <f t="shared" si="5"/>
        <v>2220</v>
      </c>
    </row>
    <row r="22" spans="1:19" ht="14.4">
      <c r="A22" s="138"/>
      <c r="B22" s="115" t="s">
        <v>226</v>
      </c>
      <c r="C22" s="2971" t="str">
        <f>'数据-基础表'!C16</f>
        <v>地下车库</v>
      </c>
      <c r="D22" s="111">
        <f t="shared" si="1"/>
        <v>13896.09</v>
      </c>
      <c r="E22" s="134">
        <f t="shared" si="2"/>
        <v>78732</v>
      </c>
      <c r="F22" s="135"/>
      <c r="G22" s="135">
        <f>'数据-基础表'!O16</f>
        <v>78732</v>
      </c>
      <c r="H22" s="974">
        <f t="shared" si="6"/>
        <v>0</v>
      </c>
      <c r="I22" s="116">
        <f t="shared" si="7"/>
        <v>0</v>
      </c>
      <c r="J22" s="1967"/>
      <c r="K22" s="2570">
        <f t="shared" si="3"/>
        <v>0</v>
      </c>
      <c r="L22" s="275">
        <f t="shared" si="4"/>
        <v>0</v>
      </c>
      <c r="M22" s="2571">
        <f t="shared" si="8"/>
        <v>0</v>
      </c>
      <c r="N22" s="2572"/>
      <c r="O22" s="2573"/>
      <c r="P22" s="2574">
        <f t="shared" si="9"/>
        <v>0</v>
      </c>
      <c r="R22" s="275">
        <f t="shared" si="5"/>
        <v>13896.09</v>
      </c>
      <c r="S22" s="2284">
        <f t="shared" si="5"/>
        <v>78732</v>
      </c>
    </row>
    <row r="23" spans="1:19" ht="14.4">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53081.08</v>
      </c>
      <c r="E27" s="143">
        <f>IF(SUM(E19:E26)='数据-基础表'!BA5,SUM(E19:E26),IF(F27="地上面积有误","面积有误","地下面积有误"))</f>
        <v>300745</v>
      </c>
      <c r="F27" s="134">
        <f>IF(SUM(F19:F26)=E8,SUM(F19:F26),"地上面积有误")</f>
        <v>222013</v>
      </c>
      <c r="G27" s="112">
        <f>SUM(G19:G26)</f>
        <v>78732</v>
      </c>
      <c r="H27" s="975">
        <f>SUM(H19:H26)</f>
        <v>231.92</v>
      </c>
      <c r="I27" s="976">
        <f>SUM(I19:I26)</f>
        <v>1314</v>
      </c>
      <c r="J27" s="1967"/>
      <c r="K27" s="2579">
        <f>SUM(K19:K26)</f>
        <v>0</v>
      </c>
      <c r="L27" s="2580">
        <f>SUM(L19:L26)</f>
        <v>1314</v>
      </c>
      <c r="M27" s="2581">
        <f>SUM(M19:M26)</f>
        <v>1314</v>
      </c>
      <c r="N27" s="2579">
        <f t="shared" ref="N27:O27" si="10">SUM(N19:N26)</f>
        <v>0</v>
      </c>
      <c r="O27" s="2580">
        <f t="shared" si="10"/>
        <v>0</v>
      </c>
      <c r="P27" s="2582">
        <f>SUM(P19:P26)</f>
        <v>0</v>
      </c>
      <c r="R27" s="2288">
        <f>IF(SUM(R19:R26)=$D$3,SUM(R19:R26),SUM(R19:R26)&amp;"误差"&amp;ROUND(SUM(R19:R26)-$D$3,2))</f>
        <v>53313</v>
      </c>
      <c r="S27" s="275">
        <f>IF(SUM(S19:S26)=$E$3,SUM(S19:S26),SUM(S19:S26)&amp;"误差"&amp;ROUND(SUM(S19:S26)-E3,2))</f>
        <v>302059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2318</v>
      </c>
      <c r="D29" s="111">
        <f>ROUND($D$3*E29/$E$3,2)</f>
        <v>231.92</v>
      </c>
      <c r="E29" s="134">
        <f>SUM(F29:G29)</f>
        <v>1314</v>
      </c>
      <c r="F29" s="144">
        <f>'数据-基础表'!BM5+'数据-基础表'!BO5</f>
        <v>1314</v>
      </c>
      <c r="G29" s="146">
        <f>'数据-基础表'!BN5+'数据-基础表'!BP5</f>
        <v>0</v>
      </c>
      <c r="H29" s="1967"/>
      <c r="I29" s="1967"/>
      <c r="J29" s="1967"/>
      <c r="K29" s="1967"/>
      <c r="L29" s="1967"/>
    </row>
    <row r="30" spans="1:19" ht="14.4">
      <c r="A30" s="138"/>
      <c r="B30" s="111"/>
      <c r="C30" s="147" t="s">
        <v>215</v>
      </c>
      <c r="D30" s="134">
        <f>SUM(D28:D29)</f>
        <v>231.92</v>
      </c>
      <c r="E30" s="134">
        <f>SUM(E28:E29)</f>
        <v>1314</v>
      </c>
      <c r="F30" s="134">
        <f>SUM(F28:F29)</f>
        <v>1314</v>
      </c>
      <c r="G30" s="112">
        <f>SUM(G28:G29)</f>
        <v>0</v>
      </c>
      <c r="H30" s="1967"/>
      <c r="I30" s="1967"/>
      <c r="J30" s="1967"/>
      <c r="K30" s="1967"/>
      <c r="L30" s="1967"/>
    </row>
    <row r="31" spans="1:19" ht="32.25" customHeight="1" thickBot="1">
      <c r="A31" s="1364"/>
      <c r="B31" s="1365" t="s">
        <v>229</v>
      </c>
      <c r="C31" s="2313" t="s">
        <v>2320</v>
      </c>
      <c r="D31" s="1366">
        <f>D27+D30</f>
        <v>53313</v>
      </c>
      <c r="E31" s="1366">
        <f>E27+E30</f>
        <v>302059</v>
      </c>
      <c r="F31" s="1367">
        <f>F27+F30</f>
        <v>223327</v>
      </c>
      <c r="G31" s="1368">
        <f>G27+G30</f>
        <v>78732</v>
      </c>
      <c r="H31" s="1967"/>
      <c r="I31" s="1967"/>
      <c r="J31" s="1967"/>
      <c r="K31" s="1967"/>
      <c r="L31" s="1967"/>
    </row>
    <row r="32" spans="1:19" ht="14.4">
      <c r="A32" s="1967"/>
      <c r="B32" s="2325" t="s">
        <v>2319</v>
      </c>
      <c r="C32" s="2609"/>
      <c r="D32" s="1197"/>
      <c r="E32" s="1197">
        <f>SUMIF(C19:C26,"*住宅*",E19:E26)</f>
        <v>198870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0" sqref="I20"/>
    </sheetView>
  </sheetViews>
  <sheetFormatPr defaultColWidth="13.77734375" defaultRowHeight="13.2"/>
  <cols>
    <col min="1" max="1" width="20.88671875" style="1212" customWidth="1"/>
    <col min="2" max="3" width="12" style="1199" customWidth="1"/>
    <col min="4" max="4" width="9.109375" style="1213" customWidth="1"/>
    <col min="5" max="5" width="16.33203125"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43969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923</v>
      </c>
      <c r="D6" s="2291">
        <f>SUMIF(项目基本情况!D$15:I$15,C6,项目基本情况!D$18:I$18)</f>
        <v>70</v>
      </c>
      <c r="E6" s="2292">
        <f>IF(B6="","",SUMIF(项目基本情况!D$15:I$15,C6,项目基本情况!D$17:I$17))</f>
        <v>65745</v>
      </c>
      <c r="F6" s="174">
        <f>SUMIF(项目基本情况!D$15:I$15,C6,项目基本情况!D$19:I$19)</f>
        <v>59.66</v>
      </c>
      <c r="G6" s="175">
        <f>IF(ISERROR(ROUND(POWER(1+H6,D6-F6)*(POWER(1+H6,F6)-1)/(POWER(1+H6,D6)-1),3)),0,ROUND(POWER(1+H6,D6-F6)*(POWER(1+H6,F6)-1)/(POWER(1+H6,D6)-1),3))</f>
        <v>0.97799999999999998</v>
      </c>
      <c r="H6" s="2972">
        <v>0.05</v>
      </c>
      <c r="I6" s="2972">
        <v>5.5E-2</v>
      </c>
      <c r="J6" s="2972">
        <v>8.5000000000000006E-2</v>
      </c>
      <c r="K6" s="179">
        <f>SUMIF('数据-汇总表'!C$19:C$33,'数据-取费表'!A6,'数据-汇总表'!E$19:E$33)</f>
        <v>198870</v>
      </c>
      <c r="L6" s="2973">
        <v>2500</v>
      </c>
      <c r="M6" s="177">
        <f t="shared" ref="M6:M14" si="0">ROUND(K6*L6/10000,0)</f>
        <v>49718</v>
      </c>
      <c r="N6" s="2974">
        <v>0</v>
      </c>
      <c r="O6" s="177">
        <f>IF($N$5="成新度","——",ROUND(M6*N6,0))</f>
        <v>0</v>
      </c>
      <c r="P6" s="178">
        <f>IF($N$5="成新度","——",M6-O6)</f>
        <v>49718</v>
      </c>
      <c r="Q6" s="2975">
        <v>0.1</v>
      </c>
      <c r="R6" s="179">
        <f>SUMIF('数据-汇总表'!C$19:C$33,A6,'数据-汇总表'!R$19:R$33)</f>
        <v>35332.199999999997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v>365</v>
      </c>
      <c r="AJ6" s="188"/>
      <c r="AK6" s="189"/>
      <c r="AL6" s="190"/>
      <c r="AM6" s="2986"/>
      <c r="AN6" s="2354"/>
      <c r="AO6" s="1983"/>
      <c r="AP6" s="1200">
        <f>ROUND(1-1/(1+H6)^F6,3)</f>
        <v>0.94599999999999995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公寓</v>
      </c>
      <c r="B7" s="2320" t="str">
        <f t="shared" ref="B7:B13" si="1">IF(A7=0,"","经营性")</f>
        <v>经营性</v>
      </c>
      <c r="C7" s="173" t="s">
        <v>2996</v>
      </c>
      <c r="D7" s="2291">
        <f>SUMIF(项目基本情况!D$15:I$15,C7,项目基本情况!D$18:I$18)</f>
        <v>40</v>
      </c>
      <c r="E7" s="2292">
        <f>IF(B7="","",SUMIF(项目基本情况!D$15:I$15,C7,项目基本情况!D$17:I$17))</f>
        <v>54788</v>
      </c>
      <c r="F7" s="174">
        <f>SUMIF(项目基本情况!D$15:I$15,C7,项目基本情况!D$19:I$19)</f>
        <v>29.64</v>
      </c>
      <c r="G7" s="175">
        <f t="shared" ref="G7:G11" si="2">IF(ISERROR(ROUND(POWER(1+H7,D7-F7)*(POWER(1+H7,F7)-1)/(POWER(1+H7,D7)-1),3)),0,ROUND(POWER(1+H7,D7-F7)*(POWER(1+H7,F7)-1)/(POWER(1+H7,D7)-1),3))</f>
        <v>0.90100000000000002</v>
      </c>
      <c r="H7" s="2972">
        <v>5.5E-2</v>
      </c>
      <c r="I7" s="2972">
        <v>0.06</v>
      </c>
      <c r="J7" s="2972">
        <v>8.5000000000000006E-2</v>
      </c>
      <c r="K7" s="179">
        <f>SUMIF('数据-汇总表'!C$19:C$33,'数据-取费表'!A7,'数据-汇总表'!E$19:E$33)</f>
        <v>20923</v>
      </c>
      <c r="L7" s="2973">
        <v>2800</v>
      </c>
      <c r="M7" s="177">
        <f t="shared" si="0"/>
        <v>5858</v>
      </c>
      <c r="N7" s="2974">
        <v>0</v>
      </c>
      <c r="O7" s="177">
        <f t="shared" ref="O7:O14" si="3">IF($N$5="成新度","——",ROUND(M7*N7,0))</f>
        <v>0</v>
      </c>
      <c r="P7" s="178">
        <f t="shared" ref="P7:P14" si="4">IF($N$5="成新度","——",M7-O7)</f>
        <v>5858</v>
      </c>
      <c r="Q7" s="2975">
        <v>0.15</v>
      </c>
      <c r="R7" s="179">
        <f>SUMIF('数据-汇总表'!C$19:C$33,A7,'数据-汇总表'!R$19:R$33)</f>
        <v>3692.88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1</v>
      </c>
      <c r="V7" s="181">
        <v>0.03</v>
      </c>
      <c r="W7" s="181">
        <v>0.1</v>
      </c>
      <c r="X7" s="2304"/>
      <c r="Y7" s="182">
        <v>1</v>
      </c>
      <c r="Z7" s="183"/>
      <c r="AA7" s="176"/>
      <c r="AB7" s="176"/>
      <c r="AC7" s="2307"/>
      <c r="AD7" s="184"/>
      <c r="AE7" s="972">
        <f t="shared" ref="AE7:AE13" ca="1" si="6">IF(AN7="",0,SUMIF(INDIRECT("'"&amp;AN7&amp;"'"&amp;"!E:E"),$AE$5,INDIRECT("'"&amp;AN7&amp;"'"&amp;"!F:F")))</f>
        <v>27.14</v>
      </c>
      <c r="AF7" s="141"/>
      <c r="AG7" s="1209">
        <f t="shared" ref="AG7:AG13" si="7">IF(AF7="",0,AE7-AF7)</f>
        <v>0</v>
      </c>
      <c r="AH7" s="141"/>
      <c r="AI7" s="187">
        <v>365</v>
      </c>
      <c r="AJ7" s="188"/>
      <c r="AK7" s="189">
        <v>1.4999999999999999E-2</v>
      </c>
      <c r="AL7" s="190">
        <v>1.5E-3</v>
      </c>
      <c r="AM7" s="2352">
        <v>0.01</v>
      </c>
      <c r="AN7" s="2354" t="s">
        <v>3275</v>
      </c>
      <c r="AO7" s="1983"/>
      <c r="AP7" s="1200">
        <f t="shared" ref="AP7:AP13" si="8">ROUND(1-1/(1+H7)^F7,3)</f>
        <v>0.79500000000000004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t="str">
        <f>'数据-汇总表'!C21</f>
        <v>商业</v>
      </c>
      <c r="B8" s="2320" t="str">
        <f t="shared" si="1"/>
        <v>经营性</v>
      </c>
      <c r="C8" s="173" t="s">
        <v>2996</v>
      </c>
      <c r="D8" s="2291">
        <f>SUMIF(项目基本情况!D$15:I$15,C8,项目基本情况!D$18:I$18)</f>
        <v>40</v>
      </c>
      <c r="E8" s="2292">
        <f>IF(B8="","",SUMIF(项目基本情况!D$15:I$15,C8,项目基本情况!D$17:I$17))</f>
        <v>54788</v>
      </c>
      <c r="F8" s="174">
        <f>SUMIF(项目基本情况!D$15:I$15,C8,项目基本情况!D$19:I$19)</f>
        <v>29.64</v>
      </c>
      <c r="G8" s="175">
        <f t="shared" si="2"/>
        <v>0.90100000000000002</v>
      </c>
      <c r="H8" s="2972">
        <v>5.5E-2</v>
      </c>
      <c r="I8" s="2972">
        <v>0.06</v>
      </c>
      <c r="J8" s="2972">
        <v>8.5000000000000006E-2</v>
      </c>
      <c r="K8" s="179">
        <f>SUMIF('数据-汇总表'!C$19:C$33,'数据-取费表'!A8,'数据-汇总表'!E$19:E$33)</f>
        <v>2220</v>
      </c>
      <c r="L8" s="2973">
        <v>3000</v>
      </c>
      <c r="M8" s="177">
        <f>ROUND(K8*L8/10000,0)</f>
        <v>666</v>
      </c>
      <c r="N8" s="2974">
        <v>0</v>
      </c>
      <c r="O8" s="177">
        <f t="shared" si="3"/>
        <v>0</v>
      </c>
      <c r="P8" s="178">
        <f t="shared" si="4"/>
        <v>666</v>
      </c>
      <c r="Q8" s="2975">
        <v>0.2</v>
      </c>
      <c r="R8" s="179">
        <f>SUMIF('数据-汇总表'!C$19:C$33,A8,'数据-汇总表'!R$19:R$33)</f>
        <v>391.83</v>
      </c>
      <c r="S8" s="132">
        <f>IF('数据-汇总表'!$I$17="按面积比例",SUMIF('数据-汇总表'!C$19:C$33,A8,'数据-汇总表'!K$19:K$33),SUMIF('数据-汇总表'!C$19:C$33,A8,'数据-汇总表'!N$19:N$33))</f>
        <v>0</v>
      </c>
      <c r="T8" s="2217" t="str">
        <f t="shared" si="5"/>
        <v>0</v>
      </c>
      <c r="U8" s="180">
        <v>2.5</v>
      </c>
      <c r="V8" s="181">
        <v>0.03</v>
      </c>
      <c r="W8" s="181">
        <v>0.1</v>
      </c>
      <c r="X8" s="2304"/>
      <c r="Y8" s="182">
        <v>1</v>
      </c>
      <c r="Z8" s="183"/>
      <c r="AA8" s="176"/>
      <c r="AB8" s="176"/>
      <c r="AC8" s="2307"/>
      <c r="AD8" s="184"/>
      <c r="AE8" s="972">
        <f t="shared" ca="1" si="6"/>
        <v>27.14</v>
      </c>
      <c r="AF8" s="141"/>
      <c r="AG8" s="1209">
        <f t="shared" si="7"/>
        <v>0</v>
      </c>
      <c r="AH8" s="141"/>
      <c r="AI8" s="187">
        <v>365</v>
      </c>
      <c r="AJ8" s="188"/>
      <c r="AK8" s="189">
        <v>1.4999999999999999E-2</v>
      </c>
      <c r="AL8" s="190">
        <v>1.5E-3</v>
      </c>
      <c r="AM8" s="2352">
        <v>0.01</v>
      </c>
      <c r="AN8" s="2354" t="s">
        <v>3011</v>
      </c>
      <c r="AO8" s="1983"/>
      <c r="AP8" s="1200">
        <f t="shared" si="8"/>
        <v>0.79500000000000004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t="str">
        <f>'数据-汇总表'!C22</f>
        <v>地下车库</v>
      </c>
      <c r="B9" s="2320" t="str">
        <f t="shared" si="1"/>
        <v>经营性</v>
      </c>
      <c r="C9" s="173" t="s">
        <v>3006</v>
      </c>
      <c r="D9" s="2291">
        <f>SUMIF(项目基本情况!D$15:I$15,C9,项目基本情况!D$18:I$18)</f>
        <v>50</v>
      </c>
      <c r="E9" s="2292">
        <f>IF(B9="","",SUMIF(项目基本情况!D$15:I$15,C9,项目基本情况!D$17:I$17))</f>
        <v>58440</v>
      </c>
      <c r="F9" s="174">
        <f>SUMIF(项目基本情况!D$15:I$15,C9,项目基本情况!D$19:I$19)</f>
        <v>39.64</v>
      </c>
      <c r="G9" s="175">
        <f t="shared" si="2"/>
        <v>0.92800000000000005</v>
      </c>
      <c r="H9" s="2972">
        <v>4.4999999999999998E-2</v>
      </c>
      <c r="I9" s="2972">
        <v>0.05</v>
      </c>
      <c r="J9" s="2972">
        <v>8.5000000000000006E-2</v>
      </c>
      <c r="K9" s="179">
        <f>SUMIF('数据-汇总表'!C$19:C$33,'数据-取费表'!A9,'数据-汇总表'!E$19:E$33)</f>
        <v>78732</v>
      </c>
      <c r="L9" s="2973">
        <v>2000</v>
      </c>
      <c r="M9" s="177">
        <f t="shared" si="0"/>
        <v>15746</v>
      </c>
      <c r="N9" s="2974">
        <v>0</v>
      </c>
      <c r="O9" s="177">
        <f t="shared" si="3"/>
        <v>0</v>
      </c>
      <c r="P9" s="178">
        <f t="shared" si="4"/>
        <v>15746</v>
      </c>
      <c r="Q9" s="2975">
        <v>0.03</v>
      </c>
      <c r="R9" s="179">
        <f>SUMIF('数据-汇总表'!C$19:C$33,A9,'数据-汇总表'!R$19:R$33)</f>
        <v>13896.09</v>
      </c>
      <c r="S9" s="132">
        <f>IF('数据-汇总表'!$I$17="按面积比例",SUMIF('数据-汇总表'!C$19:C$33,A9,'数据-汇总表'!K$19:K$33),SUMIF('数据-汇总表'!C$19:C$33,A9,'数据-汇总表'!N$19:N$33))</f>
        <v>0</v>
      </c>
      <c r="T9" s="2217" t="str">
        <f t="shared" si="5"/>
        <v>0</v>
      </c>
      <c r="U9" s="180">
        <v>500</v>
      </c>
      <c r="V9" s="181">
        <v>2.5000000000000001E-2</v>
      </c>
      <c r="W9" s="181">
        <v>0.1</v>
      </c>
      <c r="X9" s="2304"/>
      <c r="Y9" s="182">
        <v>1</v>
      </c>
      <c r="Z9" s="183"/>
      <c r="AA9" s="176"/>
      <c r="AB9" s="176"/>
      <c r="AC9" s="2307"/>
      <c r="AD9" s="184"/>
      <c r="AE9" s="972">
        <f t="shared" ca="1" si="6"/>
        <v>37.14</v>
      </c>
      <c r="AF9" s="141"/>
      <c r="AG9" s="1209">
        <f t="shared" si="7"/>
        <v>0</v>
      </c>
      <c r="AH9" s="141">
        <v>2229</v>
      </c>
      <c r="AI9" s="187">
        <v>12</v>
      </c>
      <c r="AJ9" s="188"/>
      <c r="AK9" s="189">
        <v>1.4999999999999999E-2</v>
      </c>
      <c r="AL9" s="190">
        <v>1.5E-3</v>
      </c>
      <c r="AM9" s="2352">
        <v>0.01</v>
      </c>
      <c r="AN9" s="2354" t="s">
        <v>3012</v>
      </c>
      <c r="AO9" s="1983"/>
      <c r="AP9" s="1200">
        <f t="shared" si="8"/>
        <v>0.82499999999999996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2314</v>
      </c>
      <c r="B15" s="2289" t="s">
        <v>1679</v>
      </c>
      <c r="C15" s="2290" t="s">
        <v>2313</v>
      </c>
      <c r="D15" s="2291"/>
      <c r="E15" s="2292"/>
      <c r="F15" s="174"/>
      <c r="G15" s="175"/>
      <c r="H15" s="2293"/>
      <c r="I15" s="2293"/>
      <c r="J15" s="2293"/>
      <c r="K15" s="179">
        <f>SUMIF('数据-汇总表'!C$19:C$33,'数据-取费表'!A15,'数据-汇总表'!E$19:E$33)</f>
        <v>1314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0.95899999999999996</v>
      </c>
      <c r="H16" s="203">
        <f>ROUND(SUMPRODUCT(H6:H13,K6:K13)/SUMPRODUCT((H6:H13&gt;0)*(K6:K13)),3)</f>
        <v>4.9000000000000002E-2</v>
      </c>
      <c r="I16" s="204"/>
      <c r="J16" s="204"/>
      <c r="K16" s="205">
        <f>SUM(K6:K15)</f>
        <v>302059</v>
      </c>
      <c r="L16" s="206">
        <f>ROUND(M16*10000/SUM(K6:K14),0)</f>
        <v>2394</v>
      </c>
      <c r="M16" s="206">
        <f>SUM(M6:M14)</f>
        <v>71988</v>
      </c>
      <c r="N16" s="207">
        <f>ROUND(SUMPRODUCT(M6:M14,N6:N14)/M16,3)</f>
        <v>0</v>
      </c>
      <c r="O16" s="206">
        <f>SUM(O6:O14)</f>
        <v>0</v>
      </c>
      <c r="P16" s="206">
        <f>SUM(P6:P14)</f>
        <v>71988</v>
      </c>
      <c r="Q16" s="208">
        <f>ROUND(SUMPRODUCT(Q6:Q13,K6:K13)/SUMPRODUCT((Q6:Q13&gt;0)*(K6:K13)),2)</f>
        <v>0.09</v>
      </c>
      <c r="R16" s="2294">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0.90300000000000002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2.5</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2336</v>
      </c>
      <c r="B27" s="227">
        <v>214</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2337</v>
      </c>
      <c r="B28" s="229">
        <v>214</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2">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6">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0"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0.04</v>
      </c>
      <c r="C48" s="3021"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1"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9</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2" t="s">
        <v>2901</v>
      </c>
      <c r="D53" s="3023"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5" t="s">
        <v>2903</v>
      </c>
      <c r="B54" s="186">
        <v>9</v>
      </c>
      <c r="C54" s="1977">
        <v>30</v>
      </c>
      <c r="D54" s="3024"/>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5" t="s">
        <v>2904</v>
      </c>
      <c r="B55" s="186">
        <v>7</v>
      </c>
      <c r="C55" s="1977">
        <v>24</v>
      </c>
      <c r="D55" s="3024"/>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5" t="s">
        <v>2905</v>
      </c>
      <c r="B56" s="186">
        <v>5</v>
      </c>
      <c r="C56" s="1977">
        <v>18</v>
      </c>
      <c r="D56" s="3024"/>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5" t="s">
        <v>2906</v>
      </c>
      <c r="B57" s="186"/>
      <c r="C57" s="1977">
        <v>12</v>
      </c>
      <c r="D57" s="3024"/>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5" t="s">
        <v>2907</v>
      </c>
      <c r="B58" s="186"/>
      <c r="C58" s="1977">
        <v>3</v>
      </c>
      <c r="D58" s="3024"/>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5" t="s">
        <v>2908</v>
      </c>
      <c r="B59" s="186"/>
      <c r="C59" s="1977">
        <v>1.5</v>
      </c>
      <c r="D59" s="3024"/>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5"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5"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5"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6"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5" t="s">
        <v>1663</v>
      </c>
      <c r="B1" s="3296"/>
      <c r="C1" s="3296"/>
      <c r="D1" s="3296"/>
      <c r="E1" s="3296"/>
      <c r="F1" s="3296"/>
      <c r="G1" s="3296"/>
      <c r="H1" s="1985"/>
      <c r="I1" s="1986"/>
      <c r="J1" s="1987"/>
      <c r="K1" s="1985"/>
      <c r="L1" s="1986"/>
      <c r="M1" s="1987"/>
      <c r="N1" s="1985"/>
      <c r="O1" s="1986"/>
      <c r="P1" s="1987"/>
      <c r="Q1" s="1988"/>
      <c r="R1" s="1989"/>
    </row>
    <row r="2" spans="1:18" ht="15" thickBot="1">
      <c r="A2" s="1217"/>
      <c r="B2" s="1218"/>
      <c r="C2" s="1219" t="s">
        <v>1664</v>
      </c>
      <c r="D2" s="1220"/>
      <c r="E2" s="1221"/>
      <c r="F2" s="1222"/>
      <c r="G2" s="1219" t="s">
        <v>1665</v>
      </c>
      <c r="H2" s="1991"/>
      <c r="I2" s="1991"/>
      <c r="J2" s="1991"/>
      <c r="K2" s="1991"/>
      <c r="L2" s="1991"/>
      <c r="M2" s="1991"/>
      <c r="N2" s="1991"/>
      <c r="O2" s="1991"/>
      <c r="P2" s="1991"/>
      <c r="Q2" s="1991"/>
      <c r="R2" s="1991"/>
    </row>
    <row r="3" spans="1:18" ht="28.8">
      <c r="A3" s="1223" t="s">
        <v>1666</v>
      </c>
      <c r="B3" s="1224" t="s">
        <v>1653</v>
      </c>
      <c r="C3" s="3027"/>
      <c r="D3" s="1992"/>
      <c r="E3" s="1225" t="s">
        <v>1666</v>
      </c>
      <c r="F3" s="1226" t="s">
        <v>1654</v>
      </c>
      <c r="G3" s="3031"/>
      <c r="H3" s="1991"/>
      <c r="I3" s="1991"/>
      <c r="J3" s="1991"/>
      <c r="K3" s="1991"/>
      <c r="L3" s="1991"/>
      <c r="M3" s="1991"/>
      <c r="N3" s="1991"/>
      <c r="O3" s="1991"/>
      <c r="P3" s="1991"/>
      <c r="Q3" s="1991"/>
      <c r="R3" s="1991"/>
    </row>
    <row r="4" spans="1:18">
      <c r="A4" s="1225"/>
      <c r="B4" s="1227" t="s">
        <v>1667</v>
      </c>
      <c r="C4" s="3028"/>
      <c r="D4" s="1992"/>
      <c r="E4" s="1228"/>
      <c r="F4" s="1229" t="s">
        <v>1668</v>
      </c>
      <c r="G4" s="3029"/>
      <c r="H4" s="1991"/>
      <c r="I4" s="1991"/>
      <c r="J4" s="1991"/>
      <c r="K4" s="1991"/>
      <c r="L4" s="1991"/>
      <c r="M4" s="1991"/>
      <c r="N4" s="1991"/>
      <c r="O4" s="1991"/>
      <c r="P4" s="1991"/>
      <c r="Q4" s="1991"/>
      <c r="R4" s="1991"/>
    </row>
    <row r="5" spans="1:18">
      <c r="A5" s="1225"/>
      <c r="B5" s="1227" t="s">
        <v>1669</v>
      </c>
      <c r="C5" s="3028"/>
      <c r="D5" s="1992"/>
      <c r="E5" s="1228"/>
      <c r="F5" s="1227" t="s">
        <v>2544</v>
      </c>
      <c r="G5" s="3029"/>
      <c r="H5" s="1991"/>
      <c r="I5" s="1991"/>
      <c r="J5" s="1991"/>
      <c r="K5" s="1991"/>
      <c r="L5" s="1991"/>
      <c r="M5" s="1991"/>
      <c r="N5" s="1991"/>
      <c r="O5" s="1991"/>
      <c r="P5" s="1991"/>
      <c r="Q5" s="1991"/>
      <c r="R5" s="1991"/>
    </row>
    <row r="6" spans="1:18">
      <c r="A6" s="1225"/>
      <c r="B6" s="1227" t="s">
        <v>1655</v>
      </c>
      <c r="C6" s="3029"/>
      <c r="D6" s="1992"/>
      <c r="E6" s="1228"/>
      <c r="F6" s="1227" t="s">
        <v>2545</v>
      </c>
      <c r="G6" s="3029"/>
      <c r="H6" s="1991"/>
      <c r="I6" s="1991"/>
      <c r="J6" s="1991"/>
      <c r="K6" s="1991"/>
      <c r="L6" s="1991"/>
      <c r="M6" s="1991"/>
      <c r="N6" s="1991"/>
      <c r="O6" s="1991"/>
      <c r="P6" s="1991"/>
      <c r="Q6" s="1991"/>
      <c r="R6" s="1991"/>
    </row>
    <row r="7" spans="1:18" ht="15" thickBot="1">
      <c r="A7" s="1225"/>
      <c r="B7" s="1227" t="s">
        <v>2544</v>
      </c>
      <c r="C7" s="3029"/>
      <c r="D7" s="1993"/>
      <c r="E7" s="1230"/>
      <c r="F7" s="1231" t="s">
        <v>1670</v>
      </c>
      <c r="G7" s="3032"/>
      <c r="H7" s="1991"/>
      <c r="I7" s="1991"/>
      <c r="J7" s="1991"/>
      <c r="K7" s="1991"/>
      <c r="L7" s="1991"/>
      <c r="M7" s="1991"/>
      <c r="N7" s="1991"/>
      <c r="O7" s="1991"/>
      <c r="P7" s="1991"/>
      <c r="Q7" s="1991"/>
      <c r="R7" s="1991"/>
    </row>
    <row r="8" spans="1:18">
      <c r="A8" s="1225"/>
      <c r="B8" s="1227" t="s">
        <v>2545</v>
      </c>
      <c r="C8" s="3029"/>
      <c r="D8" s="1993"/>
      <c r="E8" s="1993"/>
      <c r="F8" s="1538"/>
      <c r="G8" s="1538"/>
      <c r="H8" s="1991"/>
      <c r="I8" s="1991"/>
      <c r="J8" s="1991"/>
      <c r="K8" s="1991"/>
      <c r="L8" s="1991"/>
      <c r="M8" s="1991"/>
      <c r="N8" s="1991"/>
      <c r="O8" s="1991"/>
      <c r="P8" s="1991"/>
      <c r="Q8" s="1991"/>
      <c r="R8" s="1991"/>
    </row>
    <row r="9" spans="1:18">
      <c r="A9" s="1225"/>
      <c r="B9" s="1227" t="s">
        <v>1656</v>
      </c>
      <c r="C9" s="3028"/>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0"/>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20"/>
      <c r="E13" s="2540"/>
      <c r="F13" s="2540"/>
      <c r="G13" s="2540"/>
    </row>
    <row r="14" spans="1:18" ht="15" thickBot="1">
      <c r="A14" s="1234"/>
      <c r="B14" s="1235"/>
      <c r="C14" s="1236" t="s">
        <v>1664</v>
      </c>
      <c r="D14" s="1992"/>
      <c r="E14" s="1237"/>
      <c r="F14" s="1237"/>
      <c r="G14" s="1219" t="s">
        <v>1665</v>
      </c>
    </row>
    <row r="15" spans="1:18" ht="28.8">
      <c r="A15" s="2550" t="s">
        <v>1657</v>
      </c>
      <c r="B15" s="1238" t="s">
        <v>1653</v>
      </c>
      <c r="C15" s="1239">
        <f>C3</f>
        <v>0</v>
      </c>
      <c r="D15" s="1992"/>
      <c r="E15" s="2547" t="s">
        <v>1658</v>
      </c>
      <c r="F15" s="1238" t="s">
        <v>1673</v>
      </c>
      <c r="G15" s="1240">
        <f>G3</f>
        <v>0</v>
      </c>
    </row>
    <row r="16" spans="1:18">
      <c r="A16" s="2551"/>
      <c r="B16" s="1241" t="s">
        <v>1667</v>
      </c>
      <c r="C16" s="1242">
        <f>C4</f>
        <v>0</v>
      </c>
      <c r="D16" s="1992"/>
      <c r="E16" s="2548"/>
      <c r="F16" s="1243" t="s">
        <v>1668</v>
      </c>
      <c r="G16" s="1005">
        <f>G4</f>
        <v>0</v>
      </c>
    </row>
    <row r="17" spans="1:7">
      <c r="A17" s="2551"/>
      <c r="B17" s="1241" t="s">
        <v>1669</v>
      </c>
      <c r="C17" s="1242">
        <f>C5</f>
        <v>0</v>
      </c>
      <c r="D17" s="1993"/>
      <c r="E17" s="2548"/>
      <c r="F17" s="1243" t="s">
        <v>1674</v>
      </c>
      <c r="G17" s="2748"/>
    </row>
    <row r="18" spans="1:7">
      <c r="A18" s="2551"/>
      <c r="B18" s="1243" t="s">
        <v>1655</v>
      </c>
      <c r="C18" s="1005">
        <f>C6</f>
        <v>0</v>
      </c>
      <c r="D18" s="1993"/>
      <c r="E18" s="2548"/>
      <c r="F18" s="1243" t="s">
        <v>1670</v>
      </c>
      <c r="G18" s="1005">
        <f>G7</f>
        <v>0</v>
      </c>
    </row>
    <row r="19" spans="1:7">
      <c r="A19" s="2551"/>
      <c r="B19" s="1243" t="s">
        <v>1659</v>
      </c>
      <c r="C19" s="2748"/>
      <c r="D19" s="1992"/>
      <c r="E19" s="2548"/>
      <c r="F19" s="1227" t="s">
        <v>2544</v>
      </c>
      <c r="G19" s="1005">
        <f>G5</f>
        <v>0</v>
      </c>
    </row>
    <row r="20" spans="1:7">
      <c r="A20" s="2551"/>
      <c r="B20" s="1243" t="s">
        <v>1660</v>
      </c>
      <c r="C20" s="1242">
        <f>C9</f>
        <v>0</v>
      </c>
      <c r="D20" s="1993"/>
      <c r="E20" s="2548"/>
      <c r="F20" s="1227" t="s">
        <v>2545</v>
      </c>
      <c r="G20" s="1005">
        <f>G6</f>
        <v>0</v>
      </c>
    </row>
    <row r="21" spans="1:7">
      <c r="A21" s="2551"/>
      <c r="B21" s="1227" t="s">
        <v>2544</v>
      </c>
      <c r="C21" s="1005">
        <f>C7</f>
        <v>0</v>
      </c>
      <c r="D21" s="1992"/>
      <c r="E21" s="2548"/>
      <c r="F21" s="1243" t="s">
        <v>1661</v>
      </c>
      <c r="G21" s="3033"/>
    </row>
    <row r="22" spans="1:7">
      <c r="A22" s="2551"/>
      <c r="B22" s="1227" t="s">
        <v>2545</v>
      </c>
      <c r="C22" s="1005">
        <f>C8</f>
        <v>0</v>
      </c>
      <c r="D22" s="1992"/>
      <c r="E22" s="2548"/>
      <c r="F22" s="1243" t="s">
        <v>1671</v>
      </c>
      <c r="G22" s="2748"/>
    </row>
    <row r="23" spans="1:7" ht="15" thickBot="1">
      <c r="A23" s="2551"/>
      <c r="B23" s="1243" t="s">
        <v>1661</v>
      </c>
      <c r="C23" s="3033"/>
      <c r="E23" s="2549"/>
      <c r="F23" s="1244" t="s">
        <v>1675</v>
      </c>
      <c r="G23" s="3034"/>
    </row>
    <row r="24" spans="1:7" ht="1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640625" defaultRowHeight="14.4"/>
  <cols>
    <col min="1" max="1" width="24.33203125" customWidth="1"/>
  </cols>
  <sheetData>
    <row r="1" spans="1:9" ht="15.6">
      <c r="A1" s="2991" t="s">
        <v>2841</v>
      </c>
      <c r="B1" s="2991">
        <f>SUM(B14:B23)</f>
        <v>302059</v>
      </c>
      <c r="C1" s="2992"/>
      <c r="D1" s="2992"/>
      <c r="E1" s="2992"/>
      <c r="F1" s="2992"/>
    </row>
    <row r="2" spans="1:9" ht="15.6">
      <c r="A2" s="2991" t="s">
        <v>2842</v>
      </c>
      <c r="B2" s="2991">
        <f>SUM(C14:C23)</f>
        <v>53313</v>
      </c>
      <c r="C2" s="2992"/>
      <c r="D2" s="2992"/>
      <c r="E2" s="2992"/>
      <c r="F2" s="2992"/>
    </row>
    <row r="3" spans="1:9" ht="15.6">
      <c r="A3" s="2991" t="s">
        <v>2843</v>
      </c>
      <c r="B3" s="2993">
        <f>项目基本情况!D3</f>
        <v>43969</v>
      </c>
      <c r="C3" s="2992"/>
      <c r="D3" s="2992"/>
      <c r="E3" s="2992"/>
      <c r="F3" s="2992"/>
    </row>
    <row r="4" spans="1:9" ht="31.2">
      <c r="A4" s="2991" t="s">
        <v>2844</v>
      </c>
      <c r="B4" s="2991" t="s">
        <v>2845</v>
      </c>
      <c r="C4" s="2991" t="s">
        <v>2846</v>
      </c>
      <c r="D4" s="2991" t="s">
        <v>2847</v>
      </c>
      <c r="E4" s="2992"/>
      <c r="F4" s="2992"/>
    </row>
    <row r="5" spans="1:9" ht="15.6">
      <c r="A5" s="2991" t="s">
        <v>2848</v>
      </c>
      <c r="B5" s="2991">
        <f ca="1">SUM(D14:D23)</f>
        <v>103798</v>
      </c>
      <c r="C5" s="2991">
        <f ca="1">ROUND(B5*10000/$B$1,0)</f>
        <v>3436</v>
      </c>
      <c r="D5" s="2991">
        <f ca="1">ROUND(B5*10000/$B$2,0)</f>
        <v>19470</v>
      </c>
      <c r="E5" s="2992"/>
      <c r="F5" s="2992"/>
    </row>
    <row r="6" spans="1:9" ht="15.6">
      <c r="A6" s="2991" t="s">
        <v>2849</v>
      </c>
      <c r="B6" s="2991">
        <f ca="1">SUM(G14:G23)</f>
        <v>103798</v>
      </c>
      <c r="C6" s="2991">
        <f t="shared" ref="C6:C8" ca="1" si="0">ROUND(B6*10000/$B$1,0)</f>
        <v>3436</v>
      </c>
      <c r="D6" s="2991">
        <f t="shared" ref="D6:D8" ca="1" si="1">ROUND(B6*10000/$B$2,0)</f>
        <v>19470</v>
      </c>
      <c r="E6" s="2992"/>
      <c r="F6" s="2992"/>
    </row>
    <row r="7" spans="1:9" ht="15.6">
      <c r="A7" s="2991" t="s">
        <v>2850</v>
      </c>
      <c r="B7" s="2991">
        <f>SUM(H14:H23)</f>
        <v>0</v>
      </c>
      <c r="C7" s="2991">
        <f t="shared" si="0"/>
        <v>0</v>
      </c>
      <c r="D7" s="2991">
        <f t="shared" si="1"/>
        <v>0</v>
      </c>
      <c r="E7" s="2992"/>
      <c r="F7" s="2992"/>
    </row>
    <row r="8" spans="1:9" ht="15.6">
      <c r="A8" s="2991" t="s">
        <v>2851</v>
      </c>
      <c r="B8" s="2991">
        <f>SUM(I14:I23)</f>
        <v>0</v>
      </c>
      <c r="C8" s="2991">
        <f t="shared" si="0"/>
        <v>0</v>
      </c>
      <c r="D8" s="2991">
        <f t="shared" si="1"/>
        <v>0</v>
      </c>
      <c r="E8" s="2992"/>
      <c r="F8" s="2992"/>
    </row>
    <row r="9" spans="1:9" ht="15.6">
      <c r="A9" s="2991" t="s">
        <v>2852</v>
      </c>
      <c r="B9" s="2994"/>
      <c r="C9" s="2992"/>
      <c r="D9" s="2992"/>
      <c r="E9" s="2992"/>
      <c r="F9" s="2992"/>
    </row>
    <row r="10" spans="1:9" ht="15.6">
      <c r="A10" s="2991" t="s">
        <v>2853</v>
      </c>
      <c r="B10" s="2994"/>
      <c r="C10" s="2992"/>
      <c r="D10" s="2992"/>
      <c r="E10" s="2992"/>
      <c r="F10" s="2992"/>
    </row>
    <row r="11" spans="1:9" ht="15.6">
      <c r="A11" s="2991" t="s">
        <v>2870</v>
      </c>
      <c r="B11" s="2994"/>
      <c r="C11" s="2992"/>
      <c r="D11" s="2992"/>
      <c r="E11" s="2992"/>
      <c r="F11" s="2992"/>
    </row>
    <row r="12" spans="1:9" ht="15.6">
      <c r="A12" s="2992"/>
      <c r="B12" s="2992"/>
      <c r="C12" s="2992"/>
      <c r="D12" s="2992"/>
      <c r="E12" s="2992"/>
      <c r="F12" s="2992"/>
    </row>
    <row r="13" spans="1:9" ht="31.2">
      <c r="A13" s="2997" t="s">
        <v>2869</v>
      </c>
      <c r="B13" s="2995" t="s">
        <v>2841</v>
      </c>
      <c r="C13" s="2995" t="s">
        <v>2842</v>
      </c>
      <c r="D13" s="2995" t="s">
        <v>2854</v>
      </c>
      <c r="E13" s="2991" t="s">
        <v>2868</v>
      </c>
      <c r="F13" s="2991" t="s">
        <v>2847</v>
      </c>
      <c r="G13" s="2995" t="s">
        <v>2855</v>
      </c>
      <c r="H13" s="2995" t="s">
        <v>2856</v>
      </c>
      <c r="I13" s="2995" t="s">
        <v>2857</v>
      </c>
    </row>
    <row r="14" spans="1:9" ht="15.6">
      <c r="A14" s="2998" t="s">
        <v>2867</v>
      </c>
      <c r="B14" s="2995">
        <f>结果表!L38</f>
        <v>302059</v>
      </c>
      <c r="C14" s="2995">
        <f>结果表!K38</f>
        <v>53313</v>
      </c>
      <c r="D14" s="2995">
        <f ca="1">结果表!C42</f>
        <v>103798</v>
      </c>
      <c r="E14" s="2995">
        <f ca="1">ROUND(D14*10000/B14,0)</f>
        <v>3436</v>
      </c>
      <c r="F14" s="2995">
        <f ca="1">ROUND(D14*10000/C14,0)</f>
        <v>19470</v>
      </c>
      <c r="G14" s="2995">
        <f ca="1">结果表!C44</f>
        <v>103798</v>
      </c>
      <c r="H14" s="2995" t="str">
        <f>结果表!C45</f>
        <v>——</v>
      </c>
      <c r="I14" s="2995" t="str">
        <f>结果表!C46</f>
        <v>——</v>
      </c>
    </row>
    <row r="15" spans="1:9" ht="15.6">
      <c r="A15" s="2998" t="s">
        <v>2858</v>
      </c>
      <c r="B15" s="2999"/>
      <c r="C15" s="2999"/>
      <c r="D15" s="2999"/>
      <c r="E15" s="2995" t="e">
        <f t="shared" ref="E15:E23" si="2">ROUND(D15*10000/B15,0)</f>
        <v>#DIV/0!</v>
      </c>
      <c r="F15" s="2995" t="e">
        <f t="shared" ref="F15:F23" si="3">ROUND(D15*10000/C15,0)</f>
        <v>#DIV/0!</v>
      </c>
      <c r="G15" s="2996"/>
      <c r="H15" s="2996"/>
      <c r="I15" s="2999"/>
    </row>
    <row r="16" spans="1:9" ht="15.6">
      <c r="A16" s="2998" t="s">
        <v>2859</v>
      </c>
      <c r="B16" s="2999"/>
      <c r="C16" s="2999"/>
      <c r="D16" s="2999"/>
      <c r="E16" s="2995" t="e">
        <f t="shared" si="2"/>
        <v>#DIV/0!</v>
      </c>
      <c r="F16" s="2995" t="e">
        <f t="shared" si="3"/>
        <v>#DIV/0!</v>
      </c>
      <c r="G16" s="2996"/>
      <c r="H16" s="2996"/>
      <c r="I16" s="2999"/>
    </row>
    <row r="17" spans="1:9" ht="15.6">
      <c r="A17" s="2998" t="s">
        <v>2860</v>
      </c>
      <c r="B17" s="2999"/>
      <c r="C17" s="2999"/>
      <c r="D17" s="2999"/>
      <c r="E17" s="2995" t="e">
        <f t="shared" si="2"/>
        <v>#DIV/0!</v>
      </c>
      <c r="F17" s="2995" t="e">
        <f t="shared" si="3"/>
        <v>#DIV/0!</v>
      </c>
      <c r="G17" s="2996"/>
      <c r="H17" s="2996"/>
      <c r="I17" s="2999"/>
    </row>
    <row r="18" spans="1:9" ht="15.6">
      <c r="A18" s="2998" t="s">
        <v>2861</v>
      </c>
      <c r="B18" s="2999"/>
      <c r="C18" s="2999"/>
      <c r="D18" s="2999"/>
      <c r="E18" s="2995" t="e">
        <f t="shared" si="2"/>
        <v>#DIV/0!</v>
      </c>
      <c r="F18" s="2995" t="e">
        <f t="shared" si="3"/>
        <v>#DIV/0!</v>
      </c>
      <c r="G18" s="2999"/>
      <c r="H18" s="2999"/>
      <c r="I18" s="2999"/>
    </row>
    <row r="19" spans="1:9" ht="15.6">
      <c r="A19" s="2998" t="s">
        <v>2862</v>
      </c>
      <c r="B19" s="2999"/>
      <c r="C19" s="2999"/>
      <c r="D19" s="2999"/>
      <c r="E19" s="2995" t="e">
        <f t="shared" si="2"/>
        <v>#DIV/0!</v>
      </c>
      <c r="F19" s="2995" t="e">
        <f t="shared" si="3"/>
        <v>#DIV/0!</v>
      </c>
      <c r="G19" s="2999"/>
      <c r="H19" s="2999"/>
      <c r="I19" s="2999"/>
    </row>
    <row r="20" spans="1:9" ht="15.6">
      <c r="A20" s="2998" t="s">
        <v>2863</v>
      </c>
      <c r="B20" s="2999"/>
      <c r="C20" s="2999"/>
      <c r="D20" s="2999"/>
      <c r="E20" s="2995" t="e">
        <f t="shared" si="2"/>
        <v>#DIV/0!</v>
      </c>
      <c r="F20" s="2995" t="e">
        <f t="shared" si="3"/>
        <v>#DIV/0!</v>
      </c>
      <c r="G20" s="2999"/>
      <c r="H20" s="2999"/>
      <c r="I20" s="2999"/>
    </row>
    <row r="21" spans="1:9" ht="15.6">
      <c r="A21" s="2998" t="s">
        <v>2864</v>
      </c>
      <c r="B21" s="2999"/>
      <c r="C21" s="2999"/>
      <c r="D21" s="2999"/>
      <c r="E21" s="2995" t="e">
        <f t="shared" si="2"/>
        <v>#DIV/0!</v>
      </c>
      <c r="F21" s="2995" t="e">
        <f t="shared" si="3"/>
        <v>#DIV/0!</v>
      </c>
      <c r="G21" s="2999"/>
      <c r="H21" s="2999"/>
      <c r="I21" s="2999"/>
    </row>
    <row r="22" spans="1:9" ht="15.6">
      <c r="A22" s="2998" t="s">
        <v>2865</v>
      </c>
      <c r="B22" s="2999"/>
      <c r="C22" s="2999"/>
      <c r="D22" s="2999"/>
      <c r="E22" s="2995" t="e">
        <f t="shared" si="2"/>
        <v>#DIV/0!</v>
      </c>
      <c r="F22" s="2995" t="e">
        <f t="shared" si="3"/>
        <v>#DIV/0!</v>
      </c>
      <c r="G22" s="2999"/>
      <c r="H22" s="2999"/>
      <c r="I22" s="2999"/>
    </row>
    <row r="23" spans="1:9" ht="15.6">
      <c r="A23" s="2998" t="s">
        <v>2866</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G24" sqref="G2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33" t="str">
        <f>项目基本情况!K2</f>
        <v>山东省青岛市胶州市出让国有建设用地使用权</v>
      </c>
      <c r="B2" s="3334"/>
      <c r="C2" s="3335"/>
      <c r="D2" s="3335"/>
      <c r="E2" s="3335"/>
      <c r="F2" s="3335"/>
      <c r="G2" s="3334"/>
      <c r="H2" s="3334"/>
      <c r="I2" s="3336"/>
      <c r="J2" s="2013"/>
      <c r="K2" s="2012"/>
      <c r="L2" s="2012"/>
      <c r="M2" s="2012"/>
      <c r="N2" s="2012"/>
      <c r="O2" s="2012"/>
      <c r="P2" s="2012"/>
      <c r="Q2" s="2012"/>
      <c r="R2" s="2012"/>
      <c r="S2" s="2012"/>
      <c r="T2" s="2012"/>
      <c r="U2" s="2012"/>
      <c r="V2" s="2012"/>
    </row>
    <row r="3" spans="1:22" ht="13.8">
      <c r="A3" s="3326" t="s">
        <v>298</v>
      </c>
      <c r="B3" s="3327"/>
      <c r="C3" s="3327"/>
      <c r="D3" s="3327"/>
      <c r="E3" s="3327"/>
      <c r="F3" s="3327"/>
      <c r="G3" s="3327"/>
      <c r="H3" s="3327"/>
      <c r="I3" s="3327"/>
      <c r="J3" s="2013"/>
      <c r="K3" s="2012"/>
      <c r="L3" s="2012"/>
      <c r="M3" s="2012"/>
      <c r="N3" s="2012"/>
      <c r="O3" s="2012"/>
      <c r="P3" s="2012"/>
      <c r="Q3" s="2012"/>
      <c r="R3" s="2012"/>
      <c r="S3" s="2012"/>
      <c r="T3" s="2012"/>
      <c r="U3" s="2012"/>
      <c r="V3" s="2012"/>
    </row>
    <row r="4" spans="1:22" ht="14.4">
      <c r="A4" s="258" t="s">
        <v>299</v>
      </c>
      <c r="B4" s="259" t="s">
        <v>300</v>
      </c>
      <c r="C4" s="260" t="s">
        <v>3014</v>
      </c>
      <c r="D4" s="260" t="s">
        <v>3015</v>
      </c>
      <c r="E4" s="3298" t="s">
        <v>301</v>
      </c>
      <c r="F4" s="3299"/>
      <c r="G4" s="3299"/>
      <c r="H4" s="3299"/>
      <c r="I4" s="3328"/>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97" t="s">
        <v>302</v>
      </c>
      <c r="B5" s="3323">
        <v>25</v>
      </c>
      <c r="C5" s="3321"/>
      <c r="D5" s="3325"/>
      <c r="E5" s="261" t="s">
        <v>303</v>
      </c>
      <c r="F5" s="262"/>
      <c r="G5" s="262"/>
      <c r="H5" s="262"/>
      <c r="I5" s="263"/>
      <c r="J5" s="2013"/>
      <c r="K5" s="2012"/>
      <c r="L5" s="2012"/>
      <c r="M5" s="2012"/>
      <c r="N5" s="2012"/>
      <c r="O5" s="2012"/>
      <c r="P5" s="2012"/>
      <c r="Q5" s="2012"/>
      <c r="R5" s="2012"/>
      <c r="S5" s="2012"/>
      <c r="T5" s="2012"/>
      <c r="U5" s="2012"/>
      <c r="V5" s="2012"/>
    </row>
    <row r="6" spans="1:22" ht="13.8">
      <c r="A6" s="3297"/>
      <c r="B6" s="3323"/>
      <c r="C6" s="3324"/>
      <c r="D6" s="3325"/>
      <c r="E6" s="261" t="s">
        <v>304</v>
      </c>
      <c r="F6" s="262"/>
      <c r="G6" s="262"/>
      <c r="H6" s="262"/>
      <c r="I6" s="263"/>
      <c r="J6" s="2013"/>
      <c r="K6" s="2012"/>
      <c r="L6" s="2012"/>
      <c r="M6" s="2012"/>
      <c r="N6" s="2012"/>
      <c r="O6" s="2012"/>
      <c r="P6" s="2012"/>
      <c r="Q6" s="2012"/>
      <c r="R6" s="2012"/>
      <c r="S6" s="2012"/>
      <c r="T6" s="2012"/>
      <c r="U6" s="2012"/>
      <c r="V6" s="2012"/>
    </row>
    <row r="7" spans="1:22" ht="13.8">
      <c r="A7" s="3297"/>
      <c r="B7" s="3323"/>
      <c r="C7" s="3322"/>
      <c r="D7" s="3325"/>
      <c r="E7" s="261" t="s">
        <v>305</v>
      </c>
      <c r="F7" s="262"/>
      <c r="G7" s="262"/>
      <c r="H7" s="262"/>
      <c r="I7" s="263"/>
      <c r="J7" s="2013"/>
      <c r="K7" s="2012"/>
      <c r="L7" s="2012"/>
      <c r="M7" s="2012"/>
      <c r="N7" s="2012"/>
      <c r="O7" s="2012"/>
      <c r="P7" s="2012"/>
      <c r="Q7" s="2012"/>
      <c r="R7" s="2012"/>
      <c r="S7" s="2012"/>
      <c r="T7" s="2012"/>
      <c r="U7" s="2012"/>
      <c r="V7" s="2012"/>
    </row>
    <row r="8" spans="1:22" ht="13.8">
      <c r="A8" s="3297" t="s">
        <v>306</v>
      </c>
      <c r="B8" s="3323">
        <v>15</v>
      </c>
      <c r="C8" s="3321"/>
      <c r="D8" s="3325"/>
      <c r="E8" s="261" t="s">
        <v>307</v>
      </c>
      <c r="F8" s="262"/>
      <c r="G8" s="262"/>
      <c r="H8" s="262"/>
      <c r="I8" s="263"/>
      <c r="J8" s="2013"/>
      <c r="K8" s="2012"/>
      <c r="L8" s="2012"/>
      <c r="M8" s="2012"/>
      <c r="N8" s="2012"/>
      <c r="O8" s="2012"/>
      <c r="P8" s="2012"/>
      <c r="Q8" s="2012"/>
      <c r="R8" s="2012"/>
      <c r="S8" s="2012"/>
      <c r="T8" s="2012"/>
      <c r="U8" s="2012"/>
      <c r="V8" s="2012"/>
    </row>
    <row r="9" spans="1:22" ht="13.8">
      <c r="A9" s="3297"/>
      <c r="B9" s="3323"/>
      <c r="C9" s="3322"/>
      <c r="D9" s="3325"/>
      <c r="E9" s="261" t="s">
        <v>308</v>
      </c>
      <c r="F9" s="262"/>
      <c r="G9" s="262"/>
      <c r="H9" s="262"/>
      <c r="I9" s="263"/>
      <c r="J9" s="2013"/>
      <c r="K9" s="2012"/>
      <c r="L9" s="2012"/>
      <c r="M9" s="2012"/>
      <c r="N9" s="2012"/>
      <c r="O9" s="2012"/>
      <c r="P9" s="2012"/>
      <c r="Q9" s="2012"/>
      <c r="R9" s="2012"/>
      <c r="S9" s="2012"/>
      <c r="T9" s="2012"/>
      <c r="U9" s="2012"/>
      <c r="V9" s="2012"/>
    </row>
    <row r="10" spans="1:22" ht="13.8">
      <c r="A10" s="3297" t="s">
        <v>309</v>
      </c>
      <c r="B10" s="3323">
        <v>15</v>
      </c>
      <c r="C10" s="3321"/>
      <c r="D10" s="3325"/>
      <c r="E10" s="261" t="s">
        <v>310</v>
      </c>
      <c r="F10" s="262"/>
      <c r="G10" s="262"/>
      <c r="H10" s="262"/>
      <c r="I10" s="263"/>
      <c r="J10" s="2013"/>
      <c r="K10" s="2012"/>
      <c r="L10" s="2012"/>
      <c r="M10" s="2012"/>
      <c r="N10" s="2012"/>
      <c r="O10" s="2012"/>
      <c r="P10" s="2012"/>
      <c r="Q10" s="2012"/>
      <c r="R10" s="2012"/>
      <c r="S10" s="2012"/>
      <c r="T10" s="2012"/>
      <c r="U10" s="2012"/>
      <c r="V10" s="2012"/>
    </row>
    <row r="11" spans="1:22" ht="13.8">
      <c r="A11" s="3297"/>
      <c r="B11" s="3323"/>
      <c r="C11" s="3322"/>
      <c r="D11" s="3325"/>
      <c r="E11" s="261" t="s">
        <v>311</v>
      </c>
      <c r="F11" s="262"/>
      <c r="G11" s="262"/>
      <c r="H11" s="262"/>
      <c r="I11" s="263"/>
      <c r="J11" s="2013"/>
      <c r="K11" s="2012"/>
      <c r="L11" s="2012"/>
      <c r="M11" s="2012"/>
      <c r="N11" s="2012"/>
      <c r="O11" s="2012"/>
      <c r="P11" s="2012"/>
      <c r="Q11" s="2012"/>
      <c r="R11" s="2012"/>
      <c r="S11" s="2012"/>
      <c r="T11" s="2012"/>
      <c r="U11" s="2012"/>
      <c r="V11" s="2012"/>
    </row>
    <row r="12" spans="1:22" ht="13.8">
      <c r="A12" s="3297" t="s">
        <v>312</v>
      </c>
      <c r="B12" s="3323">
        <v>15</v>
      </c>
      <c r="C12" s="3321"/>
      <c r="D12" s="3325"/>
      <c r="E12" s="261" t="s">
        <v>313</v>
      </c>
      <c r="F12" s="262"/>
      <c r="G12" s="262"/>
      <c r="H12" s="262"/>
      <c r="I12" s="263"/>
      <c r="J12" s="2013"/>
      <c r="K12" s="2012"/>
      <c r="L12" s="2012"/>
      <c r="M12" s="2012"/>
      <c r="N12" s="2012"/>
      <c r="O12" s="2012"/>
      <c r="P12" s="2012"/>
      <c r="Q12" s="2012"/>
      <c r="R12" s="2012"/>
      <c r="S12" s="2012"/>
      <c r="T12" s="2012"/>
      <c r="U12" s="2012"/>
      <c r="V12" s="2012"/>
    </row>
    <row r="13" spans="1:22" ht="13.8">
      <c r="A13" s="3297"/>
      <c r="B13" s="3323"/>
      <c r="C13" s="3322"/>
      <c r="D13" s="3325"/>
      <c r="E13" s="261" t="s">
        <v>314</v>
      </c>
      <c r="F13" s="262"/>
      <c r="G13" s="262"/>
      <c r="H13" s="262"/>
      <c r="I13" s="263"/>
      <c r="J13" s="2013"/>
      <c r="K13" s="2012"/>
      <c r="L13" s="2012"/>
      <c r="M13" s="2012"/>
      <c r="N13" s="2012"/>
      <c r="O13" s="2012"/>
      <c r="P13" s="2012"/>
      <c r="Q13" s="2012"/>
      <c r="R13" s="2012"/>
      <c r="S13" s="2012"/>
      <c r="T13" s="2012"/>
      <c r="U13" s="2012"/>
      <c r="V13" s="2012"/>
    </row>
    <row r="14" spans="1:22" ht="13.8">
      <c r="A14" s="3297" t="s">
        <v>315</v>
      </c>
      <c r="B14" s="3323">
        <v>30</v>
      </c>
      <c r="C14" s="3321">
        <v>5</v>
      </c>
      <c r="D14" s="3325">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97"/>
      <c r="B15" s="3323"/>
      <c r="C15" s="3324"/>
      <c r="D15" s="3325"/>
      <c r="E15" s="261" t="s">
        <v>317</v>
      </c>
      <c r="F15" s="262"/>
      <c r="G15" s="262"/>
      <c r="H15" s="262"/>
      <c r="I15" s="263"/>
      <c r="J15" s="2013"/>
      <c r="K15" s="2012"/>
      <c r="L15" s="2012"/>
      <c r="M15" s="2012"/>
      <c r="N15" s="2012"/>
      <c r="O15" s="2012"/>
      <c r="P15" s="2012"/>
      <c r="Q15" s="2012"/>
      <c r="R15" s="2012"/>
      <c r="S15" s="2012"/>
      <c r="T15" s="2012"/>
      <c r="U15" s="2012"/>
      <c r="V15" s="2012"/>
    </row>
    <row r="16" spans="1:22" ht="13.8">
      <c r="A16" s="3297"/>
      <c r="B16" s="3323"/>
      <c r="C16" s="3322"/>
      <c r="D16" s="3325"/>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104057</v>
      </c>
      <c r="D19" s="271">
        <f ca="1">SUMIF(INDIRECT("'"&amp;D4&amp;"'"&amp;"!A:A"),结果表!B19,INDIRECT("'"&amp;D4&amp;"'"&amp;"!B:B"))</f>
        <v>103538</v>
      </c>
      <c r="E19" s="268" t="s">
        <v>323</v>
      </c>
      <c r="F19" s="269" t="s">
        <v>322</v>
      </c>
      <c r="G19" s="272">
        <f ca="1">ROUND(C19*$C$18+D19*$D$18,0)</f>
        <v>103798</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3445</v>
      </c>
      <c r="D20" s="277">
        <f ca="1">SUMIF(INDIRECT("'"&amp;D4&amp;"'"&amp;"!A:A"),结果表!B20,INDIRECT("'"&amp;D4&amp;"'"&amp;"!B:B"))</f>
        <v>3428</v>
      </c>
      <c r="E20" s="274"/>
      <c r="F20" s="275" t="s">
        <v>325</v>
      </c>
      <c r="G20" s="278">
        <f ca="1">ROUND(C20*$C$18+D20*$D$18,0)</f>
        <v>3437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19518</v>
      </c>
      <c r="D21" s="151">
        <f ca="1">SUMIF(INDIRECT("'"&amp;D4&amp;"'"&amp;"!A:A"),结果表!B21,INDIRECT("'"&amp;D4&amp;"'"&amp;"!B:B"))</f>
        <v>19421</v>
      </c>
      <c r="E21" s="274"/>
      <c r="F21" s="280" t="s">
        <v>327</v>
      </c>
      <c r="G21" s="282">
        <f ca="1">ROUND(C21*$C$18+D21*$D$18,0)</f>
        <v>19470</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5.0126523595201977E-3</v>
      </c>
      <c r="E22" s="284"/>
      <c r="F22" s="285"/>
      <c r="G22" s="286">
        <f ca="1">ROUND(G19/('数据-汇总表'!D3/666.67),0)</f>
        <v>1298</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4"/>
      <c r="B25" s="1317" t="s">
        <v>331</v>
      </c>
      <c r="C25" s="290">
        <f>IF(B30=0,0,C30)</f>
        <v>0</v>
      </c>
      <c r="D25" s="291"/>
      <c r="E25" s="311"/>
      <c r="F25" s="311"/>
      <c r="G25" s="311"/>
      <c r="H25" s="311"/>
      <c r="I25" s="311"/>
      <c r="J25" s="2012"/>
      <c r="K25" s="1251" t="str">
        <f ca="1">项目基本情况!B16&amp;"国有建设用地使用权价格："&amp;O38&amp;"万元"</f>
        <v>出让国有建设用地使用权价格：103798万元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大写金额：人民币壹拾亿叁仟柒佰玖拾捌万元整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单位面积地价：19470元/平方米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楼面地价：3436元/平方米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抵押价格：103798万元</v>
      </c>
      <c r="L29" s="1248"/>
      <c r="M29" s="1248"/>
      <c r="N29" s="1248"/>
      <c r="O29" s="1247"/>
      <c r="P29" s="2012"/>
      <c r="V29" s="2012"/>
    </row>
    <row r="30" spans="1:26" ht="18" thickBot="1">
      <c r="A30" s="3076" t="s">
        <v>336</v>
      </c>
      <c r="B30" s="309"/>
      <c r="C30" s="309"/>
      <c r="D30" s="310"/>
      <c r="E30" s="3077" t="s">
        <v>2956</v>
      </c>
      <c r="F30" s="311"/>
      <c r="G30" s="311"/>
      <c r="H30" s="311"/>
      <c r="I30" s="311"/>
      <c r="J30" s="2012"/>
      <c r="K30" s="1254" t="str">
        <f ca="1">IF(K29="——","——","大写金额：人民币"&amp;NUMBERSTRING(INT(O39*10000),2)&amp;"元整")</f>
        <v>大写金额：人民币壹拾亿叁仟柒佰玖拾捌万元整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103798</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3436</v>
      </c>
      <c r="D33" s="1380" t="s">
        <v>1691</v>
      </c>
      <c r="E33" s="3303"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1" t="s">
        <v>1692</v>
      </c>
      <c r="C34" s="264">
        <f ca="1">ROUND(C32*10000/'数据-汇总表'!D3,0)</f>
        <v>19470</v>
      </c>
      <c r="D34" s="1382" t="s">
        <v>1691</v>
      </c>
      <c r="E34" s="3344"/>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3"/>
      <c r="C35" s="1384">
        <f ca="1">ROUND(C32/('数据-汇总表'!D3/666.67),0)</f>
        <v>1298</v>
      </c>
      <c r="D35" s="1385" t="s">
        <v>1693</v>
      </c>
      <c r="E35" s="3345"/>
      <c r="F35" s="301" t="s">
        <v>342</v>
      </c>
      <c r="G35" s="982"/>
      <c r="H35" s="981" t="s">
        <v>343</v>
      </c>
      <c r="I35" s="311"/>
      <c r="J35" s="2012"/>
      <c r="K35" s="3318" t="s">
        <v>350</v>
      </c>
      <c r="L35" s="3318" t="s">
        <v>351</v>
      </c>
      <c r="M35" s="1260" t="s">
        <v>352</v>
      </c>
      <c r="N35" s="3318" t="s">
        <v>353</v>
      </c>
      <c r="O35" s="3318" t="s">
        <v>354</v>
      </c>
      <c r="P35" s="2012"/>
      <c r="V35" s="2012"/>
    </row>
    <row r="36" spans="1:26" ht="16.5" customHeight="1">
      <c r="A36" s="303" t="s">
        <v>344</v>
      </c>
      <c r="B36" s="304" t="s">
        <v>333</v>
      </c>
      <c r="C36" s="305" t="s">
        <v>345</v>
      </c>
      <c r="D36" s="305" t="s">
        <v>346</v>
      </c>
      <c r="E36" s="306" t="s">
        <v>347</v>
      </c>
      <c r="F36" s="311"/>
      <c r="G36" s="311"/>
      <c r="H36" s="311"/>
      <c r="I36" s="311"/>
      <c r="J36" s="2014"/>
      <c r="K36" s="3319"/>
      <c r="L36" s="3319"/>
      <c r="M36" s="1262" t="s">
        <v>355</v>
      </c>
      <c r="N36" s="3319"/>
      <c r="O36" s="3319"/>
      <c r="P36" s="2012"/>
      <c r="V36" s="2012"/>
    </row>
    <row r="37" spans="1:26" ht="16.5" customHeight="1" thickBot="1">
      <c r="A37" s="1256" t="s">
        <v>348</v>
      </c>
      <c r="B37" s="307"/>
      <c r="C37" s="294"/>
      <c r="D37" s="294"/>
      <c r="E37" s="295"/>
      <c r="F37" s="311"/>
      <c r="G37" s="311"/>
      <c r="H37" s="311"/>
      <c r="I37" s="311"/>
      <c r="J37" s="2014"/>
      <c r="K37" s="3320"/>
      <c r="L37" s="3320"/>
      <c r="M37" s="1263"/>
      <c r="N37" s="3320"/>
      <c r="O37" s="3320"/>
      <c r="P37" s="2012"/>
      <c r="V37" s="2012"/>
    </row>
    <row r="38" spans="1:26" ht="16.5" customHeight="1" thickBot="1">
      <c r="A38" s="1256" t="s">
        <v>349</v>
      </c>
      <c r="B38" s="307"/>
      <c r="C38" s="294"/>
      <c r="D38" s="294"/>
      <c r="E38" s="295"/>
      <c r="F38" s="311"/>
      <c r="G38" s="311"/>
      <c r="H38" s="311"/>
      <c r="I38" s="311"/>
      <c r="J38" s="2014"/>
      <c r="K38" s="1264">
        <f>'数据-汇总表'!D3</f>
        <v>53313</v>
      </c>
      <c r="L38" s="1265">
        <f>'数据-汇总表'!E3</f>
        <v>302059</v>
      </c>
      <c r="M38" s="1265">
        <f ca="1">C34</f>
        <v>19470</v>
      </c>
      <c r="N38" s="1265">
        <f ca="1">C33</f>
        <v>3436</v>
      </c>
      <c r="O38" s="1266">
        <f ca="1">C32</f>
        <v>103798</v>
      </c>
      <c r="P38" s="2012"/>
      <c r="V38" s="2012"/>
    </row>
    <row r="39" spans="1:26" ht="16.5" customHeight="1" thickBot="1">
      <c r="A39" s="1261"/>
      <c r="B39" s="308"/>
      <c r="C39" s="309"/>
      <c r="D39" s="309"/>
      <c r="E39" s="310"/>
      <c r="F39" s="311"/>
      <c r="G39" s="311"/>
      <c r="H39" s="311"/>
      <c r="I39" s="311"/>
      <c r="J39" s="2014"/>
      <c r="K39" s="3363" t="str">
        <f>MID(A44,3,LEN(A44)-2)</f>
        <v>抵押价格</v>
      </c>
      <c r="L39" s="3364"/>
      <c r="M39" s="3364"/>
      <c r="N39" s="3365"/>
      <c r="O39" s="1387">
        <f ca="1">C44</f>
        <v>103798</v>
      </c>
      <c r="P39" s="2012"/>
      <c r="V39" s="2012"/>
    </row>
    <row r="40" spans="1:26" ht="18" thickBot="1">
      <c r="A40" s="104" t="s">
        <v>873</v>
      </c>
      <c r="B40" s="311"/>
      <c r="C40" s="311"/>
      <c r="D40" s="311"/>
      <c r="E40" s="311"/>
      <c r="F40" s="311"/>
      <c r="G40" s="311"/>
      <c r="H40" s="311"/>
      <c r="I40" s="311"/>
      <c r="J40" s="2014"/>
      <c r="K40" s="3363" t="str">
        <f t="shared" ref="K40:K41" si="0">MID(A45,3,LEN(A45)-2)</f>
        <v/>
      </c>
      <c r="L40" s="3364"/>
      <c r="M40" s="3364"/>
      <c r="N40" s="3365"/>
      <c r="O40" s="1387" t="str">
        <f>C45</f>
        <v>——</v>
      </c>
      <c r="P40" s="2012"/>
      <c r="V40" s="2012"/>
    </row>
    <row r="41" spans="1:26" ht="16.2" thickBot="1">
      <c r="A41" s="312" t="s">
        <v>356</v>
      </c>
      <c r="B41" s="313"/>
      <c r="C41" s="314" t="s">
        <v>357</v>
      </c>
      <c r="D41" s="315" t="s">
        <v>358</v>
      </c>
      <c r="E41" s="315" t="s">
        <v>359</v>
      </c>
      <c r="F41" s="316" t="s">
        <v>360</v>
      </c>
      <c r="G41" s="311"/>
      <c r="H41" s="311"/>
      <c r="I41" s="311"/>
      <c r="J41" s="2014"/>
      <c r="K41" s="3363" t="str">
        <f t="shared" si="0"/>
        <v/>
      </c>
      <c r="L41" s="3364"/>
      <c r="M41" s="3364"/>
      <c r="N41" s="3365"/>
      <c r="O41" s="1387" t="str">
        <f>C46</f>
        <v>——</v>
      </c>
      <c r="P41" s="2012"/>
      <c r="V41" s="2012"/>
    </row>
    <row r="42" spans="1:26" ht="31.2">
      <c r="A42" s="3305" t="s">
        <v>2065</v>
      </c>
      <c r="B42" s="3306"/>
      <c r="C42" s="264">
        <f ca="1">C32</f>
        <v>103798</v>
      </c>
      <c r="D42" s="317">
        <f ca="1">C33</f>
        <v>3436</v>
      </c>
      <c r="E42" s="317">
        <f ca="1">C34</f>
        <v>19470</v>
      </c>
      <c r="F42" s="318">
        <f ca="1">C35</f>
        <v>1298</v>
      </c>
      <c r="G42" s="311"/>
      <c r="H42" s="311"/>
      <c r="I42" s="319"/>
      <c r="J42" s="2014"/>
      <c r="K42" s="1267" t="s">
        <v>361</v>
      </c>
      <c r="L42" s="2031" t="s">
        <v>362</v>
      </c>
      <c r="M42" s="1268" t="s">
        <v>363</v>
      </c>
      <c r="N42" s="2032" t="s">
        <v>364</v>
      </c>
      <c r="O42" s="2033" t="s">
        <v>365</v>
      </c>
      <c r="P42" s="2012"/>
      <c r="V42" s="2012"/>
    </row>
    <row r="43" spans="1:26" ht="30">
      <c r="A43" s="3316" t="s">
        <v>2727</v>
      </c>
      <c r="B43" s="3317"/>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104057</v>
      </c>
      <c r="M43" s="1271">
        <f>C18</f>
        <v>0.5</v>
      </c>
      <c r="N43" s="1272">
        <f ca="1">IF(N42="测算结果/万元",G19,G20)</f>
        <v>103798</v>
      </c>
      <c r="O43" s="1273">
        <f ca="1">IF(O42="最终结果/万元",C32,C33)</f>
        <v>103798</v>
      </c>
      <c r="P43" s="2012"/>
      <c r="V43" s="2012"/>
    </row>
    <row r="44" spans="1:26" ht="30.6" thickBot="1">
      <c r="A44" s="3305" t="str">
        <f>IF(OR(项目基本情况!E8="抵押价格",项目基本情况!E8="已注销及未注销"),"3.抵押价格","——")</f>
        <v>3.抵押价格</v>
      </c>
      <c r="B44" s="3306"/>
      <c r="C44" s="264">
        <f ca="1">IF(A44="——","——",C42-C43)</f>
        <v>103798</v>
      </c>
      <c r="D44" s="317">
        <f ca="1">ROUND(C44*10000/'数据-汇总表'!E3,0)</f>
        <v>3436</v>
      </c>
      <c r="E44" s="317">
        <f ca="1">ROUND(C44*10000/'数据-汇总表'!D3,0)</f>
        <v>19470</v>
      </c>
      <c r="F44" s="318">
        <f ca="1">ROUND(C44/('数据-汇总表'!D3/666.67),0)</f>
        <v>1298</v>
      </c>
      <c r="G44" s="311"/>
      <c r="H44" s="311"/>
      <c r="I44" s="319"/>
      <c r="J44" s="2014"/>
      <c r="K44" s="1274" t="str">
        <f>D4</f>
        <v>剩余法-待开发</v>
      </c>
      <c r="L44" s="1275">
        <f ca="1">IF(L42="估价结果/万元",D19,D20)</f>
        <v>103538</v>
      </c>
      <c r="M44" s="1276">
        <f>D18</f>
        <v>0.5</v>
      </c>
      <c r="N44" s="1277"/>
      <c r="O44" s="1278"/>
      <c r="P44" s="2012"/>
      <c r="V44" s="2012"/>
    </row>
    <row r="45" spans="1:26" ht="13.8">
      <c r="A45" s="3311" t="str">
        <f>IF(项目基本情况!E8="已注销及未注销","4.抵押担保权已注销时的抵押价格",IF(项目基本情况!E8="已注销","3.抵押担保权已注销时的抵押价格","——"))</f>
        <v>——</v>
      </c>
      <c r="B45" s="331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7" t="str">
        <f>IF(项目基本情况!E9="抵押净值",IF(A45="——","4.抵押净值","5.抵押净值"),"——")</f>
        <v>——</v>
      </c>
      <c r="B46" s="3308"/>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2" t="s">
        <v>374</v>
      </c>
      <c r="B63" s="3353"/>
      <c r="C63" s="3354"/>
      <c r="D63" s="341">
        <f ca="1">ROUND(C42*F63,0)</f>
        <v>62279</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3" t="s">
        <v>378</v>
      </c>
      <c r="B64" s="3314"/>
      <c r="C64" s="3314"/>
      <c r="D64" s="3314"/>
      <c r="E64" s="3314"/>
      <c r="F64" s="3314"/>
      <c r="G64" s="3315"/>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09" t="s">
        <v>386</v>
      </c>
      <c r="B66" s="3310"/>
      <c r="C66" s="3310"/>
      <c r="D66" s="261">
        <f ca="1">IF(H66="情况1",0,IF(H66="情况2",D70,IF(H66="情况3",D71,IF(H66="情况4",D72))))</f>
        <v>3322</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67" t="s">
        <v>385</v>
      </c>
      <c r="M66" s="3368"/>
      <c r="N66" s="2421"/>
      <c r="O66" s="2422"/>
      <c r="P66" s="2423"/>
      <c r="Q66" s="2012"/>
      <c r="R66" s="2012"/>
      <c r="S66" s="2012"/>
      <c r="T66" s="2012"/>
      <c r="U66" s="2012"/>
      <c r="V66" s="2012"/>
    </row>
    <row r="67" spans="1:22" ht="25.5" customHeight="1">
      <c r="A67" s="352" t="s">
        <v>390</v>
      </c>
      <c r="B67" s="3300" t="s">
        <v>391</v>
      </c>
      <c r="C67" s="3300"/>
      <c r="D67" s="353">
        <v>0</v>
      </c>
      <c r="E67" s="41" t="s">
        <v>392</v>
      </c>
      <c r="F67" s="62" t="s">
        <v>21</v>
      </c>
      <c r="G67" s="3355"/>
      <c r="H67" s="311"/>
      <c r="I67" s="1288"/>
      <c r="J67" s="2019"/>
      <c r="K67" s="1960">
        <v>2</v>
      </c>
      <c r="L67" s="3366" t="s">
        <v>389</v>
      </c>
      <c r="M67" s="3366"/>
      <c r="N67" s="1321">
        <f>'数据-取费表'!B2</f>
        <v>43969</v>
      </c>
      <c r="O67" s="1321"/>
      <c r="P67" s="1321"/>
      <c r="Q67" s="2012"/>
      <c r="R67" s="2012"/>
      <c r="S67" s="2012"/>
      <c r="T67" s="2012"/>
      <c r="U67" s="2012"/>
      <c r="V67" s="2012"/>
    </row>
    <row r="68" spans="1:22" ht="25.5" customHeight="1">
      <c r="A68" s="354"/>
      <c r="B68" s="3300" t="s">
        <v>394</v>
      </c>
      <c r="C68" s="3300"/>
      <c r="D68" s="355"/>
      <c r="E68" s="77"/>
      <c r="F68" s="356"/>
      <c r="G68" s="3356"/>
      <c r="H68" s="311"/>
      <c r="I68" s="1288"/>
      <c r="J68" s="2019"/>
      <c r="K68" s="1960">
        <v>3</v>
      </c>
      <c r="L68" s="3366" t="s">
        <v>393</v>
      </c>
      <c r="M68" s="3366"/>
      <c r="N68" s="1289">
        <f ca="1">C42</f>
        <v>103798</v>
      </c>
      <c r="O68" s="1289"/>
      <c r="P68" s="1289"/>
      <c r="Q68" s="2012"/>
      <c r="R68" s="2012"/>
      <c r="S68" s="2012"/>
      <c r="T68" s="2012"/>
      <c r="U68" s="2012"/>
      <c r="V68" s="2012"/>
    </row>
    <row r="69" spans="1:22" ht="12" customHeight="1">
      <c r="A69" s="357"/>
      <c r="B69" s="3300" t="s">
        <v>395</v>
      </c>
      <c r="C69" s="3300"/>
      <c r="D69" s="358"/>
      <c r="E69" s="73"/>
      <c r="F69" s="356"/>
      <c r="G69" s="3357"/>
      <c r="H69" s="311"/>
      <c r="I69" s="1288"/>
      <c r="J69" s="2019"/>
      <c r="K69" s="1290">
        <v>4</v>
      </c>
      <c r="L69" s="3371" t="s">
        <v>2880</v>
      </c>
      <c r="M69" s="3372"/>
      <c r="N69" s="1291">
        <f ca="1">C44</f>
        <v>103798</v>
      </c>
      <c r="O69" s="1291"/>
      <c r="P69" s="1291"/>
      <c r="Q69" s="2012"/>
      <c r="R69" s="2012"/>
      <c r="S69" s="2012"/>
      <c r="T69" s="2012"/>
      <c r="U69" s="2012"/>
      <c r="V69" s="2012"/>
    </row>
    <row r="70" spans="1:22" ht="24" customHeight="1">
      <c r="A70" s="359" t="s">
        <v>396</v>
      </c>
      <c r="B70" s="3300" t="s">
        <v>397</v>
      </c>
      <c r="C70" s="3300"/>
      <c r="D70" s="358">
        <f ca="1">ROUND(D63*'数据-取费表'!B41/(1+'数据-取费表'!C42),0)</f>
        <v>3322</v>
      </c>
      <c r="E70" s="17" t="s">
        <v>398</v>
      </c>
      <c r="F70" s="360">
        <f>'数据-取费表'!B41</f>
        <v>5.6000000000000001E-2</v>
      </c>
      <c r="G70" s="361"/>
      <c r="H70" s="311"/>
      <c r="I70" s="1288"/>
      <c r="J70" s="2019"/>
      <c r="K70" s="3008"/>
      <c r="L70" s="3009"/>
      <c r="M70" s="3009"/>
      <c r="N70" s="3010" t="s">
        <v>2885</v>
      </c>
      <c r="O70" s="3009"/>
      <c r="P70" s="3011"/>
      <c r="Q70" s="2012"/>
      <c r="R70" s="2012"/>
      <c r="S70" s="2012"/>
      <c r="T70" s="2012"/>
      <c r="U70" s="2012"/>
      <c r="V70" s="2012"/>
    </row>
    <row r="71" spans="1:22" ht="12" customHeight="1">
      <c r="A71" s="359" t="s">
        <v>404</v>
      </c>
      <c r="B71" s="3301" t="s">
        <v>405</v>
      </c>
      <c r="C71" s="3302"/>
      <c r="D71" s="358">
        <f ca="1">ROUND(D63*'数据-取费表'!B41/(1+'数据-取费表'!C42),0)</f>
        <v>3322</v>
      </c>
      <c r="E71" s="17" t="s">
        <v>398</v>
      </c>
      <c r="F71" s="360">
        <f>'数据-取费表'!B41</f>
        <v>5.6000000000000001E-2</v>
      </c>
      <c r="G71" s="361"/>
      <c r="H71" s="311"/>
      <c r="I71" s="1288"/>
      <c r="J71" s="2019"/>
      <c r="K71" s="3007" t="s">
        <v>399</v>
      </c>
      <c r="L71" s="3373" t="s">
        <v>400</v>
      </c>
      <c r="M71" s="3373"/>
      <c r="N71" s="3007" t="s">
        <v>401</v>
      </c>
      <c r="O71" s="3007" t="s">
        <v>402</v>
      </c>
      <c r="P71" s="3007" t="s">
        <v>403</v>
      </c>
      <c r="Q71" s="2012"/>
      <c r="R71" s="2012"/>
      <c r="S71" s="2012"/>
      <c r="T71" s="2012"/>
      <c r="U71" s="2012"/>
      <c r="V71" s="2012"/>
    </row>
    <row r="72" spans="1:22" ht="12" customHeight="1">
      <c r="A72" s="359" t="s">
        <v>407</v>
      </c>
      <c r="B72" s="3301" t="s">
        <v>408</v>
      </c>
      <c r="C72" s="3302"/>
      <c r="D72" s="358">
        <f ca="1">C86</f>
        <v>3210</v>
      </c>
      <c r="E72" s="73" t="s">
        <v>409</v>
      </c>
      <c r="F72" s="360">
        <f>'数据-取费表'!B41</f>
        <v>5.6000000000000001E-2</v>
      </c>
      <c r="G72" s="361"/>
      <c r="H72" s="1294"/>
      <c r="I72" s="1288"/>
      <c r="J72" s="2019"/>
      <c r="K72" s="1960">
        <v>1</v>
      </c>
      <c r="L72" s="3348" t="s">
        <v>406</v>
      </c>
      <c r="M72" s="3348"/>
      <c r="N72" s="1292">
        <f ca="1">D66</f>
        <v>3322</v>
      </c>
      <c r="O72" s="1843" t="str">
        <f>E66</f>
        <v>销售额×税（费）率</v>
      </c>
      <c r="P72" s="1293">
        <f>F66</f>
        <v>5.6000000000000001E-2</v>
      </c>
      <c r="Q72" s="2012"/>
      <c r="R72" s="2012"/>
      <c r="S72" s="2012"/>
      <c r="T72" s="2012"/>
      <c r="U72" s="2012"/>
      <c r="V72" s="2012"/>
    </row>
    <row r="73" spans="1:22" ht="24" customHeight="1">
      <c r="A73" s="3342" t="s">
        <v>411</v>
      </c>
      <c r="B73" s="3310"/>
      <c r="C73" s="3310"/>
      <c r="D73" s="362">
        <f>IF(H73="个人住宅",0,ROUND(D63*I73,0))</f>
        <v>0</v>
      </c>
      <c r="E73" s="17" t="s">
        <v>412</v>
      </c>
      <c r="F73" s="360" t="str">
        <f>IF(H73="正常",I73,"免征")</f>
        <v>免征</v>
      </c>
      <c r="G73" s="361"/>
      <c r="H73" s="191" t="s">
        <v>2453</v>
      </c>
      <c r="I73" s="360">
        <f>'数据-取费表'!B49</f>
        <v>5.0000000000000001E-4</v>
      </c>
      <c r="J73" s="2019"/>
      <c r="K73" s="1960">
        <v>2</v>
      </c>
      <c r="L73" s="3348" t="s">
        <v>410</v>
      </c>
      <c r="M73" s="3348"/>
      <c r="N73" s="1292">
        <f t="shared" ref="N73:P74" si="1">D73</f>
        <v>0</v>
      </c>
      <c r="O73" s="1843" t="str">
        <f t="shared" si="1"/>
        <v>销售额×税（费）率</v>
      </c>
      <c r="P73" s="1293" t="str">
        <f t="shared" si="1"/>
        <v>免征</v>
      </c>
      <c r="Q73" s="2012"/>
      <c r="R73" s="2012"/>
      <c r="S73" s="2012"/>
      <c r="T73" s="2012"/>
      <c r="U73" s="2012"/>
      <c r="V73" s="2012"/>
    </row>
    <row r="74" spans="1:22" ht="25.2">
      <c r="A74" s="3342" t="s">
        <v>415</v>
      </c>
      <c r="B74" s="3310"/>
      <c r="C74" s="3310"/>
      <c r="D74" s="362">
        <f ca="1">IF(H74="个人住宅",D75,D76)</f>
        <v>34589</v>
      </c>
      <c r="E74" s="17" t="s">
        <v>416</v>
      </c>
      <c r="F74" s="360" t="str">
        <f>IF(H74="正常",F76,"免征")</f>
        <v>——</v>
      </c>
      <c r="G74" s="983" t="s">
        <v>417</v>
      </c>
      <c r="H74" s="363" t="s">
        <v>413</v>
      </c>
      <c r="I74" s="42"/>
      <c r="J74" s="2019"/>
      <c r="K74" s="1960">
        <v>3</v>
      </c>
      <c r="L74" s="3348" t="s">
        <v>414</v>
      </c>
      <c r="M74" s="3348"/>
      <c r="N74" s="1292">
        <f t="shared" ca="1" si="1"/>
        <v>34589</v>
      </c>
      <c r="O74" s="1843" t="str">
        <f t="shared" si="1"/>
        <v>增值额×税（费）率</v>
      </c>
      <c r="P74" s="1295" t="str">
        <f t="shared" si="1"/>
        <v>——</v>
      </c>
      <c r="Q74" s="2012"/>
      <c r="R74" s="2012"/>
      <c r="S74" s="2012"/>
      <c r="T74" s="2012"/>
      <c r="U74" s="2012"/>
      <c r="V74" s="2012"/>
    </row>
    <row r="75" spans="1:22" ht="24">
      <c r="A75" s="359" t="s">
        <v>418</v>
      </c>
      <c r="B75" s="3298" t="s">
        <v>419</v>
      </c>
      <c r="C75" s="3328"/>
      <c r="D75" s="364">
        <v>0</v>
      </c>
      <c r="E75" s="41" t="s">
        <v>420</v>
      </c>
      <c r="F75" s="365"/>
      <c r="G75" s="361"/>
      <c r="H75" s="42"/>
      <c r="I75" s="42"/>
      <c r="J75" s="2019"/>
      <c r="K75" s="3000">
        <f>IF(H77="非个人房产","",4)</f>
        <v>4</v>
      </c>
      <c r="L75" s="3348" t="str">
        <f>IF(H77="非个人房产","——","个人所得税")</f>
        <v>个人所得税</v>
      </c>
      <c r="M75" s="3348"/>
      <c r="N75" s="1296">
        <f ca="1">D77</f>
        <v>623</v>
      </c>
      <c r="O75" s="1856" t="str">
        <f>E77</f>
        <v>销售额×税（费）率</v>
      </c>
      <c r="P75" s="1297">
        <f>F77</f>
        <v>0.01</v>
      </c>
      <c r="Q75" s="2012"/>
      <c r="R75" s="2012"/>
      <c r="S75" s="2012"/>
      <c r="T75" s="2012"/>
      <c r="U75" s="2012"/>
      <c r="V75" s="2012"/>
    </row>
    <row r="76" spans="1:22" ht="25.2">
      <c r="A76" s="359" t="s">
        <v>396</v>
      </c>
      <c r="B76" s="3298" t="s">
        <v>422</v>
      </c>
      <c r="C76" s="3299"/>
      <c r="D76" s="362">
        <f ca="1">IF(H76="转让取得",C99,C115)</f>
        <v>34589</v>
      </c>
      <c r="E76" s="17" t="s">
        <v>423</v>
      </c>
      <c r="F76" s="53" t="s">
        <v>21</v>
      </c>
      <c r="G76" s="361"/>
      <c r="H76" s="363" t="s">
        <v>424</v>
      </c>
      <c r="I76" s="42"/>
      <c r="J76" s="2019"/>
      <c r="K76" s="3000" t="str">
        <f>IF(项目基本情况!K6="上海银行",IF(K75="",4,K75+1),"")</f>
        <v/>
      </c>
      <c r="L76" s="3359" t="str">
        <f>IF(项目基本情况!K6="上海银行","其他处置费用","")</f>
        <v/>
      </c>
      <c r="M76" s="3360"/>
      <c r="N76" s="1292" t="str">
        <f>IF(项目基本情况!K6="上海银行",N89,"")</f>
        <v/>
      </c>
      <c r="O76" s="3361" t="str">
        <f>IF(项目基本情况!K6="上海银行","包含处置中涉及的律师、诉讼、拍卖、评估等费用","")</f>
        <v/>
      </c>
      <c r="P76" s="3362"/>
      <c r="Q76" s="2012"/>
      <c r="R76" s="2012"/>
      <c r="S76" s="2012"/>
      <c r="T76" s="2012"/>
      <c r="U76" s="2012"/>
      <c r="V76" s="2012"/>
    </row>
    <row r="77" spans="1:22" ht="27" thickBot="1">
      <c r="A77" s="3350" t="s">
        <v>426</v>
      </c>
      <c r="B77" s="3351"/>
      <c r="C77" s="3351"/>
      <c r="D77" s="366">
        <f ca="1">IF(H77="非个人房产","——",IF(H77="个人住宅",0,ROUND(D63*I77,0)))</f>
        <v>623</v>
      </c>
      <c r="E77" s="367" t="str">
        <f>IF(H77="非个人房产","——","销售额×税（费）率")</f>
        <v>销售额×税（费）率</v>
      </c>
      <c r="F77" s="368">
        <f>IF(H77="非个人房产","——",IF(H77="个人住宅","免征",I77))</f>
        <v>0.01</v>
      </c>
      <c r="G77" s="984" t="s">
        <v>417</v>
      </c>
      <c r="H77" s="363" t="s">
        <v>2881</v>
      </c>
      <c r="I77" s="369">
        <v>0.01</v>
      </c>
      <c r="J77" s="2019"/>
      <c r="K77" s="3349">
        <f>IF(AND(K75="",K76=""),4,IF(项目基本情况!K6="上海银行",K76+1,K75+1))</f>
        <v>5</v>
      </c>
      <c r="L77" s="3348" t="s">
        <v>2882</v>
      </c>
      <c r="M77" s="3006" t="s">
        <v>421</v>
      </c>
      <c r="N77" s="1298"/>
      <c r="O77" s="1299">
        <f ca="1">SUMIF(N72:N76,"&lt;9e307")</f>
        <v>38534</v>
      </c>
      <c r="P77" s="1300"/>
      <c r="Q77" s="3004">
        <f ca="1">O77/N69</f>
        <v>0.37124029364727645</v>
      </c>
      <c r="R77" s="2012"/>
      <c r="S77" s="2012"/>
      <c r="T77" s="2012"/>
      <c r="U77" s="2012"/>
      <c r="V77" s="2012"/>
    </row>
    <row r="78" spans="1:22" ht="12" customHeight="1">
      <c r="A78" s="1301"/>
      <c r="B78" s="311"/>
      <c r="C78" s="311"/>
      <c r="D78" s="311"/>
      <c r="E78" s="42"/>
      <c r="F78" s="42"/>
      <c r="G78" s="42"/>
      <c r="H78" s="1003"/>
      <c r="I78" s="311"/>
      <c r="J78" s="2019"/>
      <c r="K78" s="3349"/>
      <c r="L78" s="3348"/>
      <c r="M78" s="3006" t="s">
        <v>425</v>
      </c>
      <c r="N78" s="1298"/>
      <c r="O78" s="1299" t="str">
        <f ca="1">NUMBERSTRING(INT(O77*10000),2)&amp;"元整"</f>
        <v>叁亿捌仟伍佰叁拾肆万元整</v>
      </c>
      <c r="P78" s="1300"/>
      <c r="Q78" s="2012"/>
      <c r="R78" s="2012"/>
      <c r="S78" s="2012"/>
      <c r="T78" s="2012"/>
      <c r="U78" s="2012"/>
      <c r="V78" s="2012"/>
    </row>
    <row r="79" spans="1:22" ht="13.8" thickBot="1">
      <c r="A79" s="3343" t="s">
        <v>427</v>
      </c>
      <c r="B79" s="3343"/>
      <c r="C79" s="3343"/>
      <c r="D79" s="3343"/>
      <c r="E79" s="3343"/>
      <c r="F79" s="42"/>
      <c r="G79" s="42"/>
      <c r="H79" s="1003"/>
      <c r="I79" s="311"/>
      <c r="J79" s="2019"/>
      <c r="K79" s="3369">
        <f>K77+1</f>
        <v>6</v>
      </c>
      <c r="L79" s="3348" t="s">
        <v>2883</v>
      </c>
      <c r="M79" s="3006" t="s">
        <v>421</v>
      </c>
      <c r="N79" s="1298"/>
      <c r="O79" s="1299">
        <f ca="1">N69-O77</f>
        <v>65264</v>
      </c>
      <c r="P79" s="1300"/>
      <c r="Q79" s="2012"/>
      <c r="R79" s="2012"/>
      <c r="S79" s="2012"/>
      <c r="T79" s="2012"/>
      <c r="U79" s="2012"/>
      <c r="V79" s="2012"/>
    </row>
    <row r="80" spans="1:22" ht="26.4">
      <c r="A80" s="3338" t="s">
        <v>428</v>
      </c>
      <c r="B80" s="3339"/>
      <c r="C80" s="994"/>
      <c r="D80" s="994" t="s">
        <v>429</v>
      </c>
      <c r="E80" s="370" t="s">
        <v>430</v>
      </c>
      <c r="F80" s="42"/>
      <c r="G80" s="42"/>
      <c r="H80" s="1003"/>
      <c r="I80" s="311"/>
      <c r="J80" s="2012"/>
      <c r="K80" s="3370"/>
      <c r="L80" s="3348"/>
      <c r="M80" s="3006" t="s">
        <v>425</v>
      </c>
      <c r="N80" s="1298"/>
      <c r="O80" s="1299" t="str">
        <f ca="1">NUMBERSTRING(INT(O79*10000),2)&amp;"元整"</f>
        <v>陆亿伍仟贰佰陆拾肆万元整</v>
      </c>
      <c r="P80" s="1300"/>
      <c r="Q80" s="2012"/>
      <c r="R80" s="2012"/>
      <c r="S80" s="2012"/>
      <c r="T80" s="2012"/>
      <c r="U80" s="2012"/>
      <c r="V80" s="2012"/>
    </row>
    <row r="81" spans="1:26" ht="13.8" thickBot="1">
      <c r="A81" s="381" t="s">
        <v>1823</v>
      </c>
      <c r="B81" s="371" t="s">
        <v>431</v>
      </c>
      <c r="C81" s="372">
        <f ca="1">ROUND((C82+C83)/(1+'数据-取费表'!C42),0)</f>
        <v>59313</v>
      </c>
      <c r="D81" s="373"/>
      <c r="E81" s="374"/>
      <c r="F81" s="42"/>
      <c r="G81" s="42"/>
      <c r="H81" s="1003"/>
      <c r="I81" s="311"/>
      <c r="J81" s="2012"/>
      <c r="K81" s="3000">
        <f>K79+1</f>
        <v>7</v>
      </c>
      <c r="L81" s="3346" t="s">
        <v>2884</v>
      </c>
      <c r="M81" s="3347"/>
      <c r="N81" s="1302"/>
      <c r="O81" s="1303">
        <f ca="1">ROUND(O79*10000/'数据-汇总表'!E3,0)</f>
        <v>2161</v>
      </c>
      <c r="P81" s="1304"/>
      <c r="Q81" s="2012"/>
      <c r="R81" s="2012"/>
      <c r="S81" s="2012"/>
      <c r="T81" s="2012"/>
      <c r="U81" s="2012"/>
      <c r="V81" s="2012"/>
    </row>
    <row r="82" spans="1:26" ht="13.8" thickTop="1">
      <c r="A82" s="375" t="s">
        <v>1824</v>
      </c>
      <c r="B82" s="376" t="s">
        <v>432</v>
      </c>
      <c r="C82" s="377">
        <f ca="1">D63</f>
        <v>62279</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3"/>
      <c r="I83" s="311"/>
      <c r="J83" s="2012"/>
      <c r="K83" s="3358" t="s">
        <v>2871</v>
      </c>
      <c r="L83" s="3012" t="s">
        <v>2872</v>
      </c>
      <c r="M83" s="3002">
        <f ca="1">IF(N69&gt;10000,N69*0.5%,IF(AND(N69&gt;1000,N69&lt;=10000),N69*1%,IF(AND(N69&gt;100,N69&lt;=1000),N69*3%,IF(AND(N69&gt;10,N69&lt;=100),N69*5%,N69*8%))))</f>
        <v>518.99</v>
      </c>
      <c r="N83" s="53">
        <f ca="1">ROUND(M83,1)</f>
        <v>519</v>
      </c>
      <c r="O83" s="3005"/>
      <c r="P83" s="2012"/>
      <c r="Q83" s="2012"/>
      <c r="R83" s="2012"/>
      <c r="S83" s="2012"/>
      <c r="T83" s="2012"/>
      <c r="U83" s="2012"/>
      <c r="V83" s="2012"/>
    </row>
    <row r="84" spans="1:26" ht="25.2">
      <c r="A84" s="381" t="s">
        <v>1826</v>
      </c>
      <c r="B84" s="382" t="s">
        <v>434</v>
      </c>
      <c r="C84" s="383">
        <v>2000</v>
      </c>
      <c r="D84" s="384" t="s">
        <v>19</v>
      </c>
      <c r="E84" s="3047" t="s">
        <v>2929</v>
      </c>
      <c r="F84" s="42"/>
      <c r="G84" s="42"/>
      <c r="H84" s="1003"/>
      <c r="I84" s="311"/>
      <c r="J84" s="2012"/>
      <c r="K84" s="3358"/>
      <c r="L84" s="3012" t="s">
        <v>2873</v>
      </c>
      <c r="M84" s="3002">
        <f ca="1">IF(N69&gt;2000,N69*0.5%,IF(AND(N69&gt;1000,N69&lt;=2000),N69*0.6%,IF(AND(N69&gt;500,N69&lt;=1000),N69*0.7%,IF(AND(N69&gt;200,N69&lt;=500),N69*0.8%,IF(AND(N69&gt;100,N69&lt;=200),N69*0.9%,IF(AND(N69&gt;50,N69&lt;=100),N69*1%,IF(AND(N69&gt;20,N69&lt;=50),N69*1.5%,IF(AND(N69&gt;10,N69&lt;=20),N69*2%,IF(AND(N69&gt;1,N69&lt;=10),N69*2.5%)))))))))</f>
        <v>518.99</v>
      </c>
      <c r="N84" s="53">
        <f t="shared" ref="N84:N85" ca="1" si="2">ROUND(M84,1)</f>
        <v>519</v>
      </c>
      <c r="O84" s="2012" t="s">
        <v>2874</v>
      </c>
      <c r="P84" s="2012"/>
      <c r="Q84" s="2012"/>
      <c r="R84" s="2012"/>
      <c r="S84" s="2012"/>
      <c r="T84" s="2012"/>
      <c r="U84" s="2012"/>
      <c r="V84" s="2012"/>
    </row>
    <row r="85" spans="1:26" ht="13.2">
      <c r="A85" s="381" t="s">
        <v>1827</v>
      </c>
      <c r="B85" s="382" t="s">
        <v>435</v>
      </c>
      <c r="C85" s="385">
        <f ca="1">C81-C84</f>
        <v>57313</v>
      </c>
      <c r="D85" s="378" t="s">
        <v>19</v>
      </c>
      <c r="E85" s="379"/>
      <c r="F85" s="42"/>
      <c r="G85" s="42"/>
      <c r="H85" s="1003"/>
      <c r="I85" s="311"/>
      <c r="J85" s="2012"/>
      <c r="K85" s="3358"/>
      <c r="L85" s="3012" t="s">
        <v>2875</v>
      </c>
      <c r="M85" s="3002">
        <f ca="1">IF(N69&gt;1000,N69*0.1%,IF(AND(N69&gt;500,N69&lt;=1000),N69*0.5%,IF(AND(N69&gt;50,N69&lt;=500),N69*1%,IF(AND(N69&gt;1,N69&lt;=50),N69*1.5%))))</f>
        <v>103.798</v>
      </c>
      <c r="N85" s="53">
        <f t="shared" ca="1" si="2"/>
        <v>103.8</v>
      </c>
      <c r="O85" s="2012" t="s">
        <v>2874</v>
      </c>
      <c r="P85" s="2012"/>
      <c r="Q85" s="2012"/>
      <c r="R85" s="2012"/>
      <c r="S85" s="2012"/>
      <c r="T85" s="2012"/>
      <c r="U85" s="2012"/>
      <c r="V85" s="2012"/>
    </row>
    <row r="86" spans="1:26" ht="13.8" thickBot="1">
      <c r="A86" s="386" t="s">
        <v>1828</v>
      </c>
      <c r="B86" s="387" t="s">
        <v>436</v>
      </c>
      <c r="C86" s="388">
        <f ca="1">IF(C85&lt;=0,0,ROUND(C85*D86,0))</f>
        <v>3210</v>
      </c>
      <c r="D86" s="389">
        <f>'数据-取费表'!B41</f>
        <v>5.6000000000000001E-2</v>
      </c>
      <c r="E86" s="390"/>
      <c r="F86" s="42"/>
      <c r="G86" s="42"/>
      <c r="H86" s="1003"/>
      <c r="I86" s="311"/>
      <c r="J86" s="2012"/>
      <c r="K86" s="3358"/>
      <c r="L86" s="3012" t="s">
        <v>2876</v>
      </c>
      <c r="M86" s="3002">
        <f ca="1">N69*0.5%</f>
        <v>518.99</v>
      </c>
      <c r="N86" s="53">
        <f ca="1">IF(M86&gt;0.5,0.5,ROUND(M86,0))</f>
        <v>0.5</v>
      </c>
      <c r="O86" s="2012" t="s">
        <v>2877</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8"/>
      <c r="L87" s="3012" t="s">
        <v>2878</v>
      </c>
      <c r="M87" s="3002">
        <f ca="1">IF(N69&gt;=10000,(8.25+(N69-10000)*0.01%),IF(AND(N69&gt;=8000,N69&lt;10000),(7.85+(N69-8000)*0.02%),IF(AND(N69&gt;=5000,N69&lt;8000),(6.65+(N69-5000)*0.04%),IF(AND(N69&gt;=2000,N69&lt;5000),(4.25+(PN69-2000)*0.08%),IF(AND(N69&gt;=1000,N69&lt;2000),(2.75+(N69-1000)*0.15%),IF(AND(N69&gt;=100,N69&lt;1000),(0.5+(N69-100)*0.25%),IF(AND(N69&gt;0,N69&lt;100),N69*0.5%)))))))</f>
        <v>17.629800000000003</v>
      </c>
      <c r="N87" s="53">
        <f ca="1">ROUND(M87*0.9,1)</f>
        <v>15.9</v>
      </c>
      <c r="O87" s="3005"/>
      <c r="P87" s="311"/>
      <c r="Q87" s="2012"/>
      <c r="R87" s="2012"/>
      <c r="S87" s="2012"/>
      <c r="T87" s="2012"/>
      <c r="U87" s="2012"/>
      <c r="V87" s="2012"/>
      <c r="W87" s="292"/>
      <c r="X87" s="292"/>
      <c r="Y87" s="292"/>
      <c r="Z87" s="292"/>
    </row>
    <row r="88" spans="1:26" s="1310" customFormat="1" ht="14.4" thickBot="1">
      <c r="A88" s="3340" t="s">
        <v>437</v>
      </c>
      <c r="B88" s="3341"/>
      <c r="C88" s="3341"/>
      <c r="D88" s="3341"/>
      <c r="E88" s="3341"/>
      <c r="F88" s="3341"/>
      <c r="G88" s="3341"/>
      <c r="H88" s="3341"/>
      <c r="I88" s="1311"/>
      <c r="J88" s="2020"/>
      <c r="K88" s="3358"/>
      <c r="L88" s="3012" t="s">
        <v>2879</v>
      </c>
      <c r="M88" s="3002">
        <f ca="1">IF(N69&gt;10000,N69*0.5%,IF(AND(N69&gt;5000,N69&lt;=10000),N69*1%,IF(AND(N69&gt;1000,N69&lt;=5000),N69*2%,IF(AND(N69&gt;200,N69&lt;=1000),N69*3%,N69*5%))))</f>
        <v>518.99</v>
      </c>
      <c r="N88" s="53">
        <f ca="1">ROUND(M88,1)</f>
        <v>519</v>
      </c>
      <c r="O88" s="3005"/>
      <c r="P88" s="11"/>
      <c r="Q88" s="2017"/>
      <c r="R88" s="2017"/>
      <c r="S88" s="2017"/>
      <c r="T88" s="2017"/>
      <c r="U88" s="2017"/>
      <c r="V88" s="2017"/>
      <c r="W88" s="2021"/>
      <c r="X88" s="2021"/>
      <c r="Y88" s="2021"/>
      <c r="Z88" s="2021"/>
    </row>
    <row r="89" spans="1:26" s="1310" customFormat="1" ht="13.8">
      <c r="A89" s="3338" t="s">
        <v>428</v>
      </c>
      <c r="B89" s="3339"/>
      <c r="C89" s="994"/>
      <c r="D89" s="994" t="s">
        <v>429</v>
      </c>
      <c r="E89" s="391" t="s">
        <v>438</v>
      </c>
      <c r="F89" s="392"/>
      <c r="G89" s="392"/>
      <c r="H89" s="393"/>
      <c r="I89" s="1312"/>
      <c r="J89" s="2022"/>
      <c r="K89" s="3358"/>
      <c r="L89" s="3012" t="s">
        <v>27</v>
      </c>
      <c r="M89" s="3003"/>
      <c r="N89" s="53">
        <f ca="1">ROUND(SUM(N83:N88),0)</f>
        <v>1677</v>
      </c>
      <c r="O89" s="3013">
        <f ca="1">N89/N69</f>
        <v>1.615638066244051E-2</v>
      </c>
      <c r="P89" s="2017"/>
      <c r="Q89" s="2017"/>
      <c r="R89" s="2017"/>
      <c r="S89" s="2017"/>
      <c r="T89" s="2017"/>
      <c r="U89" s="2017"/>
      <c r="V89" s="2017"/>
      <c r="W89" s="2021"/>
      <c r="X89" s="2021"/>
      <c r="Y89" s="2021"/>
      <c r="Z89" s="2021"/>
    </row>
    <row r="90" spans="1:26" s="1310" customFormat="1" ht="13.8">
      <c r="A90" s="381" t="s">
        <v>1823</v>
      </c>
      <c r="B90" s="382" t="s">
        <v>439</v>
      </c>
      <c r="C90" s="385">
        <f ca="1">ROUND(D63/(1+'数据-取费表'!C42),0)</f>
        <v>59313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1829</v>
      </c>
      <c r="B91" s="348" t="s">
        <v>440</v>
      </c>
      <c r="C91" s="385">
        <f ca="1">C92+C96</f>
        <v>2937</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01" t="s">
        <v>447</v>
      </c>
      <c r="F94" s="3300"/>
      <c r="G94" s="3300"/>
      <c r="H94" s="3337"/>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356</v>
      </c>
      <c r="D96" s="406">
        <f>'数据-取费表'!B43</f>
        <v>6.000000000000001E-3</v>
      </c>
      <c r="E96" s="3329" t="s">
        <v>2426</v>
      </c>
      <c r="F96" s="3330"/>
      <c r="G96" s="3330"/>
      <c r="H96" s="3331"/>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1" t="s">
        <v>1835</v>
      </c>
      <c r="B97" s="382" t="s">
        <v>451</v>
      </c>
      <c r="C97" s="385">
        <f ca="1">C90-C91</f>
        <v>56376</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19.195097037793666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2" t="s">
        <v>1837</v>
      </c>
      <c r="B99" s="387" t="s">
        <v>453</v>
      </c>
      <c r="C99" s="408">
        <f ca="1">ROUND(IF(C97&lt;=0,0,IF(C98&gt;=200%,C97*60%-C91*35%,IF(C98&gt;=100%,C97*50%-C91*15%,IF(C98&gt;=50%,C97*40%-C91*5%,IF(C98&lt;50%,C97*30%,0))))),0)</f>
        <v>32798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0" t="s">
        <v>454</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38" t="s">
        <v>428</v>
      </c>
      <c r="B102" s="3339"/>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1823</v>
      </c>
      <c r="B103" s="382" t="s">
        <v>439</v>
      </c>
      <c r="C103" s="385">
        <f ca="1">ROUND(D63/(1+'数据-取费表'!C42),0)</f>
        <v>59313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1829</v>
      </c>
      <c r="B104" s="348" t="s">
        <v>440</v>
      </c>
      <c r="C104" s="385">
        <f ca="1">IF(H106="仅含出让金",C105+C108+C109+C110+C111+C112,C105+C109+C110+C111+C112)</f>
        <v>1051</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1830</v>
      </c>
      <c r="B105" s="376" t="s">
        <v>455</v>
      </c>
      <c r="C105" s="405">
        <f>C106+C107</f>
        <v>577</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1832</v>
      </c>
      <c r="B107" s="376" t="s">
        <v>448</v>
      </c>
      <c r="C107" s="405">
        <f>ROUND(C106*D107,0)</f>
        <v>22</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32" t="s">
        <v>462</v>
      </c>
      <c r="F109" s="3330"/>
      <c r="G109" s="3330"/>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32" t="s">
        <v>464</v>
      </c>
      <c r="F110" s="3330"/>
      <c r="G110" s="3330"/>
      <c r="H110" s="3331"/>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356</v>
      </c>
      <c r="D111" s="406">
        <f>'数据-取费表'!B43</f>
        <v>6.000000000000001E-3</v>
      </c>
      <c r="E111" s="3329" t="s">
        <v>2426</v>
      </c>
      <c r="F111" s="3330"/>
      <c r="G111" s="3330"/>
      <c r="H111" s="3331"/>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32" t="s">
        <v>2451</v>
      </c>
      <c r="F112" s="3330"/>
      <c r="G112" s="3330"/>
      <c r="H112" s="3331"/>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1" t="s">
        <v>1835</v>
      </c>
      <c r="B113" s="382" t="s">
        <v>451</v>
      </c>
      <c r="C113" s="385">
        <f ca="1">ROUND(C103-C104,0)</f>
        <v>58262</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55.434823977164605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2" t="s">
        <v>1837</v>
      </c>
      <c r="B115" s="387" t="s">
        <v>453</v>
      </c>
      <c r="C115" s="408">
        <f ca="1">ROUND(IF(C113&lt;=0,0,IF(C114&gt;=200%,C113*60%-C104*35%,IF(C114&gt;=100%,C113*50%-C104*15%,IF(C114&gt;=50%,C113*40%-C104*5%,IF(C114&lt;50%,C113*30%,0))))),0)</f>
        <v>34589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0" zoomScaleNormal="95" zoomScaleSheetLayoutView="80" workbookViewId="0">
      <selection activeCell="H141" sqref="H141"/>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104057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3445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19518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1301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83" t="s">
        <v>522</v>
      </c>
      <c r="D6" s="3384"/>
      <c r="E6" s="3383" t="s">
        <v>523</v>
      </c>
      <c r="F6" s="3384"/>
      <c r="G6" s="3383" t="s">
        <v>524</v>
      </c>
      <c r="H6" s="3384"/>
      <c r="I6" s="3383" t="s">
        <v>525</v>
      </c>
      <c r="J6" s="3384"/>
      <c r="K6" s="514" t="s">
        <v>526</v>
      </c>
      <c r="L6" s="2117"/>
      <c r="M6" s="2116"/>
      <c r="N6" s="2116"/>
      <c r="O6" s="2118"/>
      <c r="P6" s="3385" t="s">
        <v>527</v>
      </c>
      <c r="Q6" s="3386"/>
      <c r="R6" s="3391" t="s">
        <v>523</v>
      </c>
      <c r="S6" s="3392"/>
      <c r="T6" s="3391" t="s">
        <v>524</v>
      </c>
      <c r="U6" s="3392"/>
      <c r="V6" s="3378" t="s">
        <v>525</v>
      </c>
      <c r="W6" s="3378"/>
      <c r="X6" s="1552"/>
      <c r="Y6" s="3391" t="s">
        <v>527</v>
      </c>
      <c r="Z6" s="3392"/>
      <c r="AA6" s="3380" t="s">
        <v>523</v>
      </c>
      <c r="AB6" s="3381" t="s">
        <v>524</v>
      </c>
      <c r="AC6" s="3380" t="s">
        <v>525</v>
      </c>
    </row>
    <row r="7" spans="1:30" ht="39.75" customHeight="1" thickBot="1">
      <c r="A7" s="515"/>
      <c r="B7" s="516"/>
      <c r="C7" s="3401" t="s">
        <v>2918</v>
      </c>
      <c r="D7" s="3400"/>
      <c r="E7" s="3399" t="s">
        <v>3239</v>
      </c>
      <c r="F7" s="3400"/>
      <c r="G7" s="3399" t="s">
        <v>3247</v>
      </c>
      <c r="H7" s="3400"/>
      <c r="I7" s="3399" t="s">
        <v>3248</v>
      </c>
      <c r="J7" s="3400"/>
      <c r="K7" s="514"/>
      <c r="L7" s="2117"/>
      <c r="M7" s="2116"/>
      <c r="N7" s="2116"/>
      <c r="O7" s="2118"/>
      <c r="P7" s="3387"/>
      <c r="Q7" s="3388"/>
      <c r="R7" s="3393"/>
      <c r="S7" s="3394"/>
      <c r="T7" s="3393"/>
      <c r="U7" s="3394"/>
      <c r="V7" s="3378"/>
      <c r="W7" s="3378"/>
      <c r="X7" s="1552"/>
      <c r="Y7" s="3393"/>
      <c r="Z7" s="3394"/>
      <c r="AA7" s="3381"/>
      <c r="AB7" s="3381"/>
      <c r="AC7" s="3381"/>
    </row>
    <row r="8" spans="1:30" ht="21.6" hidden="1" thickBot="1">
      <c r="A8" s="515"/>
      <c r="B8" s="516"/>
      <c r="C8" s="3402"/>
      <c r="D8" s="3403"/>
      <c r="E8" s="3402"/>
      <c r="F8" s="3403"/>
      <c r="G8" s="3397"/>
      <c r="H8" s="3398"/>
      <c r="I8" s="3397"/>
      <c r="J8" s="3398"/>
      <c r="K8" s="514" t="s">
        <v>528</v>
      </c>
      <c r="L8" s="2117"/>
      <c r="M8" s="2116"/>
      <c r="N8" s="2116"/>
      <c r="O8" s="2118"/>
      <c r="P8" s="3389"/>
      <c r="Q8" s="3390"/>
      <c r="R8" s="3393"/>
      <c r="S8" s="3394"/>
      <c r="T8" s="3395"/>
      <c r="U8" s="3396"/>
      <c r="V8" s="3378"/>
      <c r="W8" s="3378"/>
      <c r="X8" s="1552"/>
      <c r="Y8" s="3395"/>
      <c r="Z8" s="3396"/>
      <c r="AA8" s="3382"/>
      <c r="AB8" s="3382"/>
      <c r="AC8" s="3382"/>
    </row>
    <row r="9" spans="1:30" s="1216" customFormat="1" ht="21.6" thickBot="1">
      <c r="A9" s="2866"/>
      <c r="B9" s="2873" t="s">
        <v>529</v>
      </c>
      <c r="C9" s="2865">
        <f>'数据-取费表'!B2</f>
        <v>43969</v>
      </c>
      <c r="D9" s="520">
        <v>100</v>
      </c>
      <c r="E9" s="521">
        <v>43328</v>
      </c>
      <c r="F9" s="522">
        <f>SUMIF(72:72,YEAR(E9)&amp;"-"&amp;INT((MONTH(E9)+2)/3),73:73)</f>
        <v>96.5</v>
      </c>
      <c r="G9" s="523">
        <v>43328</v>
      </c>
      <c r="H9" s="520">
        <f>SUMIF(72:72,YEAR(G9)&amp;"-"&amp;INT((MONTH(G9)+2)/3),73:73)</f>
        <v>96.5</v>
      </c>
      <c r="I9" s="523">
        <v>43328</v>
      </c>
      <c r="J9" s="520">
        <f>SUMIF(72:72,YEAR(I9)&amp;"-"&amp;INT((MONTH(I9)+2)/3),73:73)</f>
        <v>96.5</v>
      </c>
      <c r="K9" s="524"/>
      <c r="L9" s="2119"/>
      <c r="M9" s="2116"/>
      <c r="N9" s="2116"/>
      <c r="O9" s="2120"/>
      <c r="P9" s="3409" t="s">
        <v>530</v>
      </c>
      <c r="Q9" s="3411"/>
      <c r="R9" s="1553" t="s">
        <v>8</v>
      </c>
      <c r="S9" s="1554">
        <f t="shared" ref="S9:S17" si="0">F9</f>
        <v>96.5</v>
      </c>
      <c r="T9" s="1553" t="s">
        <v>8</v>
      </c>
      <c r="U9" s="1554">
        <f t="shared" ref="U9:U17" si="1">H9</f>
        <v>96.5</v>
      </c>
      <c r="V9" s="1553" t="s">
        <v>8</v>
      </c>
      <c r="W9" s="1554">
        <f t="shared" ref="W9:W17" si="2">J9</f>
        <v>96.5</v>
      </c>
      <c r="X9" s="1555"/>
      <c r="Y9" s="3409" t="s">
        <v>530</v>
      </c>
      <c r="Z9" s="3410"/>
      <c r="AA9" s="1556">
        <f>D9/F9</f>
        <v>1.0362694300518134</v>
      </c>
      <c r="AB9" s="1556">
        <f>D9/H9</f>
        <v>1.0362694300518134</v>
      </c>
      <c r="AC9" s="1556">
        <f>D9/J9</f>
        <v>1.0362694300518134</v>
      </c>
    </row>
    <row r="10" spans="1:30" s="1216"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09" t="s">
        <v>533</v>
      </c>
      <c r="Q10" s="3410"/>
      <c r="R10" s="1553" t="s">
        <v>8</v>
      </c>
      <c r="S10" s="1554">
        <f t="shared" si="0"/>
        <v>100</v>
      </c>
      <c r="T10" s="1553" t="s">
        <v>8</v>
      </c>
      <c r="U10" s="1554">
        <f t="shared" si="1"/>
        <v>100</v>
      </c>
      <c r="V10" s="1553" t="s">
        <v>8</v>
      </c>
      <c r="W10" s="1554">
        <f t="shared" si="2"/>
        <v>100</v>
      </c>
      <c r="X10" s="1555"/>
      <c r="Y10" s="3409" t="s">
        <v>533</v>
      </c>
      <c r="Z10" s="3410"/>
      <c r="AA10" s="1556">
        <f t="shared" ref="AA10:AA47" si="3">D10/F10</f>
        <v>1</v>
      </c>
      <c r="AB10" s="1556">
        <f t="shared" ref="AB10:AB47" si="4">D10/H10</f>
        <v>1</v>
      </c>
      <c r="AC10" s="1556">
        <f t="shared" ref="AC10:AC47" si="5">D10/J10</f>
        <v>1</v>
      </c>
    </row>
    <row r="11" spans="1:30" s="1216" customFormat="1" ht="21">
      <c r="A11" s="2868"/>
      <c r="B11" s="2875" t="s">
        <v>2753</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77" t="s">
        <v>535</v>
      </c>
      <c r="Q11" s="1147" t="str">
        <f t="shared" ref="Q11:Q17" si="6">B11</f>
        <v>用途</v>
      </c>
      <c r="R11" s="1553" t="s">
        <v>8</v>
      </c>
      <c r="S11" s="1554">
        <f t="shared" si="0"/>
        <v>100</v>
      </c>
      <c r="T11" s="1553" t="s">
        <v>8</v>
      </c>
      <c r="U11" s="1554">
        <f t="shared" si="1"/>
        <v>100</v>
      </c>
      <c r="V11" s="1553" t="s">
        <v>8</v>
      </c>
      <c r="W11" s="1554">
        <f t="shared" si="2"/>
        <v>100</v>
      </c>
      <c r="X11" s="1555"/>
      <c r="Y11" s="3323" t="s">
        <v>536</v>
      </c>
      <c r="Z11" s="1146" t="str">
        <f t="shared" ref="Z11:Z17" si="7">Q11</f>
        <v>用途</v>
      </c>
      <c r="AA11" s="1556">
        <f t="shared" si="3"/>
        <v>1</v>
      </c>
      <c r="AB11" s="1556">
        <f t="shared" si="4"/>
        <v>1</v>
      </c>
      <c r="AC11" s="1556">
        <f t="shared" si="5"/>
        <v>1</v>
      </c>
    </row>
    <row r="12" spans="1:30" s="1334" customFormat="1" ht="28.8">
      <c r="A12" s="2869"/>
      <c r="B12" s="2874" t="s">
        <v>2754</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77"/>
      <c r="Q12" s="1147" t="str">
        <f t="shared" si="6"/>
        <v>土地使用年限（年）</v>
      </c>
      <c r="R12" s="1553" t="s">
        <v>8</v>
      </c>
      <c r="S12" s="1554">
        <f t="shared" si="0"/>
        <v>104</v>
      </c>
      <c r="T12" s="1553" t="s">
        <v>8</v>
      </c>
      <c r="U12" s="1554">
        <f t="shared" si="1"/>
        <v>104</v>
      </c>
      <c r="V12" s="1553" t="s">
        <v>8</v>
      </c>
      <c r="W12" s="1554">
        <f t="shared" si="2"/>
        <v>104</v>
      </c>
      <c r="X12" s="1555"/>
      <c r="Y12" s="3323"/>
      <c r="Z12" s="1146" t="str">
        <f t="shared" si="7"/>
        <v>土地使用年限（年）</v>
      </c>
      <c r="AA12" s="1556">
        <f t="shared" si="3"/>
        <v>0.96153846153846156</v>
      </c>
      <c r="AB12" s="1556">
        <f t="shared" si="4"/>
        <v>0.96153846153846156</v>
      </c>
      <c r="AC12" s="1556">
        <f t="shared" si="5"/>
        <v>0.96153846153846156</v>
      </c>
    </row>
    <row r="13" spans="1:30" ht="21.6" thickBot="1">
      <c r="A13" s="2870"/>
      <c r="B13" s="2874" t="s">
        <v>2755</v>
      </c>
      <c r="C13" s="534">
        <f>'数据-汇总表'!I6</f>
        <v>4.1900000000000004</v>
      </c>
      <c r="D13" s="255">
        <v>100</v>
      </c>
      <c r="E13" s="533">
        <v>1.8</v>
      </c>
      <c r="F13" s="255">
        <f>LOOKUP(E13,82:82,83:83)-LOOKUP(C13,82:82,83:83)+100</f>
        <v>125</v>
      </c>
      <c r="G13" s="534">
        <v>1.8</v>
      </c>
      <c r="H13" s="255">
        <f>LOOKUP(G13,82:82,83:83)-LOOKUP(C13,82:82,83:83)+100</f>
        <v>125</v>
      </c>
      <c r="I13" s="533">
        <v>1.8</v>
      </c>
      <c r="J13" s="255">
        <f>LOOKUP(I13,82:82,83:83)-LOOKUP(C13,82:82,83:83)+100</f>
        <v>125</v>
      </c>
      <c r="K13" s="535">
        <v>5</v>
      </c>
      <c r="L13" s="2124"/>
      <c r="M13" s="2116"/>
      <c r="N13" s="2116"/>
      <c r="O13" s="2125"/>
      <c r="P13" s="3377"/>
      <c r="Q13" s="1147" t="str">
        <f t="shared" si="6"/>
        <v>容积率</v>
      </c>
      <c r="R13" s="1553" t="s">
        <v>8</v>
      </c>
      <c r="S13" s="1554">
        <f t="shared" si="0"/>
        <v>125</v>
      </c>
      <c r="T13" s="1553" t="s">
        <v>8</v>
      </c>
      <c r="U13" s="1554">
        <f t="shared" si="1"/>
        <v>125</v>
      </c>
      <c r="V13" s="1553" t="s">
        <v>8</v>
      </c>
      <c r="W13" s="1554">
        <f t="shared" si="2"/>
        <v>125</v>
      </c>
      <c r="X13" s="1555"/>
      <c r="Y13" s="3323"/>
      <c r="Z13" s="1146" t="str">
        <f t="shared" si="7"/>
        <v>容积率</v>
      </c>
      <c r="AA13" s="1556">
        <f t="shared" si="3"/>
        <v>0.8</v>
      </c>
      <c r="AB13" s="1556">
        <f t="shared" si="4"/>
        <v>0.8</v>
      </c>
      <c r="AC13" s="1556">
        <f t="shared" si="5"/>
        <v>0.8</v>
      </c>
    </row>
    <row r="14" spans="1:30" s="1216" customFormat="1" ht="21.6" hidden="1" thickBot="1">
      <c r="A14" s="2867"/>
      <c r="B14" s="2876" t="s">
        <v>2756</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77"/>
      <c r="Q14" s="1147" t="str">
        <f t="shared" si="6"/>
        <v>配建</v>
      </c>
      <c r="R14" s="1553" t="s">
        <v>8</v>
      </c>
      <c r="S14" s="1554">
        <f t="shared" si="0"/>
        <v>100</v>
      </c>
      <c r="T14" s="1553" t="s">
        <v>8</v>
      </c>
      <c r="U14" s="1554">
        <f t="shared" si="1"/>
        <v>100</v>
      </c>
      <c r="V14" s="1553" t="s">
        <v>8</v>
      </c>
      <c r="W14" s="1554">
        <f t="shared" si="2"/>
        <v>100</v>
      </c>
      <c r="X14" s="1555"/>
      <c r="Y14" s="3323"/>
      <c r="Z14" s="1146" t="str">
        <f t="shared" si="7"/>
        <v>配建</v>
      </c>
      <c r="AA14" s="1556">
        <f>D14/F14</f>
        <v>1</v>
      </c>
      <c r="AB14" s="1556">
        <f>D14/H14</f>
        <v>1</v>
      </c>
      <c r="AC14" s="1556">
        <f>D14/J14</f>
        <v>1</v>
      </c>
    </row>
    <row r="15" spans="1:30" ht="21"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7"/>
      <c r="Q15" s="1147">
        <f t="shared" si="6"/>
        <v>111</v>
      </c>
      <c r="R15" s="1553" t="s">
        <v>8</v>
      </c>
      <c r="S15" s="1554">
        <f t="shared" si="0"/>
        <v>100</v>
      </c>
      <c r="T15" s="1553" t="s">
        <v>8</v>
      </c>
      <c r="U15" s="1554">
        <f t="shared" si="1"/>
        <v>100</v>
      </c>
      <c r="V15" s="1553" t="s">
        <v>8</v>
      </c>
      <c r="W15" s="1554">
        <f t="shared" si="2"/>
        <v>100</v>
      </c>
      <c r="X15" s="1555"/>
      <c r="Y15" s="3323"/>
      <c r="Z15" s="1146">
        <f t="shared" si="7"/>
        <v>111</v>
      </c>
      <c r="AA15" s="1556">
        <f>D15/F15</f>
        <v>1</v>
      </c>
      <c r="AB15" s="1556">
        <f>D15/H15</f>
        <v>1</v>
      </c>
      <c r="AC15" s="1556">
        <f>D15/J15</f>
        <v>1</v>
      </c>
    </row>
    <row r="16" spans="1:30" ht="21.6"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7"/>
      <c r="Q16" s="1147">
        <f t="shared" si="6"/>
        <v>111</v>
      </c>
      <c r="R16" s="1553" t="s">
        <v>8</v>
      </c>
      <c r="S16" s="1554">
        <f t="shared" si="0"/>
        <v>100</v>
      </c>
      <c r="T16" s="1553" t="s">
        <v>8</v>
      </c>
      <c r="U16" s="1554">
        <f t="shared" si="1"/>
        <v>100</v>
      </c>
      <c r="V16" s="1553" t="s">
        <v>8</v>
      </c>
      <c r="W16" s="1554">
        <f t="shared" si="2"/>
        <v>100</v>
      </c>
      <c r="X16" s="1555"/>
      <c r="Y16" s="3323"/>
      <c r="Z16" s="1146">
        <f t="shared" si="7"/>
        <v>111</v>
      </c>
      <c r="AA16" s="1556">
        <f>D16/F16</f>
        <v>1</v>
      </c>
      <c r="AB16" s="1556">
        <f>D16/H16</f>
        <v>1</v>
      </c>
      <c r="AC16" s="1556">
        <f>D16/J16</f>
        <v>1</v>
      </c>
    </row>
    <row r="17" spans="1:29" ht="21">
      <c r="A17" s="2864"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4</v>
      </c>
      <c r="L17" s="2126"/>
      <c r="M17" s="2116"/>
      <c r="N17" s="2116"/>
      <c r="O17" s="2125"/>
      <c r="P17" s="3412" t="s">
        <v>540</v>
      </c>
      <c r="Q17" s="1557" t="str">
        <f t="shared" si="6"/>
        <v>居住社区成熟度</v>
      </c>
      <c r="R17" s="1558" t="s">
        <v>8</v>
      </c>
      <c r="S17" s="1559">
        <f t="shared" si="0"/>
        <v>100</v>
      </c>
      <c r="T17" s="1558" t="s">
        <v>8</v>
      </c>
      <c r="U17" s="1559">
        <f t="shared" si="1"/>
        <v>100</v>
      </c>
      <c r="V17" s="1558" t="s">
        <v>8</v>
      </c>
      <c r="W17" s="1559">
        <f t="shared" si="2"/>
        <v>100</v>
      </c>
      <c r="X17" s="1552"/>
      <c r="Y17" s="3412" t="s">
        <v>540</v>
      </c>
      <c r="Z17" s="1560" t="str">
        <f t="shared" si="7"/>
        <v>居住社区成熟度</v>
      </c>
      <c r="AA17" s="1561">
        <f t="shared" si="3"/>
        <v>1</v>
      </c>
      <c r="AB17" s="1561">
        <f t="shared" si="4"/>
        <v>1</v>
      </c>
      <c r="AC17" s="1561">
        <f t="shared" si="5"/>
        <v>1</v>
      </c>
    </row>
    <row r="18" spans="1:29" ht="21">
      <c r="A18" s="532"/>
      <c r="B18" s="553"/>
      <c r="C18" s="554" t="s">
        <v>3241</v>
      </c>
      <c r="D18" s="557"/>
      <c r="E18" s="558" t="s">
        <v>3241</v>
      </c>
      <c r="F18" s="555"/>
      <c r="G18" s="558" t="s">
        <v>3241</v>
      </c>
      <c r="H18" s="559"/>
      <c r="I18" s="558" t="s">
        <v>3241</v>
      </c>
      <c r="J18" s="555"/>
      <c r="K18" s="531"/>
      <c r="L18" s="2126"/>
      <c r="M18" s="2116"/>
      <c r="N18" s="2116"/>
      <c r="O18" s="2125"/>
      <c r="P18" s="3413"/>
      <c r="Q18" s="1557"/>
      <c r="R18" s="1558"/>
      <c r="S18" s="1559"/>
      <c r="T18" s="1558"/>
      <c r="U18" s="1559"/>
      <c r="V18" s="1558"/>
      <c r="W18" s="1559"/>
      <c r="X18" s="1552"/>
      <c r="Y18" s="3413"/>
      <c r="Z18" s="1560"/>
      <c r="AA18" s="1561">
        <v>1</v>
      </c>
      <c r="AB18" s="1561">
        <v>1</v>
      </c>
      <c r="AC18" s="1561">
        <v>1</v>
      </c>
    </row>
    <row r="19" spans="1:29" ht="21">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100</v>
      </c>
      <c r="K19" s="535">
        <v>3</v>
      </c>
      <c r="L19" s="2126"/>
      <c r="M19" s="2116"/>
      <c r="N19" s="2116"/>
      <c r="O19" s="2125"/>
      <c r="P19" s="3413"/>
      <c r="Q19" s="1557" t="str">
        <f>B19</f>
        <v>商业繁华度</v>
      </c>
      <c r="R19" s="1558" t="s">
        <v>8</v>
      </c>
      <c r="S19" s="1559">
        <f>F19</f>
        <v>100</v>
      </c>
      <c r="T19" s="1558" t="s">
        <v>8</v>
      </c>
      <c r="U19" s="1559">
        <f>H19</f>
        <v>100</v>
      </c>
      <c r="V19" s="1558" t="s">
        <v>8</v>
      </c>
      <c r="W19" s="1559">
        <f>J19</f>
        <v>100</v>
      </c>
      <c r="X19" s="1552"/>
      <c r="Y19" s="3413"/>
      <c r="Z19" s="1560" t="str">
        <f>Q19</f>
        <v>商业繁华度</v>
      </c>
      <c r="AA19" s="1561">
        <f t="shared" si="3"/>
        <v>1</v>
      </c>
      <c r="AB19" s="1561">
        <f t="shared" si="4"/>
        <v>1</v>
      </c>
      <c r="AC19" s="1561">
        <f t="shared" si="5"/>
        <v>1</v>
      </c>
    </row>
    <row r="20" spans="1:29" ht="21">
      <c r="A20" s="532"/>
      <c r="B20" s="566"/>
      <c r="C20" s="567" t="s">
        <v>3241</v>
      </c>
      <c r="D20" s="563"/>
      <c r="E20" s="569" t="s">
        <v>3241</v>
      </c>
      <c r="F20" s="559"/>
      <c r="G20" s="569" t="s">
        <v>3241</v>
      </c>
      <c r="H20" s="555"/>
      <c r="I20" s="569" t="s">
        <v>3241</v>
      </c>
      <c r="J20" s="555"/>
      <c r="K20" s="531"/>
      <c r="L20" s="2126"/>
      <c r="M20" s="2116"/>
      <c r="N20" s="2116"/>
      <c r="O20" s="2125"/>
      <c r="P20" s="3413"/>
      <c r="Q20" s="1557"/>
      <c r="R20" s="1558"/>
      <c r="S20" s="1559"/>
      <c r="T20" s="1558"/>
      <c r="U20" s="1559"/>
      <c r="V20" s="1558"/>
      <c r="W20" s="1559"/>
      <c r="X20" s="1552"/>
      <c r="Y20" s="3413"/>
      <c r="Z20" s="1560"/>
      <c r="AA20" s="1561">
        <v>1</v>
      </c>
      <c r="AB20" s="1561">
        <v>1</v>
      </c>
      <c r="AC20" s="1561">
        <v>1</v>
      </c>
    </row>
    <row r="21" spans="1:29" ht="21" hidden="1">
      <c r="A21" s="532"/>
      <c r="B21" s="560" t="s">
        <v>542</v>
      </c>
      <c r="C21" s="561">
        <f>估价对象房地状况!C17</f>
        <v>0</v>
      </c>
      <c r="D21" s="571">
        <v>100</v>
      </c>
      <c r="E21" s="572">
        <v>0</v>
      </c>
      <c r="F21" s="565">
        <f>SUMIF(94:94,E22,95:95)-SUMIF(94:94,C22,95:95)+100</f>
        <v>100</v>
      </c>
      <c r="G21" s="572">
        <v>0</v>
      </c>
      <c r="H21" s="559">
        <f>SUMIF(94:94,G22,95:95)-SUMIF(94:94,C22,95:95)+100</f>
        <v>100</v>
      </c>
      <c r="I21" s="572">
        <v>0</v>
      </c>
      <c r="J21" s="559">
        <f>SUMIF(94:94,I22,95:95)-SUMIF(94:94,C22,95:95)+100</f>
        <v>100</v>
      </c>
      <c r="K21" s="535"/>
      <c r="L21" s="2126"/>
      <c r="M21" s="2116"/>
      <c r="N21" s="2116"/>
      <c r="O21" s="2125"/>
      <c r="P21" s="3413"/>
      <c r="Q21" s="1557" t="str">
        <f>B21</f>
        <v>办公集聚程度</v>
      </c>
      <c r="R21" s="1558" t="s">
        <v>8</v>
      </c>
      <c r="S21" s="1559">
        <f>F21</f>
        <v>100</v>
      </c>
      <c r="T21" s="1558" t="s">
        <v>8</v>
      </c>
      <c r="U21" s="1559">
        <f>H21</f>
        <v>100</v>
      </c>
      <c r="V21" s="1558" t="s">
        <v>8</v>
      </c>
      <c r="W21" s="1559">
        <f>J21</f>
        <v>100</v>
      </c>
      <c r="X21" s="1552"/>
      <c r="Y21" s="3413"/>
      <c r="Z21" s="1560" t="str">
        <f>Q21</f>
        <v>办公集聚程度</v>
      </c>
      <c r="AA21" s="1561">
        <f t="shared" si="3"/>
        <v>1</v>
      </c>
      <c r="AB21" s="1561">
        <f t="shared" si="4"/>
        <v>1</v>
      </c>
      <c r="AC21" s="1561">
        <f t="shared" si="5"/>
        <v>1</v>
      </c>
    </row>
    <row r="22" spans="1:29" ht="21" hidden="1">
      <c r="A22" s="532"/>
      <c r="B22" s="566"/>
      <c r="C22" s="554"/>
      <c r="D22" s="557"/>
      <c r="E22" s="558"/>
      <c r="F22" s="555"/>
      <c r="G22" s="558"/>
      <c r="H22" s="555"/>
      <c r="I22" s="558"/>
      <c r="J22" s="555"/>
      <c r="K22" s="531"/>
      <c r="L22" s="2126"/>
      <c r="M22" s="2116"/>
      <c r="N22" s="2116"/>
      <c r="O22" s="2125"/>
      <c r="P22" s="3413"/>
      <c r="Q22" s="1557"/>
      <c r="R22" s="1558"/>
      <c r="S22" s="1559"/>
      <c r="T22" s="1558"/>
      <c r="U22" s="1559"/>
      <c r="V22" s="1558"/>
      <c r="W22" s="1559"/>
      <c r="X22" s="1552"/>
      <c r="Y22" s="3413"/>
      <c r="Z22" s="1560"/>
      <c r="AA22" s="1561">
        <v>1</v>
      </c>
      <c r="AB22" s="1561">
        <v>1</v>
      </c>
      <c r="AC22" s="1561">
        <v>1</v>
      </c>
    </row>
    <row r="23" spans="1:29" ht="21">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6"/>
      <c r="M23" s="2116"/>
      <c r="N23" s="2116"/>
      <c r="O23" s="2125"/>
      <c r="P23" s="3413"/>
      <c r="Q23" s="1557" t="str">
        <f>B23</f>
        <v>交通便捷度</v>
      </c>
      <c r="R23" s="1558" t="s">
        <v>8</v>
      </c>
      <c r="S23" s="1559">
        <f>F23</f>
        <v>100</v>
      </c>
      <c r="T23" s="1558" t="s">
        <v>8</v>
      </c>
      <c r="U23" s="1559">
        <f>H23</f>
        <v>100</v>
      </c>
      <c r="V23" s="1558" t="s">
        <v>8</v>
      </c>
      <c r="W23" s="1559">
        <f>J23</f>
        <v>100</v>
      </c>
      <c r="X23" s="1552"/>
      <c r="Y23" s="3413"/>
      <c r="Z23" s="1560" t="str">
        <f>Q23</f>
        <v>交通便捷度</v>
      </c>
      <c r="AA23" s="1561">
        <f t="shared" si="3"/>
        <v>1</v>
      </c>
      <c r="AB23" s="1561">
        <f t="shared" si="4"/>
        <v>1</v>
      </c>
      <c r="AC23" s="1561">
        <f t="shared" si="5"/>
        <v>1</v>
      </c>
    </row>
    <row r="24" spans="1:29" ht="21">
      <c r="A24" s="532"/>
      <c r="B24" s="578"/>
      <c r="C24" s="554" t="s">
        <v>3241</v>
      </c>
      <c r="D24" s="557"/>
      <c r="E24" s="558" t="s">
        <v>3241</v>
      </c>
      <c r="F24" s="555"/>
      <c r="G24" s="558" t="s">
        <v>3241</v>
      </c>
      <c r="H24" s="555"/>
      <c r="I24" s="558" t="s">
        <v>3241</v>
      </c>
      <c r="J24" s="555"/>
      <c r="K24" s="531"/>
      <c r="L24" s="2126"/>
      <c r="M24" s="2116"/>
      <c r="N24" s="2116"/>
      <c r="O24" s="2125"/>
      <c r="P24" s="3413"/>
      <c r="Q24" s="1557"/>
      <c r="R24" s="1558"/>
      <c r="S24" s="1559"/>
      <c r="T24" s="1558"/>
      <c r="U24" s="1559"/>
      <c r="V24" s="1558"/>
      <c r="W24" s="1559"/>
      <c r="X24" s="1552"/>
      <c r="Y24" s="3413"/>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6"/>
      <c r="M25" s="2116"/>
      <c r="N25" s="2116"/>
      <c r="O25" s="2125"/>
      <c r="P25" s="3413"/>
      <c r="Q25" s="1557" t="str">
        <f t="shared" ref="Q25:Q39" si="8">B25</f>
        <v>区域土地利用方向</v>
      </c>
      <c r="R25" s="1558" t="s">
        <v>8</v>
      </c>
      <c r="S25" s="1559">
        <f>F25</f>
        <v>100</v>
      </c>
      <c r="T25" s="1558" t="s">
        <v>8</v>
      </c>
      <c r="U25" s="1559">
        <f>H25</f>
        <v>100</v>
      </c>
      <c r="V25" s="1558" t="s">
        <v>8</v>
      </c>
      <c r="W25" s="1559">
        <f>J25</f>
        <v>100</v>
      </c>
      <c r="X25" s="1552"/>
      <c r="Y25" s="3413"/>
      <c r="Z25" s="1560" t="str">
        <f>Q25</f>
        <v>区域土地利用方向</v>
      </c>
      <c r="AA25" s="1561">
        <f t="shared" si="3"/>
        <v>1</v>
      </c>
      <c r="AB25" s="1561">
        <f t="shared" si="4"/>
        <v>1</v>
      </c>
      <c r="AC25" s="1561">
        <f t="shared" si="5"/>
        <v>1</v>
      </c>
    </row>
    <row r="26" spans="1:29" ht="21">
      <c r="A26" s="515"/>
      <c r="B26" s="1007"/>
      <c r="C26" s="554" t="s">
        <v>3242</v>
      </c>
      <c r="D26" s="557"/>
      <c r="E26" s="558" t="s">
        <v>3242</v>
      </c>
      <c r="F26" s="555"/>
      <c r="G26" s="558" t="s">
        <v>3242</v>
      </c>
      <c r="H26" s="555"/>
      <c r="I26" s="558" t="s">
        <v>3242</v>
      </c>
      <c r="J26" s="555"/>
      <c r="K26" s="531"/>
      <c r="L26" s="2126"/>
      <c r="M26" s="2116"/>
      <c r="N26" s="2116"/>
      <c r="O26" s="2125"/>
      <c r="P26" s="3413"/>
      <c r="Q26" s="1557"/>
      <c r="R26" s="1558"/>
      <c r="S26" s="1559"/>
      <c r="T26" s="1558"/>
      <c r="U26" s="1559"/>
      <c r="V26" s="1558"/>
      <c r="W26" s="1559"/>
      <c r="X26" s="1552"/>
      <c r="Y26" s="3413"/>
      <c r="Z26" s="1560"/>
      <c r="AA26" s="1561"/>
      <c r="AB26" s="1561"/>
      <c r="AC26" s="1561"/>
    </row>
    <row r="27" spans="1:29" ht="28.8">
      <c r="A27" s="515"/>
      <c r="B27" s="578" t="s">
        <v>545</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4</v>
      </c>
      <c r="L27" s="2126"/>
      <c r="M27" s="2116"/>
      <c r="N27" s="2116"/>
      <c r="O27" s="2125"/>
      <c r="P27" s="3413"/>
      <c r="Q27" s="1557" t="str">
        <f t="shared" si="8"/>
        <v>自然及人文环境状况</v>
      </c>
      <c r="R27" s="1558" t="s">
        <v>8</v>
      </c>
      <c r="S27" s="1559">
        <f>F27</f>
        <v>100</v>
      </c>
      <c r="T27" s="1558" t="s">
        <v>8</v>
      </c>
      <c r="U27" s="1559">
        <f>H27</f>
        <v>100</v>
      </c>
      <c r="V27" s="1558" t="s">
        <v>8</v>
      </c>
      <c r="W27" s="1559">
        <f>J27</f>
        <v>100</v>
      </c>
      <c r="X27" s="1552"/>
      <c r="Y27" s="3413"/>
      <c r="Z27" s="1560" t="str">
        <f>Q27</f>
        <v>自然及人文环境状况</v>
      </c>
      <c r="AA27" s="1561">
        <f t="shared" si="3"/>
        <v>1</v>
      </c>
      <c r="AB27" s="1561">
        <f t="shared" si="4"/>
        <v>1</v>
      </c>
      <c r="AC27" s="1561">
        <f t="shared" si="5"/>
        <v>1</v>
      </c>
    </row>
    <row r="28" spans="1:29" ht="21">
      <c r="A28" s="515"/>
      <c r="B28" s="566"/>
      <c r="C28" s="554" t="s">
        <v>3241</v>
      </c>
      <c r="D28" s="557"/>
      <c r="E28" s="576" t="s">
        <v>3241</v>
      </c>
      <c r="F28" s="555"/>
      <c r="G28" s="576" t="s">
        <v>3241</v>
      </c>
      <c r="H28" s="555"/>
      <c r="I28" s="576" t="s">
        <v>3241</v>
      </c>
      <c r="J28" s="555"/>
      <c r="K28" s="531"/>
      <c r="L28" s="2126"/>
      <c r="M28" s="2116"/>
      <c r="N28" s="2116"/>
      <c r="O28" s="2125"/>
      <c r="P28" s="3413"/>
      <c r="Q28" s="1557"/>
      <c r="R28" s="1558"/>
      <c r="S28" s="1559"/>
      <c r="T28" s="1558"/>
      <c r="U28" s="1559"/>
      <c r="V28" s="1558"/>
      <c r="W28" s="1559"/>
      <c r="X28" s="1552"/>
      <c r="Y28" s="3413"/>
      <c r="Z28" s="1560"/>
      <c r="AA28" s="1561">
        <v>1</v>
      </c>
      <c r="AB28" s="1561">
        <v>1</v>
      </c>
      <c r="AC28" s="1561">
        <v>1</v>
      </c>
    </row>
    <row r="29" spans="1:29" s="1216" customFormat="1" ht="21">
      <c r="A29" s="577"/>
      <c r="B29" s="2554"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4</v>
      </c>
      <c r="L29" s="2119"/>
      <c r="M29" s="2116"/>
      <c r="N29" s="2116"/>
      <c r="O29" s="2121"/>
      <c r="P29" s="3413"/>
      <c r="Q29" s="1147" t="str">
        <f t="shared" si="8"/>
        <v>公共配套设施</v>
      </c>
      <c r="R29" s="1553" t="s">
        <v>8</v>
      </c>
      <c r="S29" s="1554">
        <f>F29</f>
        <v>100</v>
      </c>
      <c r="T29" s="1553" t="s">
        <v>8</v>
      </c>
      <c r="U29" s="1554">
        <f>H29</f>
        <v>100</v>
      </c>
      <c r="V29" s="1553" t="s">
        <v>8</v>
      </c>
      <c r="W29" s="1554">
        <f>J29</f>
        <v>100</v>
      </c>
      <c r="X29" s="1555"/>
      <c r="Y29" s="3413"/>
      <c r="Z29" s="1146" t="str">
        <f>Q29</f>
        <v>公共配套设施</v>
      </c>
      <c r="AA29" s="1561">
        <f>D29/F29</f>
        <v>1</v>
      </c>
      <c r="AB29" s="1561">
        <f>D29/H29</f>
        <v>1</v>
      </c>
      <c r="AC29" s="1561">
        <f>D29/J29</f>
        <v>1</v>
      </c>
    </row>
    <row r="30" spans="1:29" s="1216" customFormat="1" ht="21">
      <c r="A30" s="577"/>
      <c r="B30" s="566"/>
      <c r="C30" s="579" t="s">
        <v>3241</v>
      </c>
      <c r="D30" s="557"/>
      <c r="E30" s="576" t="s">
        <v>3241</v>
      </c>
      <c r="F30" s="555"/>
      <c r="G30" s="576" t="s">
        <v>3241</v>
      </c>
      <c r="H30" s="555"/>
      <c r="I30" s="576" t="s">
        <v>3241</v>
      </c>
      <c r="J30" s="555"/>
      <c r="K30" s="531"/>
      <c r="L30" s="2119"/>
      <c r="M30" s="2116"/>
      <c r="N30" s="2116"/>
      <c r="O30" s="2121"/>
      <c r="P30" s="3413"/>
      <c r="Q30" s="1147"/>
      <c r="R30" s="1553"/>
      <c r="S30" s="1554"/>
      <c r="T30" s="1553"/>
      <c r="U30" s="1554"/>
      <c r="V30" s="1553"/>
      <c r="W30" s="1554"/>
      <c r="X30" s="1555"/>
      <c r="Y30" s="3413"/>
      <c r="Z30" s="1146"/>
      <c r="AA30" s="1561">
        <v>1</v>
      </c>
      <c r="AB30" s="1561">
        <v>1</v>
      </c>
      <c r="AC30" s="1561">
        <v>1</v>
      </c>
    </row>
    <row r="31" spans="1:29" s="1216" customFormat="1" ht="21">
      <c r="A31" s="577"/>
      <c r="B31" s="2554"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19"/>
      <c r="M31" s="2116"/>
      <c r="N31" s="2116"/>
      <c r="O31" s="2121"/>
      <c r="P31" s="3413"/>
      <c r="Q31" s="2541" t="str">
        <f t="shared" ref="Q31" si="9">B31</f>
        <v>基础设施水平</v>
      </c>
      <c r="R31" s="1553" t="s">
        <v>8</v>
      </c>
      <c r="S31" s="1554">
        <f>F31</f>
        <v>100</v>
      </c>
      <c r="T31" s="1553" t="s">
        <v>8</v>
      </c>
      <c r="U31" s="1554">
        <f>H31</f>
        <v>100</v>
      </c>
      <c r="V31" s="1553" t="s">
        <v>8</v>
      </c>
      <c r="W31" s="1554">
        <f>J31</f>
        <v>100</v>
      </c>
      <c r="X31" s="1555"/>
      <c r="Y31" s="3413"/>
      <c r="Z31" s="2538" t="str">
        <f>Q31</f>
        <v>基础设施水平</v>
      </c>
      <c r="AA31" s="1561">
        <f>D31/F31</f>
        <v>1</v>
      </c>
      <c r="AB31" s="1561">
        <f>D31/H31</f>
        <v>1</v>
      </c>
      <c r="AC31" s="1561">
        <f>D31/J31</f>
        <v>1</v>
      </c>
    </row>
    <row r="32" spans="1:29" s="1216" customFormat="1" ht="21.6" thickBot="1">
      <c r="A32" s="577"/>
      <c r="B32" s="566"/>
      <c r="C32" s="579" t="s">
        <v>3243</v>
      </c>
      <c r="D32" s="557"/>
      <c r="E32" s="2555" t="s">
        <v>3243</v>
      </c>
      <c r="F32" s="555"/>
      <c r="G32" s="2555" t="s">
        <v>3243</v>
      </c>
      <c r="H32" s="555"/>
      <c r="I32" s="2555" t="s">
        <v>3243</v>
      </c>
      <c r="J32" s="555"/>
      <c r="K32" s="531"/>
      <c r="L32" s="2119"/>
      <c r="M32" s="2116"/>
      <c r="N32" s="2116"/>
      <c r="O32" s="2121"/>
      <c r="P32" s="3413"/>
      <c r="Q32" s="2541"/>
      <c r="R32" s="1553"/>
      <c r="S32" s="1554"/>
      <c r="T32" s="1553"/>
      <c r="U32" s="1554"/>
      <c r="V32" s="1553"/>
      <c r="W32" s="1554"/>
      <c r="X32" s="1555"/>
      <c r="Y32" s="3413"/>
      <c r="Z32" s="2538"/>
      <c r="AA32" s="1561">
        <v>1</v>
      </c>
      <c r="AB32" s="1561">
        <v>1</v>
      </c>
      <c r="AC32" s="1561">
        <v>1</v>
      </c>
    </row>
    <row r="33" spans="1:29" ht="21.6"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1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3"/>
      <c r="Z33" s="1560" t="str">
        <f t="shared" ref="Z33:Z47" si="13">Q33</f>
        <v>临街状况</v>
      </c>
      <c r="AA33" s="1561">
        <f t="shared" si="3"/>
        <v>1</v>
      </c>
      <c r="AB33" s="1561">
        <f t="shared" si="4"/>
        <v>1</v>
      </c>
      <c r="AC33" s="1561">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13"/>
      <c r="Q34" s="1557" t="str">
        <f t="shared" si="8"/>
        <v>毗邻道路的类型与等级</v>
      </c>
      <c r="R34" s="1558" t="s">
        <v>8</v>
      </c>
      <c r="S34" s="1559">
        <f t="shared" si="10"/>
        <v>100</v>
      </c>
      <c r="T34" s="1558" t="s">
        <v>8</v>
      </c>
      <c r="U34" s="1559">
        <f t="shared" si="11"/>
        <v>100</v>
      </c>
      <c r="V34" s="1558" t="s">
        <v>8</v>
      </c>
      <c r="W34" s="1559">
        <f t="shared" si="12"/>
        <v>100</v>
      </c>
      <c r="X34" s="1552"/>
      <c r="Y34" s="3413"/>
      <c r="Z34" s="1560" t="str">
        <f t="shared" si="13"/>
        <v>毗邻道路的类型与等级</v>
      </c>
      <c r="AA34" s="1561">
        <f t="shared" si="3"/>
        <v>1</v>
      </c>
      <c r="AB34" s="1561">
        <f t="shared" si="4"/>
        <v>1</v>
      </c>
      <c r="AC34" s="1561">
        <f t="shared" si="5"/>
        <v>1</v>
      </c>
    </row>
    <row r="35" spans="1:29" ht="21" hidden="1">
      <c r="A35" s="532"/>
      <c r="B35" s="566"/>
      <c r="C35" s="554"/>
      <c r="D35" s="557"/>
      <c r="E35" s="576"/>
      <c r="F35" s="555"/>
      <c r="G35" s="554"/>
      <c r="H35" s="555"/>
      <c r="I35" s="576"/>
      <c r="J35" s="555"/>
      <c r="K35" s="581"/>
      <c r="L35" s="2126"/>
      <c r="M35" s="2116"/>
      <c r="N35" s="2116"/>
      <c r="O35" s="2125"/>
      <c r="P35" s="3413"/>
      <c r="Q35" s="1557"/>
      <c r="R35" s="1558"/>
      <c r="S35" s="1559"/>
      <c r="T35" s="1558"/>
      <c r="U35" s="1559"/>
      <c r="V35" s="1558"/>
      <c r="W35" s="1559"/>
      <c r="X35" s="1552"/>
      <c r="Y35" s="3413"/>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3"/>
      <c r="Q36" s="1557" t="str">
        <f t="shared" si="8"/>
        <v>土地级别</v>
      </c>
      <c r="R36" s="1558" t="s">
        <v>8</v>
      </c>
      <c r="S36" s="1559">
        <f t="shared" si="10"/>
        <v>100</v>
      </c>
      <c r="T36" s="1558" t="s">
        <v>8</v>
      </c>
      <c r="U36" s="1559">
        <f t="shared" si="11"/>
        <v>100</v>
      </c>
      <c r="V36" s="1558" t="s">
        <v>8</v>
      </c>
      <c r="W36" s="1559">
        <f t="shared" si="12"/>
        <v>100</v>
      </c>
      <c r="X36" s="1552"/>
      <c r="Y36" s="3413"/>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3"/>
      <c r="Q37" s="1557">
        <f t="shared" si="8"/>
        <v>111</v>
      </c>
      <c r="R37" s="1558" t="s">
        <v>8</v>
      </c>
      <c r="S37" s="1559">
        <f t="shared" si="10"/>
        <v>100</v>
      </c>
      <c r="T37" s="1558" t="s">
        <v>8</v>
      </c>
      <c r="U37" s="1559">
        <f t="shared" si="11"/>
        <v>100</v>
      </c>
      <c r="V37" s="1558" t="s">
        <v>8</v>
      </c>
      <c r="W37" s="1559">
        <f t="shared" si="12"/>
        <v>100</v>
      </c>
      <c r="X37" s="1552"/>
      <c r="Y37" s="3413"/>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4" t="s">
        <v>550</v>
      </c>
      <c r="Q38" s="1557">
        <f t="shared" si="8"/>
        <v>111</v>
      </c>
      <c r="R38" s="1558" t="s">
        <v>8</v>
      </c>
      <c r="S38" s="1559">
        <f t="shared" si="10"/>
        <v>100</v>
      </c>
      <c r="T38" s="1558" t="s">
        <v>8</v>
      </c>
      <c r="U38" s="1559">
        <f t="shared" si="11"/>
        <v>100</v>
      </c>
      <c r="V38" s="1558" t="s">
        <v>8</v>
      </c>
      <c r="W38" s="1559">
        <f t="shared" si="12"/>
        <v>100</v>
      </c>
      <c r="X38" s="1552"/>
      <c r="Y38" s="3415" t="s">
        <v>550</v>
      </c>
      <c r="Z38" s="1560">
        <f t="shared" si="13"/>
        <v>111</v>
      </c>
      <c r="AA38" s="1561">
        <f t="shared" si="3"/>
        <v>1</v>
      </c>
      <c r="AB38" s="1561">
        <f t="shared" si="4"/>
        <v>1</v>
      </c>
      <c r="AC38" s="1561">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5"/>
      <c r="Q39" s="1557">
        <f t="shared" si="8"/>
        <v>111</v>
      </c>
      <c r="R39" s="1562" t="s">
        <v>8</v>
      </c>
      <c r="S39" s="1563">
        <f t="shared" si="10"/>
        <v>100</v>
      </c>
      <c r="T39" s="1562" t="s">
        <v>8</v>
      </c>
      <c r="U39" s="1563">
        <f t="shared" si="11"/>
        <v>100</v>
      </c>
      <c r="V39" s="1562" t="s">
        <v>8</v>
      </c>
      <c r="W39" s="1563">
        <f t="shared" si="12"/>
        <v>100</v>
      </c>
      <c r="X39" s="1564"/>
      <c r="Y39" s="3415"/>
      <c r="Z39" s="1565">
        <f t="shared" si="13"/>
        <v>111</v>
      </c>
      <c r="AA39" s="1561">
        <f t="shared" si="3"/>
        <v>1</v>
      </c>
      <c r="AB39" s="1561">
        <f t="shared" si="4"/>
        <v>1</v>
      </c>
      <c r="AC39" s="1561">
        <f t="shared" si="5"/>
        <v>1</v>
      </c>
    </row>
    <row r="40" spans="1:29" ht="21">
      <c r="A40" s="2861" t="s">
        <v>2752</v>
      </c>
      <c r="B40" s="595" t="s">
        <v>552</v>
      </c>
      <c r="C40" s="596">
        <f>'数据-汇总表'!D3</f>
        <v>53313</v>
      </c>
      <c r="D40" s="597">
        <v>100</v>
      </c>
      <c r="E40" s="596">
        <v>22245</v>
      </c>
      <c r="F40" s="597">
        <f>LOOKUP(E40,119:119,120:120)-LOOKUP(C40,119:119,120:120)+100</f>
        <v>99</v>
      </c>
      <c r="G40" s="596">
        <v>69792</v>
      </c>
      <c r="H40" s="597">
        <f>LOOKUP(G40,119:119,120:120)-LOOKUP(C40,119:119,120:120)+100</f>
        <v>100</v>
      </c>
      <c r="I40" s="598">
        <v>69863</v>
      </c>
      <c r="J40" s="597">
        <f>LOOKUP(I40,119:119,120:120)-LOOKUP(C40,119:119,120:120)+100</f>
        <v>100</v>
      </c>
      <c r="K40" s="581"/>
      <c r="L40" s="2126"/>
      <c r="M40" s="2116"/>
      <c r="N40" s="2116"/>
      <c r="O40" s="2125"/>
      <c r="P40" s="3415"/>
      <c r="Q40" s="1557" t="str">
        <f>B40</f>
        <v>宗地面积</v>
      </c>
      <c r="R40" s="1558" t="s">
        <v>8</v>
      </c>
      <c r="S40" s="1559">
        <f t="shared" si="10"/>
        <v>99</v>
      </c>
      <c r="T40" s="1558" t="s">
        <v>8</v>
      </c>
      <c r="U40" s="1559">
        <f t="shared" si="11"/>
        <v>100</v>
      </c>
      <c r="V40" s="1558" t="s">
        <v>8</v>
      </c>
      <c r="W40" s="1559">
        <f t="shared" si="12"/>
        <v>100</v>
      </c>
      <c r="X40" s="1552"/>
      <c r="Y40" s="3415"/>
      <c r="Z40" s="1560" t="str">
        <f t="shared" si="13"/>
        <v>宗地面积</v>
      </c>
      <c r="AA40" s="1561">
        <f t="shared" si="3"/>
        <v>1.0101010101010102</v>
      </c>
      <c r="AB40" s="1561">
        <f t="shared" si="4"/>
        <v>1</v>
      </c>
      <c r="AC40" s="1561">
        <f t="shared" si="5"/>
        <v>1</v>
      </c>
    </row>
    <row r="41" spans="1:29" ht="21">
      <c r="A41" s="594"/>
      <c r="B41" s="527" t="s">
        <v>553</v>
      </c>
      <c r="C41" s="3190" t="s">
        <v>3244</v>
      </c>
      <c r="D41" s="540">
        <v>100</v>
      </c>
      <c r="E41" s="3190" t="s">
        <v>3244</v>
      </c>
      <c r="F41" s="540">
        <f>SUMIF(121:121,E41,122:122)-SUMIF(121:121,C41,122:122)+100</f>
        <v>100</v>
      </c>
      <c r="G41" s="3190" t="s">
        <v>3244</v>
      </c>
      <c r="H41" s="540">
        <f>SUMIF(121:121,G41,122:122)-SUMIF(121:121,C41,122:122)+100</f>
        <v>100</v>
      </c>
      <c r="I41" s="3190" t="s">
        <v>3244</v>
      </c>
      <c r="J41" s="540">
        <f>SUMIF(121:121,I41,122:122)-SUMIF(121:121,C41,122:122)+100</f>
        <v>100</v>
      </c>
      <c r="K41" s="584">
        <v>1</v>
      </c>
      <c r="L41" s="2126"/>
      <c r="M41" s="2116"/>
      <c r="N41" s="2116"/>
      <c r="O41" s="2125"/>
      <c r="P41" s="3415"/>
      <c r="Q41" s="1557" t="str">
        <f t="shared" ref="Q41:Q47" si="14">B41</f>
        <v>宗地形状</v>
      </c>
      <c r="R41" s="1558" t="s">
        <v>8</v>
      </c>
      <c r="S41" s="1559">
        <f t="shared" si="10"/>
        <v>100</v>
      </c>
      <c r="T41" s="1558" t="s">
        <v>8</v>
      </c>
      <c r="U41" s="1559">
        <f t="shared" si="11"/>
        <v>100</v>
      </c>
      <c r="V41" s="1558" t="s">
        <v>8</v>
      </c>
      <c r="W41" s="1559">
        <f t="shared" si="12"/>
        <v>100</v>
      </c>
      <c r="X41" s="1552"/>
      <c r="Y41" s="3415"/>
      <c r="Z41" s="1560" t="str">
        <f t="shared" si="13"/>
        <v>宗地形状</v>
      </c>
      <c r="AA41" s="1561">
        <f t="shared" si="3"/>
        <v>1</v>
      </c>
      <c r="AB41" s="1561">
        <f t="shared" si="4"/>
        <v>1</v>
      </c>
      <c r="AC41" s="1561">
        <f t="shared" si="5"/>
        <v>1</v>
      </c>
    </row>
    <row r="42" spans="1:29" ht="21">
      <c r="A42" s="594"/>
      <c r="B42" s="527" t="s">
        <v>554</v>
      </c>
      <c r="C42" s="3190" t="s">
        <v>3245</v>
      </c>
      <c r="D42" s="540">
        <v>100</v>
      </c>
      <c r="E42" s="3190" t="s">
        <v>3245</v>
      </c>
      <c r="F42" s="540">
        <f>SUMIF(123:123,E42,124:124)-SUMIF(123:123,C42,124:124)+100</f>
        <v>100</v>
      </c>
      <c r="G42" s="3190" t="s">
        <v>3245</v>
      </c>
      <c r="H42" s="540">
        <f>SUMIF(123:123,G42,124:124)-SUMIF(123:123,C42,124:124)+100</f>
        <v>100</v>
      </c>
      <c r="I42" s="3190" t="s">
        <v>3245</v>
      </c>
      <c r="J42" s="540">
        <f>SUMIF(123:123,I42,124:124)-SUMIF(123:123,C42,124:124)+100</f>
        <v>100</v>
      </c>
      <c r="K42" s="584">
        <v>1</v>
      </c>
      <c r="L42" s="2126"/>
      <c r="M42" s="2116"/>
      <c r="N42" s="2116"/>
      <c r="O42" s="2125"/>
      <c r="P42" s="3415"/>
      <c r="Q42" s="1557" t="str">
        <f t="shared" si="14"/>
        <v>临街宽度及深度</v>
      </c>
      <c r="R42" s="1558" t="s">
        <v>8</v>
      </c>
      <c r="S42" s="1559">
        <f t="shared" si="10"/>
        <v>100</v>
      </c>
      <c r="T42" s="1558" t="s">
        <v>8</v>
      </c>
      <c r="U42" s="1559">
        <f t="shared" si="11"/>
        <v>100</v>
      </c>
      <c r="V42" s="1558" t="s">
        <v>8</v>
      </c>
      <c r="W42" s="1559">
        <f t="shared" si="12"/>
        <v>100</v>
      </c>
      <c r="X42" s="1552"/>
      <c r="Y42" s="3415"/>
      <c r="Z42" s="1560" t="str">
        <f t="shared" si="13"/>
        <v>临街宽度及深度</v>
      </c>
      <c r="AA42" s="1561">
        <f t="shared" si="3"/>
        <v>1</v>
      </c>
      <c r="AB42" s="1561">
        <f t="shared" si="4"/>
        <v>1</v>
      </c>
      <c r="AC42" s="1561">
        <f t="shared" si="5"/>
        <v>1</v>
      </c>
    </row>
    <row r="43" spans="1:29" s="1216" customFormat="1" ht="21">
      <c r="A43" s="600"/>
      <c r="B43" s="1879" t="s">
        <v>2422</v>
      </c>
      <c r="C43" s="3191" t="s">
        <v>3286</v>
      </c>
      <c r="D43" s="255">
        <v>100</v>
      </c>
      <c r="E43" s="3191" t="s">
        <v>3246</v>
      </c>
      <c r="F43" s="540">
        <f>SUMIF(125:125,E43,126:126)-SUMIF(125:125,C43,126:126)+100</f>
        <v>102</v>
      </c>
      <c r="G43" s="3191" t="s">
        <v>3246</v>
      </c>
      <c r="H43" s="540">
        <f>SUMIF(125:125,G43,126:126)-SUMIF(125:125,C43,126:126)+100</f>
        <v>102</v>
      </c>
      <c r="I43" s="3191" t="s">
        <v>3246</v>
      </c>
      <c r="J43" s="540">
        <f>SUMIF(125:125,I43,126:126)-SUMIF(125:125,C43,126:126)+100</f>
        <v>102</v>
      </c>
      <c r="K43" s="584">
        <v>1</v>
      </c>
      <c r="L43" s="2119"/>
      <c r="M43" s="2116"/>
      <c r="N43" s="2116"/>
      <c r="O43" s="2121"/>
      <c r="P43" s="3415"/>
      <c r="Q43" s="1557" t="str">
        <f t="shared" si="14"/>
        <v>宗地开发程度</v>
      </c>
      <c r="R43" s="1553" t="s">
        <v>8</v>
      </c>
      <c r="S43" s="1554">
        <f t="shared" si="10"/>
        <v>102</v>
      </c>
      <c r="T43" s="1553" t="s">
        <v>8</v>
      </c>
      <c r="U43" s="1554">
        <f t="shared" si="11"/>
        <v>102</v>
      </c>
      <c r="V43" s="1553" t="s">
        <v>8</v>
      </c>
      <c r="W43" s="1554">
        <f t="shared" si="12"/>
        <v>102</v>
      </c>
      <c r="X43" s="1555"/>
      <c r="Y43" s="3415"/>
      <c r="Z43" s="1146" t="str">
        <f t="shared" si="13"/>
        <v>宗地开发程度</v>
      </c>
      <c r="AA43" s="1556">
        <f t="shared" si="3"/>
        <v>0.98039215686274506</v>
      </c>
      <c r="AB43" s="1556">
        <f t="shared" si="4"/>
        <v>0.98039215686274506</v>
      </c>
      <c r="AC43" s="1556">
        <f t="shared" si="5"/>
        <v>0.98039215686274506</v>
      </c>
    </row>
    <row r="44" spans="1:29" ht="21.6" thickBot="1">
      <c r="A44" s="594"/>
      <c r="B44" s="527" t="s">
        <v>555</v>
      </c>
      <c r="C44" s="3190" t="s">
        <v>3245</v>
      </c>
      <c r="D44" s="540">
        <v>100</v>
      </c>
      <c r="E44" s="3190" t="s">
        <v>3245</v>
      </c>
      <c r="F44" s="540">
        <f>SUMIF(127:127,E44,128:128)-SUMIF(127:127,C44,128:128)+100</f>
        <v>100</v>
      </c>
      <c r="G44" s="3190" t="s">
        <v>3245</v>
      </c>
      <c r="H44" s="540">
        <f>SUMIF(127:127,G44,128:128)-SUMIF(127:127,C44,128:128)+100</f>
        <v>100</v>
      </c>
      <c r="I44" s="3190" t="s">
        <v>3245</v>
      </c>
      <c r="J44" s="540">
        <f>SUMIF(127:127,I44,128:128)-SUMIF(127:127,C44,128:128)+100</f>
        <v>100</v>
      </c>
      <c r="K44" s="584">
        <v>1</v>
      </c>
      <c r="L44" s="2126"/>
      <c r="M44" s="2116"/>
      <c r="N44" s="2116"/>
      <c r="O44" s="2125"/>
      <c r="P44" s="3415" t="s">
        <v>550</v>
      </c>
      <c r="Q44" s="1557" t="str">
        <f t="shared" si="14"/>
        <v>工程地质条件</v>
      </c>
      <c r="R44" s="1558" t="s">
        <v>8</v>
      </c>
      <c r="S44" s="1559">
        <f t="shared" si="10"/>
        <v>100</v>
      </c>
      <c r="T44" s="1558" t="s">
        <v>8</v>
      </c>
      <c r="U44" s="1559">
        <f t="shared" si="11"/>
        <v>100</v>
      </c>
      <c r="V44" s="1558" t="s">
        <v>8</v>
      </c>
      <c r="W44" s="1559">
        <f t="shared" si="12"/>
        <v>100</v>
      </c>
      <c r="X44" s="1552"/>
      <c r="Y44" s="3415"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5"/>
      <c r="Q45" s="1557">
        <f t="shared" si="14"/>
        <v>111</v>
      </c>
      <c r="R45" s="1558" t="s">
        <v>8</v>
      </c>
      <c r="S45" s="1559">
        <f t="shared" si="10"/>
        <v>100</v>
      </c>
      <c r="T45" s="1558" t="s">
        <v>8</v>
      </c>
      <c r="U45" s="1559">
        <f t="shared" si="11"/>
        <v>100</v>
      </c>
      <c r="V45" s="1558" t="s">
        <v>8</v>
      </c>
      <c r="W45" s="1559">
        <f t="shared" si="12"/>
        <v>100</v>
      </c>
      <c r="X45" s="1552"/>
      <c r="Y45" s="3415"/>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5"/>
      <c r="Q46" s="1557">
        <f t="shared" si="14"/>
        <v>111</v>
      </c>
      <c r="R46" s="1558" t="s">
        <v>8</v>
      </c>
      <c r="S46" s="1559">
        <f t="shared" si="10"/>
        <v>100</v>
      </c>
      <c r="T46" s="1558" t="s">
        <v>8</v>
      </c>
      <c r="U46" s="1559">
        <f t="shared" si="11"/>
        <v>100</v>
      </c>
      <c r="V46" s="1558" t="s">
        <v>8</v>
      </c>
      <c r="W46" s="1559">
        <f t="shared" si="12"/>
        <v>100</v>
      </c>
      <c r="X46" s="1552"/>
      <c r="Y46" s="3415"/>
      <c r="Z46" s="1560">
        <f t="shared" si="13"/>
        <v>111</v>
      </c>
      <c r="AA46" s="1561">
        <f t="shared" si="3"/>
        <v>1</v>
      </c>
      <c r="AB46" s="1561">
        <f t="shared" si="4"/>
        <v>1</v>
      </c>
      <c r="AC46" s="1561">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5"/>
      <c r="Q47" s="1557">
        <f t="shared" si="14"/>
        <v>111</v>
      </c>
      <c r="R47" s="1562" t="s">
        <v>8</v>
      </c>
      <c r="S47" s="1563">
        <f t="shared" si="10"/>
        <v>100</v>
      </c>
      <c r="T47" s="1562" t="s">
        <v>8</v>
      </c>
      <c r="U47" s="1563">
        <f t="shared" si="11"/>
        <v>100</v>
      </c>
      <c r="V47" s="1562" t="s">
        <v>8</v>
      </c>
      <c r="W47" s="1563">
        <f t="shared" si="12"/>
        <v>100</v>
      </c>
      <c r="X47" s="1564"/>
      <c r="Y47" s="3415"/>
      <c r="Z47" s="1565">
        <f t="shared" si="13"/>
        <v>111</v>
      </c>
      <c r="AA47" s="1561">
        <f t="shared" si="3"/>
        <v>1</v>
      </c>
      <c r="AB47" s="1561">
        <f t="shared" si="4"/>
        <v>1</v>
      </c>
      <c r="AC47" s="1561">
        <f t="shared" si="5"/>
        <v>1</v>
      </c>
    </row>
    <row r="48" spans="1:29" ht="21">
      <c r="A48" s="607" t="s">
        <v>556</v>
      </c>
      <c r="B48" s="608" t="s">
        <v>3013</v>
      </c>
      <c r="C48" s="609" t="s">
        <v>1</v>
      </c>
      <c r="D48" s="610"/>
      <c r="E48" s="611">
        <v>5984</v>
      </c>
      <c r="F48" s="612"/>
      <c r="G48" s="613">
        <v>6114</v>
      </c>
      <c r="H48" s="614"/>
      <c r="I48" s="611">
        <v>5834</v>
      </c>
      <c r="J48" s="614"/>
      <c r="K48" s="1336"/>
      <c r="L48" s="2128"/>
      <c r="M48" s="2116"/>
      <c r="N48" s="2116"/>
      <c r="O48" s="2129"/>
      <c r="P48" s="3377" t="str">
        <f>A48</f>
        <v>成交单价</v>
      </c>
      <c r="Q48" s="3377"/>
      <c r="R48" s="3378">
        <f>E48</f>
        <v>5984</v>
      </c>
      <c r="S48" s="3378"/>
      <c r="T48" s="3378">
        <f>G48</f>
        <v>6114</v>
      </c>
      <c r="U48" s="3378"/>
      <c r="V48" s="3378">
        <f>I48</f>
        <v>5834</v>
      </c>
      <c r="W48" s="3378"/>
      <c r="X48" s="1544"/>
      <c r="Y48" s="1566"/>
      <c r="Z48" s="1544"/>
      <c r="AA48" s="1544"/>
      <c r="AB48" s="1544"/>
      <c r="AC48" s="1544"/>
    </row>
    <row r="49" spans="1:29" ht="21.6" thickBot="1">
      <c r="A49" s="615" t="s">
        <v>2690</v>
      </c>
      <c r="B49" s="616"/>
      <c r="C49" s="617">
        <f>R50</f>
        <v>4687</v>
      </c>
      <c r="D49" s="618"/>
      <c r="E49" s="617">
        <f>R49</f>
        <v>4724</v>
      </c>
      <c r="F49" s="619"/>
      <c r="G49" s="620">
        <f>T49</f>
        <v>4778</v>
      </c>
      <c r="H49" s="618"/>
      <c r="I49" s="617">
        <f>V49</f>
        <v>4559</v>
      </c>
      <c r="J49" s="618"/>
      <c r="K49" s="1337"/>
      <c r="L49" s="2128"/>
      <c r="M49" s="2116"/>
      <c r="N49" s="2116"/>
      <c r="O49" s="2129"/>
      <c r="P49" s="3377" t="str">
        <f>A49</f>
        <v>比较价格（元/平方米）</v>
      </c>
      <c r="Q49" s="3377"/>
      <c r="R49" s="3379">
        <f>ROUND(PRODUCT(R48,AA9:AA47),0)</f>
        <v>4724</v>
      </c>
      <c r="S49" s="3379"/>
      <c r="T49" s="3379">
        <f>ROUND(PRODUCT(T48,AB9:AB47),0)</f>
        <v>4778</v>
      </c>
      <c r="U49" s="3379"/>
      <c r="V49" s="3379">
        <f>ROUND(PRODUCT(V48,AC9:AC47),0)</f>
        <v>4559</v>
      </c>
      <c r="W49" s="3379"/>
      <c r="X49" s="1544"/>
      <c r="Y49" s="1544"/>
      <c r="Z49" s="1544"/>
      <c r="AA49" s="1544"/>
      <c r="AB49" s="1544"/>
      <c r="AC49" s="1544"/>
    </row>
    <row r="50" spans="1:29" ht="21.6" thickBot="1">
      <c r="A50" s="621" t="s">
        <v>2924</v>
      </c>
      <c r="B50" s="622"/>
      <c r="C50" s="623">
        <f>R50</f>
        <v>4687</v>
      </c>
      <c r="D50" s="623"/>
      <c r="E50" s="623"/>
      <c r="F50" s="623"/>
      <c r="G50" s="623"/>
      <c r="H50" s="623"/>
      <c r="I50" s="623"/>
      <c r="J50" s="623"/>
      <c r="K50" s="1338"/>
      <c r="L50" s="2128"/>
      <c r="M50" s="2116"/>
      <c r="N50" s="2116"/>
      <c r="O50" s="2129"/>
      <c r="P50" s="3374" t="str">
        <f>A50</f>
        <v>估价对象XX用房的比较价格（楼面单价，元/平方米）</v>
      </c>
      <c r="Q50" s="3375"/>
      <c r="R50" s="3376">
        <f>ROUND(AVERAGE(R49:V49),0)</f>
        <v>4687</v>
      </c>
      <c r="S50" s="3376"/>
      <c r="T50" s="3376"/>
      <c r="U50" s="3376"/>
      <c r="V50" s="3376"/>
      <c r="W50" s="3376"/>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21">
      <c r="A53" s="2129"/>
      <c r="B53" s="2129"/>
      <c r="C53" s="624" t="s">
        <v>557</v>
      </c>
      <c r="D53" s="625"/>
      <c r="E53" s="626">
        <f>IF(E48&lt;E49,E49/E48-1,E48/E49-1)</f>
        <v>0.26672311600338694</v>
      </c>
      <c r="F53" s="627" t="str">
        <f>IF(OR(E53&gt;=0.3,E53&lt;=-0.3),"超过30%","")</f>
        <v/>
      </c>
      <c r="G53" s="626">
        <f>IF(G48&lt;G49,G49/G48-1,G48/G49-1)</f>
        <v>0.27961490163248226</v>
      </c>
      <c r="H53" s="627" t="str">
        <f>IF(OR(G53&gt;=0.3,G53&lt;=-0.3),"超过30%","")</f>
        <v/>
      </c>
      <c r="I53" s="626">
        <f>IF(I48&lt;I49,I49/I48-1,I48/I49-1)</f>
        <v>0.27966659355121748</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21">
      <c r="A54" s="2129"/>
      <c r="B54" s="2129"/>
      <c r="C54" s="624" t="s">
        <v>558</v>
      </c>
      <c r="D54" s="628"/>
      <c r="E54" s="626">
        <f>IF(E49&lt;G49,G49/E49-1,E49/G49-1)</f>
        <v>1.1430990685859399E-2</v>
      </c>
      <c r="F54" s="627" t="str">
        <f>IF(OR(E54&gt;=0.2,E54&lt;=-0.2),"超过20%","")</f>
        <v/>
      </c>
      <c r="G54" s="626">
        <f>IF(G49&lt;I49,I49/G49-1,G49/I49-1)</f>
        <v>4.8036850186444324E-2</v>
      </c>
      <c r="H54" s="627" t="str">
        <f>IF(OR(G54&gt;=0.2,G54&lt;=-0.2),"超过20%","")</f>
        <v/>
      </c>
      <c r="I54" s="626">
        <f>IF(I49&lt;E49,E49/I49-1,I49/E49-1)</f>
        <v>3.6192147400745833E-2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21">
      <c r="A55" s="2130"/>
      <c r="B55" s="2130"/>
      <c r="C55" s="624" t="s">
        <v>559</v>
      </c>
      <c r="D55" s="628"/>
      <c r="E55" s="626">
        <f>IF(E48&lt;G48,G48/E48-1,E48/G48-1)</f>
        <v>2.1724598930481287E-2</v>
      </c>
      <c r="F55" s="627" t="str">
        <f>IF(OR(E55&gt;=0.3,E55&lt;=-0.3),"超过30%","")</f>
        <v/>
      </c>
      <c r="G55" s="626">
        <f>IF(G48&lt;I48,I48/G48-1,G48/I48-1)</f>
        <v>4.7994514912581332E-2</v>
      </c>
      <c r="H55" s="627" t="str">
        <f>IF(OR(G55&gt;=0.3,G55&lt;=-0.3),"超过30%","")</f>
        <v/>
      </c>
      <c r="I55" s="626">
        <f>IF(I48&lt;E48,E48/I48-1,I48/E48-1)</f>
        <v>2.5711347274597118E-2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8.8">
      <c r="A57" s="629" t="s">
        <v>560</v>
      </c>
      <c r="B57" s="630" t="s">
        <v>561</v>
      </c>
      <c r="C57" s="1545" t="s">
        <v>1724</v>
      </c>
      <c r="D57" s="2211" t="s">
        <v>2291</v>
      </c>
      <c r="E57" s="631" t="s">
        <v>562</v>
      </c>
      <c r="F57" s="632" t="s">
        <v>563</v>
      </c>
      <c r="G57" s="3404" t="s">
        <v>2279</v>
      </c>
      <c r="H57" s="3405"/>
      <c r="I57" s="1540" t="s">
        <v>1722</v>
      </c>
      <c r="J57" s="1540"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4687</v>
      </c>
      <c r="C58" s="635">
        <v>1</v>
      </c>
      <c r="D58" s="2212">
        <v>1</v>
      </c>
      <c r="E58" s="635">
        <f>'数据-汇总表'!E8+'数据-汇总表'!E9</f>
        <v>222013</v>
      </c>
      <c r="F58" s="636">
        <f t="shared" ref="F58:F67" si="15">ROUND(B58*E58/10000,0)</f>
        <v>104057</v>
      </c>
      <c r="G58" s="3406"/>
      <c r="H58" s="340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6">IF($C$57="北京市系数",I59,J59)</f>
        <v>0</v>
      </c>
      <c r="D59" s="2213">
        <v>0.25</v>
      </c>
      <c r="E59" s="639">
        <v>0</v>
      </c>
      <c r="F59" s="636">
        <f t="shared" si="15"/>
        <v>0</v>
      </c>
      <c r="G59" s="3408"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7">ROUND($C$50*C60*D60,0)</f>
        <v>0</v>
      </c>
      <c r="C60" s="378">
        <f t="shared" si="16"/>
        <v>0</v>
      </c>
      <c r="D60" s="2213">
        <v>0.25</v>
      </c>
      <c r="E60" s="639">
        <v>0</v>
      </c>
      <c r="F60" s="636">
        <f t="shared" si="15"/>
        <v>0</v>
      </c>
      <c r="G60" s="340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7"/>
        <v>0</v>
      </c>
      <c r="C61" s="378">
        <f t="shared" si="16"/>
        <v>0</v>
      </c>
      <c r="D61" s="2213">
        <v>0.25</v>
      </c>
      <c r="E61" s="639">
        <v>0</v>
      </c>
      <c r="F61" s="636">
        <f t="shared" si="15"/>
        <v>0</v>
      </c>
      <c r="G61" s="340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7"/>
        <v>0</v>
      </c>
      <c r="C62" s="378">
        <f t="shared" si="16"/>
        <v>0</v>
      </c>
      <c r="D62" s="2213">
        <v>0.25</v>
      </c>
      <c r="E62" s="639">
        <v>0</v>
      </c>
      <c r="F62" s="636">
        <f t="shared" si="15"/>
        <v>0</v>
      </c>
      <c r="G62" s="340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7"/>
        <v>0</v>
      </c>
      <c r="C65" s="378">
        <f t="shared" si="16"/>
        <v>0</v>
      </c>
      <c r="D65" s="2213">
        <v>0.25</v>
      </c>
      <c r="E65" s="641">
        <f>'数据-汇总表'!E13</f>
        <v>78732</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2292</v>
      </c>
      <c r="E68" s="643">
        <f>IF(B48="楼面地价",SUM(E58:E67),'数据-汇总表'!D3)</f>
        <v>300745</v>
      </c>
      <c r="F68" s="644">
        <f>IF(B48="楼面地价",SUM(F58:F67),ROUND(C50*E68/10000,0))</f>
        <v>104057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4.4">
      <c r="A72" s="2531" t="s">
        <v>2530</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2644</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9" t="s">
        <v>3240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3.5（含）-4</v>
      </c>
      <c r="J81" s="682" t="str">
        <f t="shared" si="20"/>
        <v>4（含）-4.5</v>
      </c>
      <c r="K81" s="682" t="str">
        <f t="shared" si="20"/>
        <v>4.5（含）-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1.5</v>
      </c>
      <c r="F82" s="541">
        <v>2</v>
      </c>
      <c r="G82" s="541">
        <v>2.5</v>
      </c>
      <c r="H82" s="541">
        <v>3</v>
      </c>
      <c r="I82" s="541">
        <v>3.5</v>
      </c>
      <c r="J82" s="541">
        <v>4</v>
      </c>
      <c r="K82" s="541">
        <v>4.5</v>
      </c>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96</v>
      </c>
      <c r="E101" s="679">
        <f>D101-$K27</f>
        <v>92</v>
      </c>
      <c r="F101" s="679">
        <f>E101-$K27</f>
        <v>88</v>
      </c>
      <c r="G101" s="679">
        <f>F101-$K27</f>
        <v>84</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96</v>
      </c>
      <c r="E103" s="679">
        <f>D103-$K29</f>
        <v>92</v>
      </c>
      <c r="F103" s="679">
        <f>E103-$K29</f>
        <v>88</v>
      </c>
      <c r="G103" s="679">
        <f>F103-$K29</f>
        <v>84</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39" t="str">
        <f t="shared" si="25"/>
        <v>(含)-</v>
      </c>
      <c r="K118" s="3039" t="str">
        <f t="shared" si="25"/>
        <v>(含)-</v>
      </c>
      <c r="L118" s="3040" t="str">
        <f t="shared" si="25"/>
        <v>(含)-</v>
      </c>
      <c r="M118" s="304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10000</v>
      </c>
      <c r="E119" s="730">
        <v>20000</v>
      </c>
      <c r="F119" s="730">
        <v>50000</v>
      </c>
      <c r="G119" s="730">
        <v>100000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101</v>
      </c>
      <c r="E120" s="726">
        <v>102</v>
      </c>
      <c r="F120" s="726">
        <v>103</v>
      </c>
      <c r="G120" s="726">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t="s">
        <v>3287</v>
      </c>
      <c r="D125" s="1370" t="s">
        <v>3288</v>
      </c>
      <c r="E125" s="1370" t="s">
        <v>3289</v>
      </c>
      <c r="F125" s="1370" t="s">
        <v>3290</v>
      </c>
      <c r="G125" s="1370" t="s">
        <v>3291</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opLeftCell="A82" zoomScale="85" zoomScaleNormal="85" workbookViewId="0">
      <selection activeCell="N41" sqref="N41"/>
    </sheetView>
  </sheetViews>
  <sheetFormatPr defaultRowHeight="14.4"/>
  <cols>
    <col min="1" max="1" width="20.33203125" customWidth="1"/>
    <col min="13" max="13" width="23.44140625" customWidth="1"/>
  </cols>
  <sheetData>
    <row r="1" spans="1:14">
      <c r="A1" s="3183" t="s">
        <v>3018</v>
      </c>
      <c r="B1" s="3183" t="s">
        <v>3019</v>
      </c>
      <c r="C1" s="3183" t="s">
        <v>3020</v>
      </c>
      <c r="D1" s="3183" t="s">
        <v>3021</v>
      </c>
      <c r="E1" s="3183" t="s">
        <v>3022</v>
      </c>
      <c r="F1" s="3183" t="s">
        <v>2030</v>
      </c>
      <c r="G1" s="3183" t="s">
        <v>3023</v>
      </c>
      <c r="H1" s="3183" t="s">
        <v>3024</v>
      </c>
      <c r="I1" s="3183" t="s">
        <v>3025</v>
      </c>
      <c r="J1" s="3183" t="s">
        <v>3026</v>
      </c>
      <c r="K1" s="3183" t="s">
        <v>3027</v>
      </c>
      <c r="L1" s="3183" t="s">
        <v>3028</v>
      </c>
      <c r="M1" s="3183" t="s">
        <v>3029</v>
      </c>
      <c r="N1" s="3183" t="s">
        <v>3030</v>
      </c>
    </row>
    <row r="2" spans="1:14">
      <c r="A2" s="3183" t="s">
        <v>3031</v>
      </c>
      <c r="B2" s="3183" t="s">
        <v>3032</v>
      </c>
      <c r="C2" s="3183" t="s">
        <v>3033</v>
      </c>
      <c r="D2" s="3183">
        <v>39935</v>
      </c>
      <c r="E2" s="3183">
        <v>111818</v>
      </c>
      <c r="F2" s="3183" t="s">
        <v>3034</v>
      </c>
      <c r="G2" s="3183" t="s">
        <v>3035</v>
      </c>
      <c r="H2" s="3183" t="s">
        <v>3036</v>
      </c>
      <c r="I2" s="3183">
        <v>27272.400000000001</v>
      </c>
      <c r="J2" s="3183">
        <v>27272.400000000001</v>
      </c>
      <c r="K2" s="3183">
        <v>2439</v>
      </c>
      <c r="L2" s="3183">
        <v>0</v>
      </c>
      <c r="M2" s="3183" t="s">
        <v>3037</v>
      </c>
      <c r="N2" s="3183" t="s">
        <v>3038</v>
      </c>
    </row>
    <row r="3" spans="1:14">
      <c r="A3" s="3183" t="s">
        <v>3039</v>
      </c>
      <c r="B3" s="3183" t="s">
        <v>3032</v>
      </c>
      <c r="C3" s="3183" t="s">
        <v>3033</v>
      </c>
      <c r="D3" s="3183">
        <v>39360</v>
      </c>
      <c r="E3" s="3183">
        <v>110208</v>
      </c>
      <c r="F3" s="3183" t="s">
        <v>3034</v>
      </c>
      <c r="G3" s="3183" t="s">
        <v>3035</v>
      </c>
      <c r="H3" s="3183" t="s">
        <v>3036</v>
      </c>
      <c r="I3" s="3183">
        <v>26879.72</v>
      </c>
      <c r="J3" s="3183">
        <v>26879.72</v>
      </c>
      <c r="K3" s="3183">
        <v>2439</v>
      </c>
      <c r="L3" s="3183">
        <v>0</v>
      </c>
      <c r="M3" s="3183" t="s">
        <v>3037</v>
      </c>
      <c r="N3" s="3183" t="s">
        <v>3038</v>
      </c>
    </row>
    <row r="4" spans="1:14">
      <c r="A4" s="3183" t="s">
        <v>3040</v>
      </c>
      <c r="B4" s="3183" t="s">
        <v>3032</v>
      </c>
      <c r="C4" s="3183" t="s">
        <v>3033</v>
      </c>
      <c r="D4" s="3183">
        <v>24609</v>
      </c>
      <c r="E4" s="3183">
        <v>68905</v>
      </c>
      <c r="F4" s="3183" t="s">
        <v>3034</v>
      </c>
      <c r="G4" s="3183" t="s">
        <v>3035</v>
      </c>
      <c r="H4" s="3183" t="s">
        <v>3036</v>
      </c>
      <c r="I4" s="3183">
        <v>16805.93</v>
      </c>
      <c r="J4" s="3183">
        <v>16805.93</v>
      </c>
      <c r="K4" s="3183">
        <v>2439</v>
      </c>
      <c r="L4" s="3183">
        <v>0</v>
      </c>
      <c r="M4" s="3183" t="s">
        <v>3037</v>
      </c>
      <c r="N4" s="3183" t="s">
        <v>3038</v>
      </c>
    </row>
    <row r="5" spans="1:14">
      <c r="A5" s="3183" t="s">
        <v>3041</v>
      </c>
      <c r="B5" s="3183" t="s">
        <v>3032</v>
      </c>
      <c r="C5" s="3183" t="s">
        <v>3033</v>
      </c>
      <c r="D5" s="3183">
        <v>34365</v>
      </c>
      <c r="E5" s="3183">
        <v>68730</v>
      </c>
      <c r="F5" s="3183" t="s">
        <v>3042</v>
      </c>
      <c r="G5" s="3183" t="s">
        <v>3035</v>
      </c>
      <c r="H5" s="3183" t="s">
        <v>3043</v>
      </c>
      <c r="I5" s="3183">
        <v>11189.23</v>
      </c>
      <c r="J5" s="3183">
        <v>11189.23</v>
      </c>
      <c r="K5" s="3183">
        <v>1628</v>
      </c>
      <c r="L5" s="3183">
        <v>0</v>
      </c>
      <c r="M5" s="3183" t="s">
        <v>3044</v>
      </c>
      <c r="N5" s="3183" t="s">
        <v>3045</v>
      </c>
    </row>
    <row r="6" spans="1:14">
      <c r="A6" s="3183" t="s">
        <v>3046</v>
      </c>
      <c r="B6" s="3183" t="s">
        <v>3032</v>
      </c>
      <c r="C6" s="3183" t="s">
        <v>3033</v>
      </c>
      <c r="D6" s="3183">
        <v>31714</v>
      </c>
      <c r="E6" s="3183">
        <v>79285</v>
      </c>
      <c r="F6" s="3183" t="s">
        <v>3047</v>
      </c>
      <c r="G6" s="3183" t="s">
        <v>3035</v>
      </c>
      <c r="H6" s="3183" t="s">
        <v>3048</v>
      </c>
      <c r="I6" s="3183">
        <v>3084.19</v>
      </c>
      <c r="J6" s="3183">
        <v>3163.46</v>
      </c>
      <c r="K6" s="3183">
        <v>399</v>
      </c>
      <c r="L6" s="3183">
        <v>2.57</v>
      </c>
      <c r="M6" s="3183" t="s">
        <v>3049</v>
      </c>
      <c r="N6" s="3183" t="s">
        <v>3050</v>
      </c>
    </row>
    <row r="7" spans="1:14">
      <c r="A7" s="3183" t="s">
        <v>3051</v>
      </c>
      <c r="B7" s="3183" t="s">
        <v>3032</v>
      </c>
      <c r="C7" s="3183" t="s">
        <v>3033</v>
      </c>
      <c r="D7" s="3183">
        <v>41310</v>
      </c>
      <c r="E7" s="3183">
        <v>74358</v>
      </c>
      <c r="F7" s="3183" t="s">
        <v>3052</v>
      </c>
      <c r="G7" s="3183" t="s">
        <v>3035</v>
      </c>
      <c r="H7" s="3183" t="s">
        <v>3053</v>
      </c>
      <c r="I7" s="3183">
        <v>18470.52</v>
      </c>
      <c r="J7" s="3183">
        <v>18470.52</v>
      </c>
      <c r="K7" s="3183">
        <v>2484</v>
      </c>
      <c r="L7" s="3183">
        <v>0</v>
      </c>
      <c r="M7" s="3183" t="s">
        <v>3054</v>
      </c>
      <c r="N7" s="3183" t="s">
        <v>3038</v>
      </c>
    </row>
    <row r="8" spans="1:14">
      <c r="A8" s="3183" t="s">
        <v>3051</v>
      </c>
      <c r="B8" s="3183" t="s">
        <v>3032</v>
      </c>
      <c r="C8" s="3183" t="s">
        <v>3033</v>
      </c>
      <c r="D8" s="3183">
        <v>41319</v>
      </c>
      <c r="E8" s="3183">
        <v>74374</v>
      </c>
      <c r="F8" s="3183" t="s">
        <v>3052</v>
      </c>
      <c r="G8" s="3183" t="s">
        <v>3035</v>
      </c>
      <c r="H8" s="3183" t="s">
        <v>3053</v>
      </c>
      <c r="I8" s="3183">
        <v>18474.5</v>
      </c>
      <c r="J8" s="3183">
        <v>18474.5</v>
      </c>
      <c r="K8" s="3183">
        <v>2484</v>
      </c>
      <c r="L8" s="3183">
        <v>0</v>
      </c>
      <c r="M8" s="3183" t="s">
        <v>3054</v>
      </c>
      <c r="N8" s="3183" t="s">
        <v>3038</v>
      </c>
    </row>
    <row r="9" spans="1:14">
      <c r="A9" s="3183" t="s">
        <v>3055</v>
      </c>
      <c r="B9" s="3183" t="s">
        <v>3032</v>
      </c>
      <c r="C9" s="3183" t="s">
        <v>3033</v>
      </c>
      <c r="D9" s="3183">
        <v>63158</v>
      </c>
      <c r="E9" s="3183">
        <v>151579</v>
      </c>
      <c r="F9" s="3183" t="s">
        <v>3056</v>
      </c>
      <c r="G9" s="3183" t="s">
        <v>3035</v>
      </c>
      <c r="H9" s="3183" t="s">
        <v>3057</v>
      </c>
      <c r="I9" s="3183">
        <v>34772.22</v>
      </c>
      <c r="J9" s="3183">
        <v>34772.22</v>
      </c>
      <c r="K9" s="3183">
        <v>2294</v>
      </c>
      <c r="L9" s="3183">
        <v>0</v>
      </c>
      <c r="M9" s="3183" t="s">
        <v>3058</v>
      </c>
      <c r="N9" s="3183" t="s">
        <v>3050</v>
      </c>
    </row>
    <row r="10" spans="1:14">
      <c r="A10" s="3183" t="s">
        <v>3059</v>
      </c>
      <c r="B10" s="3183" t="s">
        <v>3032</v>
      </c>
      <c r="C10" s="3183" t="s">
        <v>3033</v>
      </c>
      <c r="D10" s="3183">
        <v>41271</v>
      </c>
      <c r="E10" s="3183">
        <v>119685</v>
      </c>
      <c r="F10" s="3183" t="s">
        <v>3060</v>
      </c>
      <c r="G10" s="3183" t="s">
        <v>3035</v>
      </c>
      <c r="H10" s="3183" t="s">
        <v>3061</v>
      </c>
      <c r="I10" s="3183">
        <v>43086.59</v>
      </c>
      <c r="J10" s="3183">
        <v>43086.59</v>
      </c>
      <c r="K10" s="3183">
        <v>3600</v>
      </c>
      <c r="L10" s="3183">
        <v>0</v>
      </c>
      <c r="M10" s="3183" t="s">
        <v>3062</v>
      </c>
      <c r="N10" s="3183" t="s">
        <v>3038</v>
      </c>
    </row>
    <row r="11" spans="1:14">
      <c r="A11" s="3183" t="s">
        <v>3063</v>
      </c>
      <c r="B11" s="3183" t="s">
        <v>3032</v>
      </c>
      <c r="C11" s="3183" t="s">
        <v>3033</v>
      </c>
      <c r="D11" s="3183">
        <v>44407</v>
      </c>
      <c r="E11" s="3183">
        <v>106577</v>
      </c>
      <c r="F11" s="3183" t="s">
        <v>3056</v>
      </c>
      <c r="G11" s="3183" t="s">
        <v>3035</v>
      </c>
      <c r="H11" s="3183" t="s">
        <v>3064</v>
      </c>
      <c r="I11" s="3183">
        <v>21507.24</v>
      </c>
      <c r="J11" s="3183">
        <v>21507.24</v>
      </c>
      <c r="K11" s="3183">
        <v>2018</v>
      </c>
      <c r="L11" s="3183">
        <v>0</v>
      </c>
      <c r="M11" s="3183" t="s">
        <v>3065</v>
      </c>
      <c r="N11" s="3183" t="s">
        <v>3050</v>
      </c>
    </row>
    <row r="12" spans="1:14">
      <c r="A12" s="3183" t="s">
        <v>3066</v>
      </c>
      <c r="B12" s="3183" t="s">
        <v>3032</v>
      </c>
      <c r="C12" s="3183" t="s">
        <v>3033</v>
      </c>
      <c r="D12" s="3183">
        <v>41397</v>
      </c>
      <c r="E12" s="3183">
        <v>91073</v>
      </c>
      <c r="F12" s="3183" t="s">
        <v>3067</v>
      </c>
      <c r="G12" s="3183" t="s">
        <v>3035</v>
      </c>
      <c r="H12" s="3183" t="s">
        <v>3064</v>
      </c>
      <c r="I12" s="3183">
        <v>19234.61</v>
      </c>
      <c r="J12" s="3183">
        <v>19234.61</v>
      </c>
      <c r="K12" s="3183">
        <v>2112</v>
      </c>
      <c r="L12" s="3183">
        <v>0</v>
      </c>
      <c r="M12" s="3183" t="s">
        <v>3065</v>
      </c>
      <c r="N12" s="3183" t="s">
        <v>3050</v>
      </c>
    </row>
    <row r="13" spans="1:14">
      <c r="A13" s="3183" t="s">
        <v>3063</v>
      </c>
      <c r="B13" s="3183" t="s">
        <v>3032</v>
      </c>
      <c r="C13" s="3183" t="s">
        <v>3033</v>
      </c>
      <c r="D13" s="3183">
        <v>63268</v>
      </c>
      <c r="E13" s="3183">
        <v>151843</v>
      </c>
      <c r="F13" s="3183" t="s">
        <v>3056</v>
      </c>
      <c r="G13" s="3183" t="s">
        <v>3035</v>
      </c>
      <c r="H13" s="3183" t="s">
        <v>3064</v>
      </c>
      <c r="I13" s="3183">
        <v>30641.91</v>
      </c>
      <c r="J13" s="3183">
        <v>30641.91</v>
      </c>
      <c r="K13" s="3183">
        <v>2018</v>
      </c>
      <c r="L13" s="3183">
        <v>0</v>
      </c>
      <c r="M13" s="3183" t="s">
        <v>3065</v>
      </c>
      <c r="N13" s="3183" t="s">
        <v>3050</v>
      </c>
    </row>
    <row r="14" spans="1:14">
      <c r="A14" s="3183" t="s">
        <v>3068</v>
      </c>
      <c r="B14" s="3183" t="s">
        <v>3032</v>
      </c>
      <c r="C14" s="3183" t="s">
        <v>3033</v>
      </c>
      <c r="D14" s="3183">
        <v>23228</v>
      </c>
      <c r="E14" s="3183">
        <v>41810</v>
      </c>
      <c r="F14" s="3183" t="s">
        <v>3069</v>
      </c>
      <c r="G14" s="3183" t="s">
        <v>3035</v>
      </c>
      <c r="H14" s="3183" t="s">
        <v>3070</v>
      </c>
      <c r="I14" s="3183">
        <v>10385.6</v>
      </c>
      <c r="J14" s="3183">
        <v>10385.6</v>
      </c>
      <c r="K14" s="3183">
        <v>2484</v>
      </c>
      <c r="L14" s="3183">
        <v>0</v>
      </c>
      <c r="M14" s="3183" t="s">
        <v>3071</v>
      </c>
      <c r="N14" s="3183" t="s">
        <v>3038</v>
      </c>
    </row>
    <row r="15" spans="1:14">
      <c r="A15" s="3183" t="s">
        <v>3072</v>
      </c>
      <c r="B15" s="3183" t="s">
        <v>3032</v>
      </c>
      <c r="C15" s="3183" t="s">
        <v>3033</v>
      </c>
      <c r="D15" s="3183">
        <v>59140</v>
      </c>
      <c r="E15" s="3183">
        <v>147042</v>
      </c>
      <c r="F15" s="3183" t="s">
        <v>3073</v>
      </c>
      <c r="G15" s="3183" t="s">
        <v>3035</v>
      </c>
      <c r="H15" s="3183" t="s">
        <v>3070</v>
      </c>
      <c r="I15" s="3183">
        <v>34775.43</v>
      </c>
      <c r="J15" s="3183">
        <v>34775.43</v>
      </c>
      <c r="K15" s="3183">
        <v>2365</v>
      </c>
      <c r="L15" s="3183">
        <v>0</v>
      </c>
      <c r="M15" s="3183" t="s">
        <v>3074</v>
      </c>
      <c r="N15" s="3183" t="s">
        <v>3038</v>
      </c>
    </row>
    <row r="16" spans="1:14">
      <c r="A16" s="3183" t="s">
        <v>3075</v>
      </c>
      <c r="B16" s="3183" t="s">
        <v>3032</v>
      </c>
      <c r="C16" s="3183" t="s">
        <v>3033</v>
      </c>
      <c r="D16" s="3183">
        <v>45695</v>
      </c>
      <c r="E16" s="3183">
        <v>120346</v>
      </c>
      <c r="F16" s="3183" t="s">
        <v>3073</v>
      </c>
      <c r="G16" s="3183" t="s">
        <v>3035</v>
      </c>
      <c r="H16" s="3183" t="s">
        <v>3070</v>
      </c>
      <c r="I16" s="3183">
        <v>26873.25</v>
      </c>
      <c r="J16" s="3183">
        <v>26873.25</v>
      </c>
      <c r="K16" s="3183">
        <v>2233</v>
      </c>
      <c r="L16" s="3183">
        <v>0</v>
      </c>
      <c r="M16" s="3183" t="s">
        <v>3076</v>
      </c>
      <c r="N16" s="3183" t="s">
        <v>3038</v>
      </c>
    </row>
    <row r="17" spans="1:14">
      <c r="A17" s="3183" t="s">
        <v>3077</v>
      </c>
      <c r="B17" s="3183" t="s">
        <v>3032</v>
      </c>
      <c r="C17" s="3183" t="s">
        <v>3033</v>
      </c>
      <c r="D17" s="3183">
        <v>63325</v>
      </c>
      <c r="E17" s="3183">
        <v>160690</v>
      </c>
      <c r="F17" s="3183" t="s">
        <v>3073</v>
      </c>
      <c r="G17" s="3183" t="s">
        <v>3035</v>
      </c>
      <c r="H17" s="3183" t="s">
        <v>3070</v>
      </c>
      <c r="I17" s="3183">
        <v>37247.94</v>
      </c>
      <c r="J17" s="3183">
        <v>37247.94</v>
      </c>
      <c r="K17" s="3183">
        <v>2318</v>
      </c>
      <c r="L17" s="3183">
        <v>0</v>
      </c>
      <c r="M17" s="3183" t="s">
        <v>3078</v>
      </c>
      <c r="N17" s="3183" t="s">
        <v>3038</v>
      </c>
    </row>
    <row r="18" spans="1:14">
      <c r="A18" s="3183" t="s">
        <v>3075</v>
      </c>
      <c r="B18" s="3183" t="s">
        <v>3032</v>
      </c>
      <c r="C18" s="3183" t="s">
        <v>3033</v>
      </c>
      <c r="D18" s="3183">
        <v>39262</v>
      </c>
      <c r="E18" s="3183">
        <v>102376</v>
      </c>
      <c r="F18" s="3183" t="s">
        <v>3073</v>
      </c>
      <c r="G18" s="3183" t="s">
        <v>3035</v>
      </c>
      <c r="H18" s="3183" t="s">
        <v>3070</v>
      </c>
      <c r="I18" s="3183">
        <v>23096.02</v>
      </c>
      <c r="J18" s="3183">
        <v>23096.02</v>
      </c>
      <c r="K18" s="3183">
        <v>2256</v>
      </c>
      <c r="L18" s="3183">
        <v>0</v>
      </c>
      <c r="M18" s="3183" t="s">
        <v>3076</v>
      </c>
      <c r="N18" s="3183" t="s">
        <v>3038</v>
      </c>
    </row>
    <row r="19" spans="1:14">
      <c r="A19" s="3183" t="s">
        <v>3072</v>
      </c>
      <c r="B19" s="3183" t="s">
        <v>3032</v>
      </c>
      <c r="C19" s="3183" t="s">
        <v>3033</v>
      </c>
      <c r="D19" s="3183">
        <v>30867</v>
      </c>
      <c r="E19" s="3183">
        <v>74460</v>
      </c>
      <c r="F19" s="3183" t="s">
        <v>3073</v>
      </c>
      <c r="G19" s="3183" t="s">
        <v>3035</v>
      </c>
      <c r="H19" s="3183" t="s">
        <v>3070</v>
      </c>
      <c r="I19" s="3183">
        <v>18153.34</v>
      </c>
      <c r="J19" s="3183">
        <v>18153.34</v>
      </c>
      <c r="K19" s="3183">
        <v>2438</v>
      </c>
      <c r="L19" s="3183">
        <v>0</v>
      </c>
      <c r="M19" s="3183" t="s">
        <v>3074</v>
      </c>
      <c r="N19" s="3183" t="s">
        <v>3038</v>
      </c>
    </row>
    <row r="20" spans="1:14">
      <c r="A20" s="3183" t="s">
        <v>3079</v>
      </c>
      <c r="B20" s="3183" t="s">
        <v>3032</v>
      </c>
      <c r="C20" s="3183" t="s">
        <v>3033</v>
      </c>
      <c r="D20" s="3183">
        <v>30067</v>
      </c>
      <c r="E20" s="3183">
        <v>54120</v>
      </c>
      <c r="F20" s="3183" t="s">
        <v>3080</v>
      </c>
      <c r="G20" s="3183" t="s">
        <v>3035</v>
      </c>
      <c r="H20" s="3183" t="s">
        <v>3081</v>
      </c>
      <c r="I20" s="3183">
        <v>6223.8</v>
      </c>
      <c r="J20" s="3183">
        <v>6223.8</v>
      </c>
      <c r="K20" s="3183">
        <v>1150</v>
      </c>
      <c r="L20" s="3183">
        <v>0</v>
      </c>
      <c r="M20" s="3183" t="s">
        <v>3082</v>
      </c>
      <c r="N20" s="3183" t="s">
        <v>3050</v>
      </c>
    </row>
    <row r="21" spans="1:14">
      <c r="A21" s="3183" t="s">
        <v>3083</v>
      </c>
      <c r="B21" s="3183" t="s">
        <v>3032</v>
      </c>
      <c r="C21" s="3183" t="s">
        <v>3033</v>
      </c>
      <c r="D21" s="3183">
        <v>36063</v>
      </c>
      <c r="E21" s="3183">
        <v>54094</v>
      </c>
      <c r="F21" s="3183" t="s">
        <v>3084</v>
      </c>
      <c r="G21" s="3183" t="s">
        <v>3035</v>
      </c>
      <c r="H21" s="3183" t="s">
        <v>3081</v>
      </c>
      <c r="I21" s="3183">
        <v>16239.02</v>
      </c>
      <c r="J21" s="3183">
        <v>16239.02</v>
      </c>
      <c r="K21" s="3183">
        <v>3002</v>
      </c>
      <c r="L21" s="3183">
        <v>0</v>
      </c>
      <c r="M21" s="3183" t="s">
        <v>3085</v>
      </c>
      <c r="N21" s="3183" t="s">
        <v>3045</v>
      </c>
    </row>
    <row r="22" spans="1:14">
      <c r="A22" s="3183" t="s">
        <v>3083</v>
      </c>
      <c r="B22" s="3183" t="s">
        <v>3032</v>
      </c>
      <c r="C22" s="3183" t="s">
        <v>3033</v>
      </c>
      <c r="D22" s="3183">
        <v>38557</v>
      </c>
      <c r="E22" s="3183">
        <v>57835</v>
      </c>
      <c r="F22" s="3183" t="s">
        <v>3084</v>
      </c>
      <c r="G22" s="3183" t="s">
        <v>3035</v>
      </c>
      <c r="H22" s="3183" t="s">
        <v>3081</v>
      </c>
      <c r="I22" s="3183">
        <v>17362.060000000001</v>
      </c>
      <c r="J22" s="3183">
        <v>17362.060000000001</v>
      </c>
      <c r="K22" s="3183">
        <v>3002</v>
      </c>
      <c r="L22" s="3183">
        <v>0</v>
      </c>
      <c r="M22" s="3183" t="s">
        <v>3085</v>
      </c>
      <c r="N22" s="3183" t="s">
        <v>3045</v>
      </c>
    </row>
    <row r="23" spans="1:14">
      <c r="A23" s="3183" t="s">
        <v>3083</v>
      </c>
      <c r="B23" s="3183" t="s">
        <v>3032</v>
      </c>
      <c r="C23" s="3183" t="s">
        <v>3033</v>
      </c>
      <c r="D23" s="3183">
        <v>43110</v>
      </c>
      <c r="E23" s="3183">
        <v>103464</v>
      </c>
      <c r="F23" s="3183" t="s">
        <v>3086</v>
      </c>
      <c r="G23" s="3183" t="s">
        <v>3035</v>
      </c>
      <c r="H23" s="3183" t="s">
        <v>3081</v>
      </c>
      <c r="I23" s="3183">
        <v>21717.09</v>
      </c>
      <c r="J23" s="3183">
        <v>21717.09</v>
      </c>
      <c r="K23" s="3183">
        <v>2099</v>
      </c>
      <c r="L23" s="3183">
        <v>0</v>
      </c>
      <c r="M23" s="3183" t="s">
        <v>3085</v>
      </c>
      <c r="N23" s="3183" t="s">
        <v>3045</v>
      </c>
    </row>
    <row r="24" spans="1:14">
      <c r="A24" s="3183" t="s">
        <v>3083</v>
      </c>
      <c r="B24" s="3183" t="s">
        <v>3032</v>
      </c>
      <c r="C24" s="3183" t="s">
        <v>3033</v>
      </c>
      <c r="D24" s="3183">
        <v>55333</v>
      </c>
      <c r="E24" s="3183">
        <v>132799</v>
      </c>
      <c r="F24" s="3183" t="s">
        <v>3086</v>
      </c>
      <c r="G24" s="3183" t="s">
        <v>3035</v>
      </c>
      <c r="H24" s="3183" t="s">
        <v>3081</v>
      </c>
      <c r="I24" s="3183">
        <v>27874.5</v>
      </c>
      <c r="J24" s="3183">
        <v>27874.5</v>
      </c>
      <c r="K24" s="3183">
        <v>2099</v>
      </c>
      <c r="L24" s="3183">
        <v>0</v>
      </c>
      <c r="M24" s="3183" t="s">
        <v>3085</v>
      </c>
      <c r="N24" s="3183" t="s">
        <v>3045</v>
      </c>
    </row>
    <row r="25" spans="1:14">
      <c r="A25" s="3183" t="s">
        <v>3087</v>
      </c>
      <c r="B25" s="3183" t="s">
        <v>3032</v>
      </c>
      <c r="C25" s="3183" t="s">
        <v>3033</v>
      </c>
      <c r="D25" s="3183">
        <v>52973</v>
      </c>
      <c r="E25" s="3183">
        <v>153621</v>
      </c>
      <c r="F25" s="3183" t="s">
        <v>3060</v>
      </c>
      <c r="G25" s="3183" t="s">
        <v>3035</v>
      </c>
      <c r="H25" s="3183" t="s">
        <v>3088</v>
      </c>
      <c r="I25" s="3183">
        <v>56424.98</v>
      </c>
      <c r="J25" s="3183">
        <v>56424.98</v>
      </c>
      <c r="K25" s="3183">
        <v>3673</v>
      </c>
      <c r="L25" s="3183">
        <v>0</v>
      </c>
      <c r="M25" s="3183" t="s">
        <v>3089</v>
      </c>
      <c r="N25" s="3183" t="s">
        <v>3038</v>
      </c>
    </row>
    <row r="26" spans="1:14">
      <c r="A26" s="3183" t="s">
        <v>3090</v>
      </c>
      <c r="B26" s="3183" t="s">
        <v>3032</v>
      </c>
      <c r="C26" s="3183" t="s">
        <v>3033</v>
      </c>
      <c r="D26" s="3183">
        <v>17000</v>
      </c>
      <c r="E26" s="3183">
        <v>34000</v>
      </c>
      <c r="F26" s="3183" t="s">
        <v>3042</v>
      </c>
      <c r="G26" s="3183" t="s">
        <v>3035</v>
      </c>
      <c r="H26" s="3183" t="s">
        <v>3091</v>
      </c>
      <c r="I26" s="3183">
        <v>7932.19</v>
      </c>
      <c r="J26" s="3183">
        <v>7932.19</v>
      </c>
      <c r="K26" s="3183">
        <v>2333</v>
      </c>
      <c r="L26" s="3183">
        <v>0</v>
      </c>
      <c r="M26" s="3183" t="s">
        <v>3092</v>
      </c>
      <c r="N26" s="3183" t="s">
        <v>3045</v>
      </c>
    </row>
    <row r="27" spans="1:14">
      <c r="A27" s="3183" t="s">
        <v>3093</v>
      </c>
      <c r="B27" s="3183" t="s">
        <v>3032</v>
      </c>
      <c r="C27" s="3183" t="s">
        <v>3033</v>
      </c>
      <c r="D27" s="3183">
        <v>40923</v>
      </c>
      <c r="E27" s="3183">
        <v>114584</v>
      </c>
      <c r="F27" s="3183" t="s">
        <v>3034</v>
      </c>
      <c r="G27" s="3183" t="s">
        <v>3035</v>
      </c>
      <c r="H27" s="3183" t="s">
        <v>3091</v>
      </c>
      <c r="I27" s="3183">
        <v>27992.86</v>
      </c>
      <c r="J27" s="3183">
        <v>27992.86</v>
      </c>
      <c r="K27" s="3183">
        <v>2443</v>
      </c>
      <c r="L27" s="3183">
        <v>0</v>
      </c>
      <c r="M27" s="3183" t="s">
        <v>3094</v>
      </c>
      <c r="N27" s="3183" t="s">
        <v>3038</v>
      </c>
    </row>
    <row r="28" spans="1:14">
      <c r="A28" s="3183" t="s">
        <v>3095</v>
      </c>
      <c r="B28" s="3183" t="s">
        <v>3032</v>
      </c>
      <c r="C28" s="3183" t="s">
        <v>3033</v>
      </c>
      <c r="D28" s="3183">
        <v>44357</v>
      </c>
      <c r="E28" s="3183">
        <v>124199</v>
      </c>
      <c r="F28" s="3183" t="s">
        <v>3034</v>
      </c>
      <c r="G28" s="3183" t="s">
        <v>3035</v>
      </c>
      <c r="H28" s="3183" t="s">
        <v>3091</v>
      </c>
      <c r="I28" s="3183">
        <v>30341.81</v>
      </c>
      <c r="J28" s="3183">
        <v>30341.81</v>
      </c>
      <c r="K28" s="3183">
        <v>2443</v>
      </c>
      <c r="L28" s="3183">
        <v>0</v>
      </c>
      <c r="M28" s="3183" t="s">
        <v>3094</v>
      </c>
      <c r="N28" s="3183" t="s">
        <v>3050</v>
      </c>
    </row>
    <row r="29" spans="1:14">
      <c r="A29" s="3183" t="s">
        <v>3096</v>
      </c>
      <c r="B29" s="3183" t="s">
        <v>3032</v>
      </c>
      <c r="C29" s="3183" t="s">
        <v>3033</v>
      </c>
      <c r="D29" s="3183">
        <v>30328</v>
      </c>
      <c r="E29" s="3183">
        <v>66721</v>
      </c>
      <c r="F29" s="3183" t="s">
        <v>3097</v>
      </c>
      <c r="G29" s="3183" t="s">
        <v>3035</v>
      </c>
      <c r="H29" s="3183" t="s">
        <v>3098</v>
      </c>
      <c r="I29" s="3183">
        <v>8246.7099999999991</v>
      </c>
      <c r="J29" s="3183">
        <v>8246.7099999999991</v>
      </c>
      <c r="K29" s="3183">
        <v>1236</v>
      </c>
      <c r="L29" s="3183">
        <v>0</v>
      </c>
      <c r="M29" s="3183" t="s">
        <v>3099</v>
      </c>
      <c r="N29" s="3183" t="s">
        <v>3045</v>
      </c>
    </row>
    <row r="30" spans="1:14">
      <c r="A30" s="3183" t="s">
        <v>3100</v>
      </c>
      <c r="B30" s="3183" t="s">
        <v>3032</v>
      </c>
      <c r="C30" s="3183" t="s">
        <v>3033</v>
      </c>
      <c r="D30" s="3183">
        <v>26552</v>
      </c>
      <c r="E30" s="3183">
        <v>69035</v>
      </c>
      <c r="F30" s="3183" t="s">
        <v>3101</v>
      </c>
      <c r="G30" s="3183" t="s">
        <v>3035</v>
      </c>
      <c r="H30" s="3183" t="s">
        <v>3098</v>
      </c>
      <c r="I30" s="3183">
        <v>13544.67</v>
      </c>
      <c r="J30" s="3183">
        <v>13544.67</v>
      </c>
      <c r="K30" s="3183">
        <v>1962</v>
      </c>
      <c r="L30" s="3183">
        <v>0</v>
      </c>
      <c r="M30" s="3183" t="s">
        <v>3102</v>
      </c>
      <c r="N30" s="3183" t="s">
        <v>3050</v>
      </c>
    </row>
    <row r="31" spans="1:14">
      <c r="A31" s="3183" t="s">
        <v>3103</v>
      </c>
      <c r="B31" s="3183" t="s">
        <v>3032</v>
      </c>
      <c r="C31" s="3183" t="s">
        <v>3033</v>
      </c>
      <c r="D31" s="3183">
        <v>5629</v>
      </c>
      <c r="E31" s="3183">
        <v>12946</v>
      </c>
      <c r="F31" s="3183" t="s">
        <v>3104</v>
      </c>
      <c r="G31" s="3183" t="s">
        <v>3035</v>
      </c>
      <c r="H31" s="3183" t="s">
        <v>3098</v>
      </c>
      <c r="I31" s="3183">
        <v>2643.57</v>
      </c>
      <c r="J31" s="3183">
        <v>2643.57</v>
      </c>
      <c r="K31" s="3183">
        <v>2042</v>
      </c>
      <c r="L31" s="3183">
        <v>0</v>
      </c>
      <c r="M31" s="3183" t="s">
        <v>3102</v>
      </c>
      <c r="N31" s="3183" t="s">
        <v>3050</v>
      </c>
    </row>
    <row r="32" spans="1:14">
      <c r="A32" s="3183" t="s">
        <v>3105</v>
      </c>
      <c r="B32" s="3183" t="s">
        <v>3032</v>
      </c>
      <c r="C32" s="3183" t="s">
        <v>3033</v>
      </c>
      <c r="D32" s="3183">
        <v>33194</v>
      </c>
      <c r="E32" s="3183">
        <v>53110</v>
      </c>
      <c r="F32" s="3183" t="s">
        <v>3106</v>
      </c>
      <c r="G32" s="3183" t="s">
        <v>3035</v>
      </c>
      <c r="H32" s="3183" t="s">
        <v>3107</v>
      </c>
      <c r="I32" s="3183">
        <v>16368.5</v>
      </c>
      <c r="J32" s="3183">
        <v>16368.5</v>
      </c>
      <c r="K32" s="3183">
        <v>3082</v>
      </c>
      <c r="L32" s="3183">
        <v>0</v>
      </c>
      <c r="M32" s="3183" t="s">
        <v>3108</v>
      </c>
      <c r="N32" s="3183" t="s">
        <v>3038</v>
      </c>
    </row>
    <row r="33" spans="1:14">
      <c r="A33" s="3183" t="s">
        <v>3109</v>
      </c>
      <c r="B33" s="3183" t="s">
        <v>3032</v>
      </c>
      <c r="C33" s="3183" t="s">
        <v>3033</v>
      </c>
      <c r="D33" s="3183">
        <v>12369</v>
      </c>
      <c r="E33" s="3183">
        <v>37107</v>
      </c>
      <c r="F33" s="3183" t="s">
        <v>3110</v>
      </c>
      <c r="G33" s="3183" t="s">
        <v>3035</v>
      </c>
      <c r="H33" s="3183" t="s">
        <v>3111</v>
      </c>
      <c r="I33" s="3183">
        <v>11725.8</v>
      </c>
      <c r="J33" s="3183">
        <v>11725.8</v>
      </c>
      <c r="K33" s="3183">
        <v>3160</v>
      </c>
      <c r="L33" s="3183">
        <v>0</v>
      </c>
      <c r="M33" s="3183" t="s">
        <v>3112</v>
      </c>
      <c r="N33" s="3183" t="s">
        <v>3038</v>
      </c>
    </row>
    <row r="34" spans="1:14">
      <c r="A34" s="3183" t="s">
        <v>3113</v>
      </c>
      <c r="B34" s="3183" t="s">
        <v>3032</v>
      </c>
      <c r="C34" s="3183" t="s">
        <v>3033</v>
      </c>
      <c r="D34" s="3183">
        <v>41854</v>
      </c>
      <c r="E34" s="3183">
        <v>75337</v>
      </c>
      <c r="F34" s="3183" t="s">
        <v>3069</v>
      </c>
      <c r="G34" s="3183" t="s">
        <v>3035</v>
      </c>
      <c r="H34" s="3183" t="s">
        <v>3114</v>
      </c>
      <c r="I34" s="3183">
        <v>14509.9</v>
      </c>
      <c r="J34" s="3183">
        <v>14509.9</v>
      </c>
      <c r="K34" s="3183">
        <v>1926</v>
      </c>
      <c r="L34" s="3183">
        <v>0</v>
      </c>
      <c r="M34" s="3183" t="s">
        <v>3115</v>
      </c>
      <c r="N34" s="3183" t="s">
        <v>3038</v>
      </c>
    </row>
    <row r="35" spans="1:14">
      <c r="A35" s="3183" t="s">
        <v>3116</v>
      </c>
      <c r="B35" s="3183" t="s">
        <v>3032</v>
      </c>
      <c r="C35" s="3183" t="s">
        <v>3033</v>
      </c>
      <c r="D35" s="3183">
        <v>25880</v>
      </c>
      <c r="E35" s="3183">
        <v>41408</v>
      </c>
      <c r="F35" s="3183" t="s">
        <v>3106</v>
      </c>
      <c r="G35" s="3183" t="s">
        <v>3035</v>
      </c>
      <c r="H35" s="3183" t="s">
        <v>3117</v>
      </c>
      <c r="I35" s="3183">
        <v>7921.35</v>
      </c>
      <c r="J35" s="3183">
        <v>7921.35</v>
      </c>
      <c r="K35" s="3183">
        <v>1913</v>
      </c>
      <c r="L35" s="3183">
        <v>0</v>
      </c>
      <c r="M35" s="3183" t="s">
        <v>3044</v>
      </c>
      <c r="N35" s="3183" t="s">
        <v>3045</v>
      </c>
    </row>
    <row r="36" spans="1:14">
      <c r="A36" s="3183" t="s">
        <v>3118</v>
      </c>
      <c r="B36" s="3183" t="s">
        <v>3032</v>
      </c>
      <c r="C36" s="3183" t="s">
        <v>3033</v>
      </c>
      <c r="D36" s="3183">
        <v>64193</v>
      </c>
      <c r="E36" s="3183">
        <v>128386</v>
      </c>
      <c r="F36" s="3183" t="s">
        <v>3119</v>
      </c>
      <c r="G36" s="3183" t="s">
        <v>3035</v>
      </c>
      <c r="H36" s="3183" t="s">
        <v>3120</v>
      </c>
      <c r="I36" s="3183">
        <v>33418.870000000003</v>
      </c>
      <c r="J36" s="3183">
        <v>33418.870000000003</v>
      </c>
      <c r="K36" s="3183">
        <v>2603</v>
      </c>
      <c r="L36" s="3183">
        <v>0</v>
      </c>
      <c r="M36" s="3183" t="s">
        <v>3121</v>
      </c>
      <c r="N36" s="3183" t="s">
        <v>3050</v>
      </c>
    </row>
    <row r="37" spans="1:14">
      <c r="A37" s="3183" t="s">
        <v>3090</v>
      </c>
      <c r="B37" s="3183" t="s">
        <v>3032</v>
      </c>
      <c r="C37" s="3183" t="s">
        <v>3033</v>
      </c>
      <c r="D37" s="3183">
        <v>69667</v>
      </c>
      <c r="E37" s="3183">
        <v>139334</v>
      </c>
      <c r="F37" s="3183" t="s">
        <v>3119</v>
      </c>
      <c r="G37" s="3183" t="s">
        <v>3035</v>
      </c>
      <c r="H37" s="3183" t="s">
        <v>3120</v>
      </c>
      <c r="I37" s="3183">
        <v>32395.15</v>
      </c>
      <c r="J37" s="3183">
        <v>32395.15</v>
      </c>
      <c r="K37" s="3183">
        <v>2325</v>
      </c>
      <c r="L37" s="3183">
        <v>0</v>
      </c>
      <c r="M37" s="3183" t="s">
        <v>3092</v>
      </c>
      <c r="N37" s="3183" t="s">
        <v>3045</v>
      </c>
    </row>
    <row r="38" spans="1:14">
      <c r="A38" s="3183" t="s">
        <v>3122</v>
      </c>
      <c r="B38" s="3183" t="s">
        <v>3032</v>
      </c>
      <c r="C38" s="3183" t="s">
        <v>3033</v>
      </c>
      <c r="D38" s="3183">
        <v>40644</v>
      </c>
      <c r="E38" s="3183">
        <v>73159</v>
      </c>
      <c r="F38" s="3183" t="s">
        <v>3069</v>
      </c>
      <c r="G38" s="3183" t="s">
        <v>3035</v>
      </c>
      <c r="H38" s="3183" t="s">
        <v>3123</v>
      </c>
      <c r="I38" s="3183">
        <v>6584.31</v>
      </c>
      <c r="J38" s="3183">
        <v>6584.31</v>
      </c>
      <c r="K38" s="3183">
        <v>900</v>
      </c>
      <c r="L38" s="3183">
        <v>0</v>
      </c>
      <c r="M38" s="3183" t="s">
        <v>3124</v>
      </c>
      <c r="N38" s="3183" t="s">
        <v>3050</v>
      </c>
    </row>
    <row r="39" spans="1:14">
      <c r="A39" s="3183" t="s">
        <v>3125</v>
      </c>
      <c r="B39" s="3183" t="s">
        <v>3032</v>
      </c>
      <c r="C39" s="3183" t="s">
        <v>3033</v>
      </c>
      <c r="D39" s="3183">
        <v>63701</v>
      </c>
      <c r="E39" s="3183">
        <v>114661.8</v>
      </c>
      <c r="F39" s="3183" t="s">
        <v>3069</v>
      </c>
      <c r="G39" s="3183" t="s">
        <v>3035</v>
      </c>
      <c r="H39" s="3183" t="s">
        <v>3126</v>
      </c>
      <c r="I39" s="3183">
        <v>12039.4</v>
      </c>
      <c r="J39" s="3183">
        <v>12039.4</v>
      </c>
      <c r="K39" s="3183">
        <v>1049.99</v>
      </c>
      <c r="L39" s="3183">
        <v>0</v>
      </c>
      <c r="M39" s="3183" t="s">
        <v>3127</v>
      </c>
      <c r="N39" s="3183" t="s">
        <v>3045</v>
      </c>
    </row>
    <row r="40" spans="1:14">
      <c r="A40" s="3183" t="s">
        <v>3128</v>
      </c>
      <c r="B40" s="3183" t="s">
        <v>3032</v>
      </c>
      <c r="C40" s="3183" t="s">
        <v>3033</v>
      </c>
      <c r="D40" s="3183">
        <v>37060</v>
      </c>
      <c r="E40" s="3183">
        <v>59296</v>
      </c>
      <c r="F40" s="3183" t="s">
        <v>3106</v>
      </c>
      <c r="G40" s="3183" t="s">
        <v>3035</v>
      </c>
      <c r="H40" s="3183" t="s">
        <v>3126</v>
      </c>
      <c r="I40" s="3183">
        <v>6344.67</v>
      </c>
      <c r="J40" s="3183">
        <v>6344.67</v>
      </c>
      <c r="K40" s="3183">
        <v>1070</v>
      </c>
      <c r="L40" s="3183">
        <v>0</v>
      </c>
      <c r="M40" s="3183" t="s">
        <v>3129</v>
      </c>
      <c r="N40" s="3183" t="s">
        <v>3045</v>
      </c>
    </row>
    <row r="41" spans="1:14">
      <c r="A41" s="3183" t="s">
        <v>3130</v>
      </c>
      <c r="B41" s="3183" t="s">
        <v>3032</v>
      </c>
      <c r="C41" s="3183" t="s">
        <v>3033</v>
      </c>
      <c r="D41" s="3183">
        <v>15406</v>
      </c>
      <c r="E41" s="3183">
        <v>38515</v>
      </c>
      <c r="F41" s="3183" t="s">
        <v>3047</v>
      </c>
      <c r="G41" s="3183" t="s">
        <v>3035</v>
      </c>
      <c r="H41" s="3183" t="s">
        <v>3126</v>
      </c>
      <c r="I41" s="3183">
        <v>7094.46</v>
      </c>
      <c r="J41" s="3183">
        <v>7094.46</v>
      </c>
      <c r="K41" s="3183">
        <v>1842</v>
      </c>
      <c r="L41" s="3183">
        <v>0</v>
      </c>
      <c r="M41" s="3183" t="s">
        <v>3131</v>
      </c>
      <c r="N41" s="3183" t="s">
        <v>3050</v>
      </c>
    </row>
    <row r="42" spans="1:14">
      <c r="A42" s="3183" t="s">
        <v>3132</v>
      </c>
      <c r="B42" s="3183" t="s">
        <v>3032</v>
      </c>
      <c r="C42" s="3183" t="s">
        <v>3033</v>
      </c>
      <c r="D42" s="3183">
        <v>16095</v>
      </c>
      <c r="E42" s="3183">
        <v>32190</v>
      </c>
      <c r="F42" s="3183" t="s">
        <v>3042</v>
      </c>
      <c r="G42" s="3183" t="s">
        <v>3035</v>
      </c>
      <c r="H42" s="3183" t="s">
        <v>3126</v>
      </c>
      <c r="I42" s="3183">
        <v>7532.46</v>
      </c>
      <c r="J42" s="3183">
        <v>7532.46</v>
      </c>
      <c r="K42" s="3183">
        <v>2340</v>
      </c>
      <c r="L42" s="3183">
        <v>0</v>
      </c>
      <c r="M42" s="3183" t="s">
        <v>3133</v>
      </c>
      <c r="N42" s="3183" t="s">
        <v>3050</v>
      </c>
    </row>
    <row r="43" spans="1:14">
      <c r="A43" s="3183" t="s">
        <v>3134</v>
      </c>
      <c r="B43" s="3183" t="s">
        <v>3032</v>
      </c>
      <c r="C43" s="3183" t="s">
        <v>3033</v>
      </c>
      <c r="D43" s="3183">
        <v>42358</v>
      </c>
      <c r="E43" s="3183">
        <v>84716</v>
      </c>
      <c r="F43" s="3183" t="s">
        <v>3135</v>
      </c>
      <c r="G43" s="3183" t="s">
        <v>3035</v>
      </c>
      <c r="H43" s="3183" t="s">
        <v>3126</v>
      </c>
      <c r="I43" s="3183">
        <v>21602.58</v>
      </c>
      <c r="J43" s="3183">
        <v>21602.58</v>
      </c>
      <c r="K43" s="3183">
        <v>2550</v>
      </c>
      <c r="L43" s="3183">
        <v>0</v>
      </c>
      <c r="M43" s="3183" t="s">
        <v>3136</v>
      </c>
      <c r="N43" s="3183" t="s">
        <v>3050</v>
      </c>
    </row>
    <row r="44" spans="1:14">
      <c r="A44" s="3183" t="s">
        <v>3130</v>
      </c>
      <c r="B44" s="3183" t="s">
        <v>3032</v>
      </c>
      <c r="C44" s="3183" t="s">
        <v>3033</v>
      </c>
      <c r="D44" s="3183">
        <v>60641</v>
      </c>
      <c r="E44" s="3183">
        <v>151602.5</v>
      </c>
      <c r="F44" s="3183" t="s">
        <v>3047</v>
      </c>
      <c r="G44" s="3183" t="s">
        <v>3035</v>
      </c>
      <c r="H44" s="3183" t="s">
        <v>3126</v>
      </c>
      <c r="I44" s="3183">
        <v>27925.09</v>
      </c>
      <c r="J44" s="3183">
        <v>27925.09</v>
      </c>
      <c r="K44" s="3183">
        <v>1841.99</v>
      </c>
      <c r="L44" s="3183">
        <v>0</v>
      </c>
      <c r="M44" s="3183" t="s">
        <v>3131</v>
      </c>
      <c r="N44" s="3183" t="s">
        <v>3050</v>
      </c>
    </row>
    <row r="45" spans="1:14">
      <c r="A45" s="3183" t="s">
        <v>3137</v>
      </c>
      <c r="B45" s="3183" t="s">
        <v>3032</v>
      </c>
      <c r="C45" s="3183" t="s">
        <v>3033</v>
      </c>
      <c r="D45" s="3183">
        <v>19630</v>
      </c>
      <c r="E45" s="3183">
        <v>35334</v>
      </c>
      <c r="F45" s="3183" t="s">
        <v>3069</v>
      </c>
      <c r="G45" s="3183" t="s">
        <v>3035</v>
      </c>
      <c r="H45" s="3183" t="s">
        <v>3138</v>
      </c>
      <c r="I45" s="3183">
        <v>4476.8100000000004</v>
      </c>
      <c r="J45" s="3183">
        <v>4476.8100000000004</v>
      </c>
      <c r="K45" s="3183">
        <v>1267</v>
      </c>
      <c r="L45" s="3183">
        <v>0</v>
      </c>
      <c r="M45" s="3183" t="s">
        <v>3139</v>
      </c>
      <c r="N45" s="3183" t="s">
        <v>3045</v>
      </c>
    </row>
    <row r="46" spans="1:14">
      <c r="A46" s="3183" t="s">
        <v>3140</v>
      </c>
      <c r="B46" s="3183" t="s">
        <v>3032</v>
      </c>
      <c r="C46" s="3183" t="s">
        <v>3033</v>
      </c>
      <c r="D46" s="3183">
        <v>38731</v>
      </c>
      <c r="E46" s="3183">
        <v>69715</v>
      </c>
      <c r="F46" s="3183" t="s">
        <v>3069</v>
      </c>
      <c r="G46" s="3183" t="s">
        <v>3035</v>
      </c>
      <c r="H46" s="3183" t="s">
        <v>3138</v>
      </c>
      <c r="I46" s="3183">
        <v>13538.64</v>
      </c>
      <c r="J46" s="3183">
        <v>13538.64</v>
      </c>
      <c r="K46" s="3183">
        <v>1942</v>
      </c>
      <c r="L46" s="3183">
        <v>0</v>
      </c>
      <c r="M46" s="3183" t="s">
        <v>3141</v>
      </c>
      <c r="N46" s="3183" t="s">
        <v>3050</v>
      </c>
    </row>
    <row r="47" spans="1:14">
      <c r="A47" s="3183" t="s">
        <v>3142</v>
      </c>
      <c r="B47" s="3183" t="s">
        <v>3032</v>
      </c>
      <c r="C47" s="3183" t="s">
        <v>3033</v>
      </c>
      <c r="D47" s="3183">
        <v>22714</v>
      </c>
      <c r="E47" s="3183">
        <v>45428</v>
      </c>
      <c r="F47" s="3183" t="s">
        <v>3042</v>
      </c>
      <c r="G47" s="3183" t="s">
        <v>3035</v>
      </c>
      <c r="H47" s="3183" t="s">
        <v>3138</v>
      </c>
      <c r="I47" s="3183">
        <v>10630.14</v>
      </c>
      <c r="J47" s="3183">
        <v>16126.94</v>
      </c>
      <c r="K47" s="3183">
        <v>3550</v>
      </c>
      <c r="L47" s="3183">
        <v>51.71</v>
      </c>
      <c r="M47" s="3183" t="s">
        <v>3143</v>
      </c>
      <c r="N47" s="3183" t="s">
        <v>3050</v>
      </c>
    </row>
    <row r="48" spans="1:14">
      <c r="A48" s="3183" t="s">
        <v>3144</v>
      </c>
      <c r="B48" s="3183" t="s">
        <v>3032</v>
      </c>
      <c r="C48" s="3183" t="s">
        <v>3033</v>
      </c>
      <c r="D48" s="3183">
        <v>38652</v>
      </c>
      <c r="E48" s="3183">
        <v>108225</v>
      </c>
      <c r="F48" s="3183" t="s">
        <v>3034</v>
      </c>
      <c r="G48" s="3183" t="s">
        <v>3035</v>
      </c>
      <c r="H48" s="3183" t="s">
        <v>3138</v>
      </c>
      <c r="I48" s="3183">
        <v>9567.09</v>
      </c>
      <c r="J48" s="3183">
        <v>9567.09</v>
      </c>
      <c r="K48" s="3183">
        <v>884</v>
      </c>
      <c r="L48" s="3183">
        <v>0</v>
      </c>
      <c r="M48" s="3183" t="s">
        <v>3145</v>
      </c>
      <c r="N48" s="3183" t="s">
        <v>3050</v>
      </c>
    </row>
    <row r="49" spans="1:14">
      <c r="A49" s="3183" t="s">
        <v>3146</v>
      </c>
      <c r="B49" s="3183" t="s">
        <v>3032</v>
      </c>
      <c r="C49" s="3183" t="s">
        <v>3033</v>
      </c>
      <c r="D49" s="3183">
        <v>27536</v>
      </c>
      <c r="E49" s="3183">
        <v>55072</v>
      </c>
      <c r="F49" s="3183" t="s">
        <v>3147</v>
      </c>
      <c r="G49" s="3183" t="s">
        <v>3035</v>
      </c>
      <c r="H49" s="3183" t="s">
        <v>3138</v>
      </c>
      <c r="I49" s="3183">
        <v>6278.21</v>
      </c>
      <c r="J49" s="3183">
        <v>6278.21</v>
      </c>
      <c r="K49" s="3183">
        <v>1140</v>
      </c>
      <c r="L49" s="3183">
        <v>0</v>
      </c>
      <c r="M49" s="3183" t="s">
        <v>3145</v>
      </c>
      <c r="N49" s="3183" t="s">
        <v>3050</v>
      </c>
    </row>
    <row r="50" spans="1:14">
      <c r="A50" s="3183" t="s">
        <v>3148</v>
      </c>
      <c r="B50" s="3183" t="s">
        <v>3032</v>
      </c>
      <c r="C50" s="3183" t="s">
        <v>3033</v>
      </c>
      <c r="D50" s="3183">
        <v>25003</v>
      </c>
      <c r="E50" s="3183">
        <v>50006</v>
      </c>
      <c r="F50" s="3183" t="s">
        <v>3042</v>
      </c>
      <c r="G50" s="3183" t="s">
        <v>3035</v>
      </c>
      <c r="H50" s="3183" t="s">
        <v>3138</v>
      </c>
      <c r="I50" s="3183">
        <v>13586.62</v>
      </c>
      <c r="J50" s="3183">
        <v>13586.62</v>
      </c>
      <c r="K50" s="3183">
        <v>2717</v>
      </c>
      <c r="L50" s="3183">
        <v>0</v>
      </c>
      <c r="M50" s="3183" t="s">
        <v>3149</v>
      </c>
      <c r="N50" s="3183" t="s">
        <v>3050</v>
      </c>
    </row>
    <row r="51" spans="1:14">
      <c r="A51" s="3183" t="s">
        <v>3150</v>
      </c>
      <c r="B51" s="3183" t="s">
        <v>3032</v>
      </c>
      <c r="C51" s="3183" t="s">
        <v>3033</v>
      </c>
      <c r="D51" s="3183">
        <v>26247</v>
      </c>
      <c r="E51" s="3183">
        <v>44619</v>
      </c>
      <c r="F51" s="3183" t="s">
        <v>3151</v>
      </c>
      <c r="G51" s="3183" t="s">
        <v>3035</v>
      </c>
      <c r="H51" s="3183" t="s">
        <v>3138</v>
      </c>
      <c r="I51" s="3183">
        <v>9691.25</v>
      </c>
      <c r="J51" s="3183">
        <v>9691.25</v>
      </c>
      <c r="K51" s="3183">
        <v>2172</v>
      </c>
      <c r="L51" s="3183">
        <v>0</v>
      </c>
      <c r="M51" s="3183" t="s">
        <v>3152</v>
      </c>
      <c r="N51" s="3183" t="s">
        <v>3038</v>
      </c>
    </row>
    <row r="52" spans="1:14">
      <c r="A52" s="3185" t="s">
        <v>3153</v>
      </c>
      <c r="B52" s="3185" t="s">
        <v>3032</v>
      </c>
      <c r="C52" s="3185" t="s">
        <v>3033</v>
      </c>
      <c r="D52" s="3185">
        <v>65876</v>
      </c>
      <c r="E52" s="3185">
        <v>164690</v>
      </c>
      <c r="F52" s="3185" t="s">
        <v>3047</v>
      </c>
      <c r="G52" s="3185" t="s">
        <v>3035</v>
      </c>
      <c r="H52" s="3185" t="s">
        <v>3138</v>
      </c>
      <c r="I52" s="3185">
        <v>18675.84</v>
      </c>
      <c r="J52" s="3185">
        <v>18675.84</v>
      </c>
      <c r="K52" s="3185">
        <v>1134</v>
      </c>
      <c r="L52" s="3185">
        <v>0</v>
      </c>
      <c r="M52" s="3185" t="s">
        <v>3154</v>
      </c>
      <c r="N52" s="3185" t="s">
        <v>3038</v>
      </c>
    </row>
    <row r="53" spans="1:14">
      <c r="A53" s="3185" t="s">
        <v>3155</v>
      </c>
      <c r="B53" s="3185" t="s">
        <v>3032</v>
      </c>
      <c r="C53" s="3185" t="s">
        <v>3033</v>
      </c>
      <c r="D53" s="3185">
        <v>19917</v>
      </c>
      <c r="E53" s="3185">
        <v>49792</v>
      </c>
      <c r="F53" s="3185" t="s">
        <v>3047</v>
      </c>
      <c r="G53" s="3185" t="s">
        <v>3035</v>
      </c>
      <c r="H53" s="3185" t="s">
        <v>3138</v>
      </c>
      <c r="I53" s="3185">
        <v>5646.4</v>
      </c>
      <c r="J53" s="3185">
        <v>5646.4</v>
      </c>
      <c r="K53" s="3185">
        <v>1134</v>
      </c>
      <c r="L53" s="3185">
        <v>0</v>
      </c>
      <c r="M53" s="3185" t="s">
        <v>3156</v>
      </c>
      <c r="N53" s="3185" t="s">
        <v>3038</v>
      </c>
    </row>
    <row r="54" spans="1:14">
      <c r="A54" s="3185" t="s">
        <v>3146</v>
      </c>
      <c r="B54" s="3185" t="s">
        <v>3032</v>
      </c>
      <c r="C54" s="3185" t="s">
        <v>3033</v>
      </c>
      <c r="D54" s="3185">
        <v>45126</v>
      </c>
      <c r="E54" s="3185">
        <v>90252</v>
      </c>
      <c r="F54" s="3185" t="s">
        <v>3147</v>
      </c>
      <c r="G54" s="3185" t="s">
        <v>3035</v>
      </c>
      <c r="H54" s="3185" t="s">
        <v>3138</v>
      </c>
      <c r="I54" s="3185">
        <v>10288.719999999999</v>
      </c>
      <c r="J54" s="3185">
        <v>10288.719999999999</v>
      </c>
      <c r="K54" s="3185">
        <v>1140</v>
      </c>
      <c r="L54" s="3185">
        <v>0</v>
      </c>
      <c r="M54" s="3185" t="s">
        <v>3145</v>
      </c>
      <c r="N54" s="3185" t="s">
        <v>3050</v>
      </c>
    </row>
    <row r="55" spans="1:14">
      <c r="A55" s="3185" t="s">
        <v>3157</v>
      </c>
      <c r="B55" s="3185" t="s">
        <v>3032</v>
      </c>
      <c r="C55" s="3185" t="s">
        <v>3033</v>
      </c>
      <c r="D55" s="3185">
        <v>11617</v>
      </c>
      <c r="E55" s="3185">
        <v>23234</v>
      </c>
      <c r="F55" s="3185" t="s">
        <v>3042</v>
      </c>
      <c r="G55" s="3185" t="s">
        <v>3035</v>
      </c>
      <c r="H55" s="3185" t="s">
        <v>3138</v>
      </c>
      <c r="I55" s="3185">
        <v>4704.8900000000003</v>
      </c>
      <c r="J55" s="3185">
        <v>4704.8900000000003</v>
      </c>
      <c r="K55" s="3185">
        <v>2025</v>
      </c>
      <c r="L55" s="3185">
        <v>0</v>
      </c>
      <c r="M55" s="3185" t="s">
        <v>3158</v>
      </c>
      <c r="N55" s="3185" t="s">
        <v>3050</v>
      </c>
    </row>
    <row r="56" spans="1:14">
      <c r="A56" s="3185" t="s">
        <v>3159</v>
      </c>
      <c r="B56" s="3185" t="s">
        <v>3032</v>
      </c>
      <c r="C56" s="3185" t="s">
        <v>3033</v>
      </c>
      <c r="D56" s="3185">
        <v>34792</v>
      </c>
      <c r="E56" s="3185">
        <v>76542.399999999994</v>
      </c>
      <c r="F56" s="3185" t="s">
        <v>3067</v>
      </c>
      <c r="G56" s="3185" t="s">
        <v>3035</v>
      </c>
      <c r="H56" s="3185" t="s">
        <v>3160</v>
      </c>
      <c r="I56" s="3185">
        <v>7868.52</v>
      </c>
      <c r="J56" s="3185">
        <v>7868.52</v>
      </c>
      <c r="K56" s="3185">
        <v>1027.99</v>
      </c>
      <c r="L56" s="3185">
        <v>0</v>
      </c>
      <c r="M56" s="3185" t="s">
        <v>3161</v>
      </c>
      <c r="N56" s="3185" t="s">
        <v>3050</v>
      </c>
    </row>
    <row r="57" spans="1:14">
      <c r="A57" s="3185" t="s">
        <v>3162</v>
      </c>
      <c r="B57" s="3185" t="s">
        <v>3032</v>
      </c>
      <c r="C57" s="3185" t="s">
        <v>3033</v>
      </c>
      <c r="D57" s="3185">
        <v>11825</v>
      </c>
      <c r="E57" s="3185">
        <v>44935</v>
      </c>
      <c r="F57" s="3185" t="s">
        <v>3163</v>
      </c>
      <c r="G57" s="3185" t="s">
        <v>3035</v>
      </c>
      <c r="H57" s="3185" t="s">
        <v>3160</v>
      </c>
      <c r="I57" s="3185">
        <v>6245.97</v>
      </c>
      <c r="J57" s="3185">
        <v>6245.97</v>
      </c>
      <c r="K57" s="3185">
        <v>1390</v>
      </c>
      <c r="L57" s="3185">
        <v>0</v>
      </c>
      <c r="M57" s="3185" t="s">
        <v>3164</v>
      </c>
      <c r="N57" s="3185" t="s">
        <v>3038</v>
      </c>
    </row>
    <row r="58" spans="1:14">
      <c r="A58" s="3185" t="s">
        <v>3165</v>
      </c>
      <c r="B58" s="3185" t="s">
        <v>3032</v>
      </c>
      <c r="C58" s="3185" t="s">
        <v>3033</v>
      </c>
      <c r="D58" s="3185">
        <v>69165</v>
      </c>
      <c r="E58" s="3185">
        <v>159079.5</v>
      </c>
      <c r="F58" s="3185" t="s">
        <v>3166</v>
      </c>
      <c r="G58" s="3185" t="s">
        <v>3035</v>
      </c>
      <c r="H58" s="3185" t="s">
        <v>3160</v>
      </c>
      <c r="I58" s="3185">
        <v>32070.33</v>
      </c>
      <c r="J58" s="3185">
        <v>32070.33</v>
      </c>
      <c r="K58" s="3185">
        <v>2015.99</v>
      </c>
      <c r="L58" s="3185">
        <v>0</v>
      </c>
      <c r="M58" s="3185" t="s">
        <v>3167</v>
      </c>
      <c r="N58" s="3185" t="s">
        <v>3050</v>
      </c>
    </row>
    <row r="59" spans="1:14">
      <c r="A59" s="3185" t="s">
        <v>3168</v>
      </c>
      <c r="B59" s="3185" t="s">
        <v>3032</v>
      </c>
      <c r="C59" s="3185" t="s">
        <v>3033</v>
      </c>
      <c r="D59" s="3185">
        <v>41664</v>
      </c>
      <c r="E59" s="3185">
        <v>104160</v>
      </c>
      <c r="F59" s="3185" t="s">
        <v>3047</v>
      </c>
      <c r="G59" s="3185" t="s">
        <v>3035</v>
      </c>
      <c r="H59" s="3185" t="s">
        <v>3160</v>
      </c>
      <c r="I59" s="3185">
        <v>24998.400000000001</v>
      </c>
      <c r="J59" s="3185">
        <v>24998.400000000001</v>
      </c>
      <c r="K59" s="3185">
        <v>2400</v>
      </c>
      <c r="L59" s="3185">
        <v>0</v>
      </c>
      <c r="M59" s="3185" t="s">
        <v>3169</v>
      </c>
      <c r="N59" s="3185" t="s">
        <v>3045</v>
      </c>
    </row>
    <row r="60" spans="1:14">
      <c r="A60" s="3185" t="s">
        <v>3170</v>
      </c>
      <c r="B60" s="3185" t="s">
        <v>3032</v>
      </c>
      <c r="C60" s="3185" t="s">
        <v>3033</v>
      </c>
      <c r="D60" s="3185">
        <v>35931</v>
      </c>
      <c r="E60" s="3185">
        <v>82641.3</v>
      </c>
      <c r="F60" s="3185" t="s">
        <v>3166</v>
      </c>
      <c r="G60" s="3185" t="s">
        <v>3035</v>
      </c>
      <c r="H60" s="3185" t="s">
        <v>3160</v>
      </c>
      <c r="I60" s="3185">
        <v>16660.43</v>
      </c>
      <c r="J60" s="3185">
        <v>16660.43</v>
      </c>
      <c r="K60" s="3185">
        <v>2015.99</v>
      </c>
      <c r="L60" s="3185">
        <v>0</v>
      </c>
      <c r="M60" s="3185" t="s">
        <v>3167</v>
      </c>
      <c r="N60" s="3185" t="s">
        <v>3050</v>
      </c>
    </row>
    <row r="61" spans="1:14">
      <c r="A61" s="3185" t="s">
        <v>3171</v>
      </c>
      <c r="B61" s="3185" t="s">
        <v>3032</v>
      </c>
      <c r="C61" s="3185" t="s">
        <v>3033</v>
      </c>
      <c r="D61" s="3185">
        <v>69932</v>
      </c>
      <c r="E61" s="3185">
        <v>139864</v>
      </c>
      <c r="F61" s="3185" t="s">
        <v>3135</v>
      </c>
      <c r="G61" s="3185" t="s">
        <v>3035</v>
      </c>
      <c r="H61" s="3185" t="s">
        <v>3160</v>
      </c>
      <c r="I61" s="3185">
        <v>15874.55</v>
      </c>
      <c r="J61" s="3185">
        <v>15874.55</v>
      </c>
      <c r="K61" s="3185">
        <v>1135</v>
      </c>
      <c r="L61" s="3185">
        <v>0</v>
      </c>
      <c r="M61" s="3185" t="s">
        <v>3172</v>
      </c>
      <c r="N61" s="3185" t="s">
        <v>3050</v>
      </c>
    </row>
    <row r="62" spans="1:14">
      <c r="A62" s="3185" t="s">
        <v>3173</v>
      </c>
      <c r="B62" s="3185" t="s">
        <v>3032</v>
      </c>
      <c r="C62" s="3185" t="s">
        <v>3033</v>
      </c>
      <c r="D62" s="3185">
        <v>32200</v>
      </c>
      <c r="E62" s="3185">
        <v>64400</v>
      </c>
      <c r="F62" s="3185" t="s">
        <v>3135</v>
      </c>
      <c r="G62" s="3185" t="s">
        <v>3035</v>
      </c>
      <c r="H62" s="3185" t="s">
        <v>3174</v>
      </c>
      <c r="I62" s="3185">
        <v>8307.6</v>
      </c>
      <c r="J62" s="3185">
        <v>8307.6</v>
      </c>
      <c r="K62" s="3185">
        <v>1290</v>
      </c>
      <c r="L62" s="3185">
        <v>0</v>
      </c>
      <c r="M62" s="3185" t="s">
        <v>3175</v>
      </c>
      <c r="N62" s="3185" t="s">
        <v>3045</v>
      </c>
    </row>
    <row r="63" spans="1:14">
      <c r="A63" s="3185" t="s">
        <v>3176</v>
      </c>
      <c r="B63" s="3185" t="s">
        <v>3032</v>
      </c>
      <c r="C63" s="3185" t="s">
        <v>3033</v>
      </c>
      <c r="D63" s="3185">
        <v>30745</v>
      </c>
      <c r="E63" s="3185">
        <v>55341</v>
      </c>
      <c r="F63" s="3185" t="s">
        <v>3069</v>
      </c>
      <c r="G63" s="3185" t="s">
        <v>3035</v>
      </c>
      <c r="H63" s="3185" t="s">
        <v>3177</v>
      </c>
      <c r="I63" s="3185">
        <v>4615.43</v>
      </c>
      <c r="J63" s="3185">
        <v>4615.43</v>
      </c>
      <c r="K63" s="3185">
        <v>834</v>
      </c>
      <c r="L63" s="3185">
        <v>0</v>
      </c>
      <c r="M63" s="3185" t="s">
        <v>3178</v>
      </c>
      <c r="N63" s="3185" t="s">
        <v>3045</v>
      </c>
    </row>
    <row r="64" spans="1:14">
      <c r="A64" s="3185" t="s">
        <v>3179</v>
      </c>
      <c r="B64" s="3185" t="s">
        <v>3032</v>
      </c>
      <c r="C64" s="3185" t="s">
        <v>3033</v>
      </c>
      <c r="D64" s="3185">
        <v>18458</v>
      </c>
      <c r="E64" s="3185">
        <v>29532.799999999999</v>
      </c>
      <c r="F64" s="3185" t="s">
        <v>3106</v>
      </c>
      <c r="G64" s="3185" t="s">
        <v>3035</v>
      </c>
      <c r="H64" s="3185" t="s">
        <v>3177</v>
      </c>
      <c r="I64" s="3185">
        <v>2908.9</v>
      </c>
      <c r="J64" s="3185">
        <v>2908.9</v>
      </c>
      <c r="K64" s="3185">
        <v>984.97</v>
      </c>
      <c r="L64" s="3185">
        <v>0</v>
      </c>
      <c r="M64" s="3185" t="s">
        <v>3180</v>
      </c>
      <c r="N64" s="3185" t="s">
        <v>3050</v>
      </c>
    </row>
    <row r="65" spans="1:14">
      <c r="A65" s="3185" t="s">
        <v>3181</v>
      </c>
      <c r="B65" s="3185" t="s">
        <v>3032</v>
      </c>
      <c r="C65" s="3185" t="s">
        <v>3033</v>
      </c>
      <c r="D65" s="3185">
        <v>16893</v>
      </c>
      <c r="E65" s="3185">
        <v>25339.5</v>
      </c>
      <c r="F65" s="3185" t="s">
        <v>3182</v>
      </c>
      <c r="G65" s="3185" t="s">
        <v>3035</v>
      </c>
      <c r="H65" s="3185" t="s">
        <v>3177</v>
      </c>
      <c r="I65" s="3185">
        <v>2204.48</v>
      </c>
      <c r="J65" s="3185">
        <v>2204.48</v>
      </c>
      <c r="K65" s="3185">
        <v>869.98</v>
      </c>
      <c r="L65" s="3185">
        <v>0</v>
      </c>
      <c r="M65" s="3185" t="s">
        <v>3183</v>
      </c>
      <c r="N65" s="3185" t="s">
        <v>3050</v>
      </c>
    </row>
    <row r="66" spans="1:14">
      <c r="A66" s="3185" t="s">
        <v>3184</v>
      </c>
      <c r="B66" s="3185" t="s">
        <v>3032</v>
      </c>
      <c r="C66" s="3185" t="s">
        <v>3033</v>
      </c>
      <c r="D66" s="3185">
        <v>13136</v>
      </c>
      <c r="E66" s="3185">
        <v>39408</v>
      </c>
      <c r="F66" s="3185" t="s">
        <v>3110</v>
      </c>
      <c r="G66" s="3185" t="s">
        <v>3035</v>
      </c>
      <c r="H66" s="3185" t="s">
        <v>3185</v>
      </c>
      <c r="I66" s="3185">
        <v>1079.77</v>
      </c>
      <c r="J66" s="3185">
        <v>1079.77</v>
      </c>
      <c r="K66" s="3185">
        <v>274</v>
      </c>
      <c r="L66" s="3185">
        <v>0</v>
      </c>
      <c r="M66" s="3185" t="s">
        <v>3049</v>
      </c>
      <c r="N66" s="3185" t="s">
        <v>3050</v>
      </c>
    </row>
    <row r="67" spans="1:14">
      <c r="A67" s="3185" t="s">
        <v>3186</v>
      </c>
      <c r="B67" s="3185" t="s">
        <v>3032</v>
      </c>
      <c r="C67" s="3185" t="s">
        <v>3033</v>
      </c>
      <c r="D67" s="3185">
        <v>39481</v>
      </c>
      <c r="E67" s="3185">
        <v>59221.5</v>
      </c>
      <c r="F67" s="3185" t="s">
        <v>3182</v>
      </c>
      <c r="G67" s="3185" t="s">
        <v>3035</v>
      </c>
      <c r="H67" s="3185" t="s">
        <v>3185</v>
      </c>
      <c r="I67" s="3185">
        <v>4169.1499999999996</v>
      </c>
      <c r="J67" s="3185">
        <v>4169.1499999999996</v>
      </c>
      <c r="K67" s="3185">
        <v>703.99</v>
      </c>
      <c r="L67" s="3185">
        <v>0</v>
      </c>
      <c r="M67" s="3185" t="s">
        <v>3187</v>
      </c>
      <c r="N67" s="3185" t="s">
        <v>3045</v>
      </c>
    </row>
    <row r="68" spans="1:14">
      <c r="A68" s="3185" t="s">
        <v>3188</v>
      </c>
      <c r="B68" s="3185" t="s">
        <v>3032</v>
      </c>
      <c r="C68" s="3185" t="s">
        <v>3033</v>
      </c>
      <c r="D68" s="3185">
        <v>13119</v>
      </c>
      <c r="E68" s="3185">
        <v>26238</v>
      </c>
      <c r="F68" s="3185" t="s">
        <v>3135</v>
      </c>
      <c r="G68" s="3185" t="s">
        <v>3035</v>
      </c>
      <c r="H68" s="3185" t="s">
        <v>3185</v>
      </c>
      <c r="I68" s="3185">
        <v>1967.84</v>
      </c>
      <c r="J68" s="3185">
        <v>1967.84</v>
      </c>
      <c r="K68" s="3185">
        <v>750</v>
      </c>
      <c r="L68" s="3185">
        <v>0</v>
      </c>
      <c r="M68" s="3185" t="s">
        <v>3189</v>
      </c>
      <c r="N68" s="3185" t="s">
        <v>3050</v>
      </c>
    </row>
    <row r="69" spans="1:14" s="3186" customFormat="1">
      <c r="A69" s="3184" t="s">
        <v>3190</v>
      </c>
      <c r="B69" s="3184" t="s">
        <v>3032</v>
      </c>
      <c r="C69" s="3184" t="s">
        <v>3033</v>
      </c>
      <c r="D69" s="3184">
        <v>69863</v>
      </c>
      <c r="E69" s="3184">
        <v>125753.4</v>
      </c>
      <c r="F69" s="3184" t="s">
        <v>3069</v>
      </c>
      <c r="G69" s="3184" t="s">
        <v>3035</v>
      </c>
      <c r="H69" s="3184" t="s">
        <v>3191</v>
      </c>
      <c r="I69" s="3184">
        <v>73364.3</v>
      </c>
      <c r="J69" s="3184">
        <v>73364.3</v>
      </c>
      <c r="K69" s="3184">
        <v>5833.97</v>
      </c>
      <c r="L69" s="3184">
        <v>0</v>
      </c>
      <c r="M69" s="3184" t="s">
        <v>3192</v>
      </c>
      <c r="N69" s="3184" t="s">
        <v>3038</v>
      </c>
    </row>
    <row r="70" spans="1:14">
      <c r="A70" s="3185" t="s">
        <v>3193</v>
      </c>
      <c r="B70" s="3185" t="s">
        <v>3032</v>
      </c>
      <c r="C70" s="3185" t="s">
        <v>3033</v>
      </c>
      <c r="D70" s="3185">
        <v>11266</v>
      </c>
      <c r="E70" s="3185">
        <v>20278.8</v>
      </c>
      <c r="F70" s="3185" t="s">
        <v>3069</v>
      </c>
      <c r="G70" s="3185" t="s">
        <v>3035</v>
      </c>
      <c r="H70" s="3185" t="s">
        <v>3191</v>
      </c>
      <c r="I70" s="3185">
        <v>11830.19</v>
      </c>
      <c r="J70" s="3185">
        <v>11830.19</v>
      </c>
      <c r="K70" s="3185">
        <v>5833.77</v>
      </c>
      <c r="L70" s="3185">
        <v>0</v>
      </c>
      <c r="M70" s="3185" t="s">
        <v>3194</v>
      </c>
      <c r="N70" s="3185" t="s">
        <v>3038</v>
      </c>
    </row>
    <row r="71" spans="1:14">
      <c r="A71" s="3185" t="s">
        <v>3195</v>
      </c>
      <c r="B71" s="3185" t="s">
        <v>3032</v>
      </c>
      <c r="C71" s="3185" t="s">
        <v>3033</v>
      </c>
      <c r="D71" s="3185">
        <v>67337</v>
      </c>
      <c r="E71" s="3185">
        <v>121206.6</v>
      </c>
      <c r="F71" s="3185" t="s">
        <v>3069</v>
      </c>
      <c r="G71" s="3185" t="s">
        <v>3035</v>
      </c>
      <c r="H71" s="3185" t="s">
        <v>3191</v>
      </c>
      <c r="I71" s="3185">
        <v>70711.58</v>
      </c>
      <c r="J71" s="3185">
        <v>70711.58</v>
      </c>
      <c r="K71" s="3185">
        <v>5833.97</v>
      </c>
      <c r="L71" s="3185">
        <v>0</v>
      </c>
      <c r="M71" s="3185" t="s">
        <v>3192</v>
      </c>
      <c r="N71" s="3185" t="s">
        <v>3038</v>
      </c>
    </row>
    <row r="72" spans="1:14">
      <c r="A72" s="3185" t="s">
        <v>3196</v>
      </c>
      <c r="B72" s="3185" t="s">
        <v>3032</v>
      </c>
      <c r="C72" s="3185" t="s">
        <v>3033</v>
      </c>
      <c r="D72" s="3185">
        <v>8729</v>
      </c>
      <c r="E72" s="3185">
        <v>15712.2</v>
      </c>
      <c r="F72" s="3185" t="s">
        <v>3069</v>
      </c>
      <c r="G72" s="3185" t="s">
        <v>3035</v>
      </c>
      <c r="H72" s="3185" t="s">
        <v>3191</v>
      </c>
      <c r="I72" s="3185">
        <v>9166.3700000000008</v>
      </c>
      <c r="J72" s="3185">
        <v>9166.3700000000008</v>
      </c>
      <c r="K72" s="3185">
        <v>5833.93</v>
      </c>
      <c r="L72" s="3185">
        <v>0</v>
      </c>
      <c r="M72" s="3185" t="s">
        <v>3192</v>
      </c>
      <c r="N72" s="3185" t="s">
        <v>3038</v>
      </c>
    </row>
    <row r="73" spans="1:14">
      <c r="A73" s="3185" t="s">
        <v>3197</v>
      </c>
      <c r="B73" s="3185" t="s">
        <v>3032</v>
      </c>
      <c r="C73" s="3185" t="s">
        <v>3033</v>
      </c>
      <c r="D73" s="3185">
        <v>41872</v>
      </c>
      <c r="E73" s="3185">
        <v>75369.600000000006</v>
      </c>
      <c r="F73" s="3185" t="s">
        <v>3069</v>
      </c>
      <c r="G73" s="3185" t="s">
        <v>3035</v>
      </c>
      <c r="H73" s="3185" t="s">
        <v>3191</v>
      </c>
      <c r="I73" s="3185">
        <v>43970.26</v>
      </c>
      <c r="J73" s="3185">
        <v>43970.26</v>
      </c>
      <c r="K73" s="3185">
        <v>5833.94</v>
      </c>
      <c r="L73" s="3185">
        <v>0</v>
      </c>
      <c r="M73" s="3185" t="s">
        <v>3192</v>
      </c>
      <c r="N73" s="3185" t="s">
        <v>3038</v>
      </c>
    </row>
    <row r="74" spans="1:14" s="3186" customFormat="1">
      <c r="A74" s="3184" t="s">
        <v>3198</v>
      </c>
      <c r="B74" s="3184" t="s">
        <v>3032</v>
      </c>
      <c r="C74" s="3184" t="s">
        <v>3033</v>
      </c>
      <c r="D74" s="3184">
        <v>69792</v>
      </c>
      <c r="E74" s="3184">
        <v>125625.60000000001</v>
      </c>
      <c r="F74" s="3184" t="s">
        <v>3069</v>
      </c>
      <c r="G74" s="3184" t="s">
        <v>3035</v>
      </c>
      <c r="H74" s="3184" t="s">
        <v>3191</v>
      </c>
      <c r="I74" s="3184">
        <v>73289.61</v>
      </c>
      <c r="J74" s="3184">
        <v>76807.11</v>
      </c>
      <c r="K74" s="3184">
        <v>6113.97</v>
      </c>
      <c r="L74" s="3184">
        <v>4.8</v>
      </c>
      <c r="M74" s="3184" t="s">
        <v>3194</v>
      </c>
      <c r="N74" s="3184" t="s">
        <v>3038</v>
      </c>
    </row>
    <row r="75" spans="1:14" s="3186" customFormat="1">
      <c r="A75" s="3184" t="s">
        <v>3199</v>
      </c>
      <c r="B75" s="3184" t="s">
        <v>3032</v>
      </c>
      <c r="C75" s="3184" t="s">
        <v>3033</v>
      </c>
      <c r="D75" s="3184">
        <v>22245</v>
      </c>
      <c r="E75" s="3184">
        <v>40041</v>
      </c>
      <c r="F75" s="3184" t="s">
        <v>3069</v>
      </c>
      <c r="G75" s="3184" t="s">
        <v>3035</v>
      </c>
      <c r="H75" s="3184" t="s">
        <v>3191</v>
      </c>
      <c r="I75" s="3184">
        <v>23359.91</v>
      </c>
      <c r="J75" s="3184">
        <v>23960.54</v>
      </c>
      <c r="K75" s="3184">
        <v>5984</v>
      </c>
      <c r="L75" s="3184">
        <v>2.57</v>
      </c>
      <c r="M75" s="3184" t="s">
        <v>3200</v>
      </c>
      <c r="N75" s="3184" t="s">
        <v>3038</v>
      </c>
    </row>
    <row r="76" spans="1:14">
      <c r="A76" s="3185" t="s">
        <v>3184</v>
      </c>
      <c r="B76" s="3185" t="s">
        <v>3032</v>
      </c>
      <c r="C76" s="3185" t="s">
        <v>3033</v>
      </c>
      <c r="D76" s="3185">
        <v>59921</v>
      </c>
      <c r="E76" s="3185">
        <v>149802.5</v>
      </c>
      <c r="F76" s="3185" t="s">
        <v>3047</v>
      </c>
      <c r="G76" s="3185" t="s">
        <v>3035</v>
      </c>
      <c r="H76" s="3185" t="s">
        <v>3201</v>
      </c>
      <c r="I76" s="3185">
        <v>18545.490000000002</v>
      </c>
      <c r="J76" s="3185">
        <v>18545.490000000002</v>
      </c>
      <c r="K76" s="3185">
        <v>1238</v>
      </c>
      <c r="L76" s="3185">
        <v>0</v>
      </c>
      <c r="M76" s="3185" t="s">
        <v>3202</v>
      </c>
      <c r="N76" s="3185" t="s">
        <v>3045</v>
      </c>
    </row>
    <row r="77" spans="1:14">
      <c r="A77" s="3185" t="s">
        <v>3203</v>
      </c>
      <c r="B77" s="3185" t="s">
        <v>3032</v>
      </c>
      <c r="C77" s="3185" t="s">
        <v>3033</v>
      </c>
      <c r="D77" s="3185">
        <v>27915</v>
      </c>
      <c r="E77" s="3185">
        <v>69787.5</v>
      </c>
      <c r="F77" s="3185" t="s">
        <v>3047</v>
      </c>
      <c r="G77" s="3185" t="s">
        <v>3035</v>
      </c>
      <c r="H77" s="3185" t="s">
        <v>3201</v>
      </c>
      <c r="I77" s="3185">
        <v>8639.6200000000008</v>
      </c>
      <c r="J77" s="3185">
        <v>8639.6200000000008</v>
      </c>
      <c r="K77" s="3185">
        <v>1237.99</v>
      </c>
      <c r="L77" s="3185">
        <v>0</v>
      </c>
      <c r="M77" s="3185" t="s">
        <v>3202</v>
      </c>
      <c r="N77" s="3185" t="s">
        <v>3050</v>
      </c>
    </row>
    <row r="78" spans="1:14">
      <c r="A78" s="3185" t="s">
        <v>3203</v>
      </c>
      <c r="B78" s="3185" t="s">
        <v>3032</v>
      </c>
      <c r="C78" s="3185" t="s">
        <v>3033</v>
      </c>
      <c r="D78" s="3185">
        <v>56149</v>
      </c>
      <c r="E78" s="3185">
        <v>140372.5</v>
      </c>
      <c r="F78" s="3185" t="s">
        <v>3047</v>
      </c>
      <c r="G78" s="3185" t="s">
        <v>3035</v>
      </c>
      <c r="H78" s="3185" t="s">
        <v>3201</v>
      </c>
      <c r="I78" s="3185">
        <v>17378.04</v>
      </c>
      <c r="J78" s="3185">
        <v>17378.04</v>
      </c>
      <c r="K78" s="3185">
        <v>1238</v>
      </c>
      <c r="L78" s="3185">
        <v>0</v>
      </c>
      <c r="M78" s="3185" t="s">
        <v>3202</v>
      </c>
      <c r="N78" s="3185" t="s">
        <v>3050</v>
      </c>
    </row>
    <row r="79" spans="1:14">
      <c r="A79" s="3185" t="s">
        <v>3204</v>
      </c>
      <c r="B79" s="3185" t="s">
        <v>3032</v>
      </c>
      <c r="C79" s="3185" t="s">
        <v>3033</v>
      </c>
      <c r="D79" s="3185">
        <v>46193</v>
      </c>
      <c r="E79" s="3185">
        <v>138579</v>
      </c>
      <c r="F79" s="3185" t="s">
        <v>3110</v>
      </c>
      <c r="G79" s="3185" t="s">
        <v>3035</v>
      </c>
      <c r="H79" s="3185" t="s">
        <v>3205</v>
      </c>
      <c r="I79" s="3185">
        <v>13996.47</v>
      </c>
      <c r="J79" s="3185">
        <v>13996.47</v>
      </c>
      <c r="K79" s="3185">
        <v>1010</v>
      </c>
      <c r="L79" s="3185">
        <v>0</v>
      </c>
      <c r="M79" s="3185" t="s">
        <v>3206</v>
      </c>
      <c r="N79" s="3185" t="s">
        <v>3050</v>
      </c>
    </row>
    <row r="80" spans="1:14">
      <c r="A80" s="3185" t="s">
        <v>3207</v>
      </c>
      <c r="B80" s="3185" t="s">
        <v>3032</v>
      </c>
      <c r="C80" s="3185" t="s">
        <v>3033</v>
      </c>
      <c r="D80" s="3185">
        <v>38147</v>
      </c>
      <c r="E80" s="3185">
        <v>114441</v>
      </c>
      <c r="F80" s="3185" t="s">
        <v>3110</v>
      </c>
      <c r="G80" s="3185" t="s">
        <v>3035</v>
      </c>
      <c r="H80" s="3185" t="s">
        <v>3205</v>
      </c>
      <c r="I80" s="3185">
        <v>11558.54</v>
      </c>
      <c r="J80" s="3185">
        <v>11558.54</v>
      </c>
      <c r="K80" s="3185">
        <v>1010</v>
      </c>
      <c r="L80" s="3185">
        <v>0</v>
      </c>
      <c r="M80" s="3185" t="s">
        <v>3206</v>
      </c>
      <c r="N80" s="3185" t="s">
        <v>3045</v>
      </c>
    </row>
    <row r="81" spans="1:14">
      <c r="A81" s="3185" t="s">
        <v>3208</v>
      </c>
      <c r="B81" s="3185" t="s">
        <v>3032</v>
      </c>
      <c r="C81" s="3185" t="s">
        <v>3033</v>
      </c>
      <c r="D81" s="3185">
        <v>68153</v>
      </c>
      <c r="E81" s="3185">
        <v>204459</v>
      </c>
      <c r="F81" s="3185" t="s">
        <v>3110</v>
      </c>
      <c r="G81" s="3185" t="s">
        <v>3035</v>
      </c>
      <c r="H81" s="3185" t="s">
        <v>3205</v>
      </c>
      <c r="I81" s="3185">
        <v>20650.36</v>
      </c>
      <c r="J81" s="3185">
        <v>20650.36</v>
      </c>
      <c r="K81" s="3185">
        <v>1010</v>
      </c>
      <c r="L81" s="3185">
        <v>0</v>
      </c>
      <c r="M81" s="3185" t="s">
        <v>3206</v>
      </c>
      <c r="N81" s="3185" t="s">
        <v>3045</v>
      </c>
    </row>
    <row r="82" spans="1:14">
      <c r="A82" s="3185" t="s">
        <v>3208</v>
      </c>
      <c r="B82" s="3185" t="s">
        <v>3032</v>
      </c>
      <c r="C82" s="3185" t="s">
        <v>3033</v>
      </c>
      <c r="D82" s="3185">
        <v>7939</v>
      </c>
      <c r="E82" s="3185">
        <v>23817</v>
      </c>
      <c r="F82" s="3185" t="s">
        <v>3110</v>
      </c>
      <c r="G82" s="3185" t="s">
        <v>3035</v>
      </c>
      <c r="H82" s="3185" t="s">
        <v>3205</v>
      </c>
      <c r="I82" s="3185">
        <v>2405.5100000000002</v>
      </c>
      <c r="J82" s="3185">
        <v>2405.5100000000002</v>
      </c>
      <c r="K82" s="3185">
        <v>1010</v>
      </c>
      <c r="L82" s="3185">
        <v>0</v>
      </c>
      <c r="M82" s="3185" t="s">
        <v>3206</v>
      </c>
      <c r="N82" s="3185" t="s">
        <v>3045</v>
      </c>
    </row>
    <row r="83" spans="1:14">
      <c r="A83" s="3185" t="s">
        <v>3209</v>
      </c>
      <c r="B83" s="3185" t="s">
        <v>3032</v>
      </c>
      <c r="C83" s="3185" t="s">
        <v>3033</v>
      </c>
      <c r="D83" s="3185">
        <v>49226</v>
      </c>
      <c r="E83" s="3185">
        <v>147678</v>
      </c>
      <c r="F83" s="3185" t="s">
        <v>3110</v>
      </c>
      <c r="G83" s="3185" t="s">
        <v>3035</v>
      </c>
      <c r="H83" s="3185" t="s">
        <v>3205</v>
      </c>
      <c r="I83" s="3185">
        <v>14915.47</v>
      </c>
      <c r="J83" s="3185">
        <v>14915.47</v>
      </c>
      <c r="K83" s="3185">
        <v>1010</v>
      </c>
      <c r="L83" s="3185">
        <v>0</v>
      </c>
      <c r="M83" s="3185" t="s">
        <v>3206</v>
      </c>
      <c r="N83" s="3185" t="s">
        <v>3050</v>
      </c>
    </row>
    <row r="84" spans="1:14">
      <c r="A84" s="3185" t="s">
        <v>3210</v>
      </c>
      <c r="B84" s="3185" t="s">
        <v>3032</v>
      </c>
      <c r="C84" s="3185" t="s">
        <v>3033</v>
      </c>
      <c r="D84" s="3185">
        <v>59198</v>
      </c>
      <c r="E84" s="3185">
        <v>177594</v>
      </c>
      <c r="F84" s="3185" t="s">
        <v>3110</v>
      </c>
      <c r="G84" s="3185" t="s">
        <v>3035</v>
      </c>
      <c r="H84" s="3185" t="s">
        <v>3205</v>
      </c>
      <c r="I84" s="3185">
        <v>17901.47</v>
      </c>
      <c r="J84" s="3185">
        <v>17901.47</v>
      </c>
      <c r="K84" s="3185">
        <v>1008</v>
      </c>
      <c r="L84" s="3185">
        <v>0</v>
      </c>
      <c r="M84" s="3185" t="s">
        <v>3206</v>
      </c>
      <c r="N84" s="3185" t="s">
        <v>3045</v>
      </c>
    </row>
    <row r="85" spans="1:14">
      <c r="A85" s="3185" t="s">
        <v>3211</v>
      </c>
      <c r="B85" s="3185" t="s">
        <v>3032</v>
      </c>
      <c r="C85" s="3185" t="s">
        <v>3033</v>
      </c>
      <c r="D85" s="3185">
        <v>69214</v>
      </c>
      <c r="E85" s="3185">
        <v>207642</v>
      </c>
      <c r="F85" s="3185" t="s">
        <v>3110</v>
      </c>
      <c r="G85" s="3185" t="s">
        <v>3035</v>
      </c>
      <c r="H85" s="3185" t="s">
        <v>3205</v>
      </c>
      <c r="I85" s="3185">
        <v>20971.84</v>
      </c>
      <c r="J85" s="3185">
        <v>20971.84</v>
      </c>
      <c r="K85" s="3185">
        <v>1010</v>
      </c>
      <c r="L85" s="3185">
        <v>0</v>
      </c>
      <c r="M85" s="3185" t="s">
        <v>3206</v>
      </c>
      <c r="N85" s="3185" t="s">
        <v>3045</v>
      </c>
    </row>
    <row r="86" spans="1:14">
      <c r="A86" s="3185" t="s">
        <v>3212</v>
      </c>
      <c r="B86" s="3185" t="s">
        <v>3032</v>
      </c>
      <c r="C86" s="3185" t="s">
        <v>3033</v>
      </c>
      <c r="D86" s="3185">
        <v>59264</v>
      </c>
      <c r="E86" s="3185">
        <v>177792</v>
      </c>
      <c r="F86" s="3185" t="s">
        <v>3110</v>
      </c>
      <c r="G86" s="3185" t="s">
        <v>3035</v>
      </c>
      <c r="H86" s="3185" t="s">
        <v>3205</v>
      </c>
      <c r="I86" s="3185">
        <v>17956.990000000002</v>
      </c>
      <c r="J86" s="3185">
        <v>17956.990000000002</v>
      </c>
      <c r="K86" s="3185">
        <v>1010</v>
      </c>
      <c r="L86" s="3185">
        <v>0</v>
      </c>
      <c r="M86" s="3185" t="s">
        <v>3206</v>
      </c>
      <c r="N86" s="3185" t="s">
        <v>3045</v>
      </c>
    </row>
    <row r="87" spans="1:14">
      <c r="A87" s="3185" t="s">
        <v>3213</v>
      </c>
      <c r="B87" s="3185" t="s">
        <v>3032</v>
      </c>
      <c r="C87" s="3185" t="s">
        <v>3033</v>
      </c>
      <c r="D87" s="3185">
        <v>43197</v>
      </c>
      <c r="E87" s="3185">
        <v>129591</v>
      </c>
      <c r="F87" s="3185" t="s">
        <v>3110</v>
      </c>
      <c r="G87" s="3185" t="s">
        <v>3035</v>
      </c>
      <c r="H87" s="3185" t="s">
        <v>3205</v>
      </c>
      <c r="I87" s="3185">
        <v>13088.69</v>
      </c>
      <c r="J87" s="3185">
        <v>13088.69</v>
      </c>
      <c r="K87" s="3185">
        <v>1010</v>
      </c>
      <c r="L87" s="3185">
        <v>0</v>
      </c>
      <c r="M87" s="3185" t="s">
        <v>3206</v>
      </c>
      <c r="N87" s="3185" t="s">
        <v>3050</v>
      </c>
    </row>
    <row r="88" spans="1:14">
      <c r="A88" s="3185" t="s">
        <v>3214</v>
      </c>
      <c r="B88" s="3185" t="s">
        <v>3032</v>
      </c>
      <c r="C88" s="3185" t="s">
        <v>3033</v>
      </c>
      <c r="D88" s="3185">
        <v>26062</v>
      </c>
      <c r="E88" s="3185">
        <v>78186</v>
      </c>
      <c r="F88" s="3185" t="s">
        <v>3110</v>
      </c>
      <c r="G88" s="3185" t="s">
        <v>3035</v>
      </c>
      <c r="H88" s="3185" t="s">
        <v>3205</v>
      </c>
      <c r="I88" s="3185">
        <v>7896.78</v>
      </c>
      <c r="J88" s="3185">
        <v>7896.78</v>
      </c>
      <c r="K88" s="3185">
        <v>1010</v>
      </c>
      <c r="L88" s="3185">
        <v>0</v>
      </c>
      <c r="M88" s="3185" t="s">
        <v>3206</v>
      </c>
      <c r="N88" s="3185" t="s">
        <v>3050</v>
      </c>
    </row>
    <row r="89" spans="1:14">
      <c r="A89" s="3185" t="s">
        <v>3215</v>
      </c>
      <c r="B89" s="3185" t="s">
        <v>3032</v>
      </c>
      <c r="C89" s="3185" t="s">
        <v>3033</v>
      </c>
      <c r="D89" s="3185">
        <v>66018</v>
      </c>
      <c r="E89" s="3185">
        <v>198054</v>
      </c>
      <c r="F89" s="3185" t="s">
        <v>3110</v>
      </c>
      <c r="G89" s="3185" t="s">
        <v>3035</v>
      </c>
      <c r="H89" s="3185" t="s">
        <v>3205</v>
      </c>
      <c r="I89" s="3185">
        <v>20003.45</v>
      </c>
      <c r="J89" s="3185">
        <v>20003.45</v>
      </c>
      <c r="K89" s="3185">
        <v>1010</v>
      </c>
      <c r="L89" s="3185">
        <v>0</v>
      </c>
      <c r="M89" s="3185" t="s">
        <v>3206</v>
      </c>
      <c r="N89" s="3185" t="s">
        <v>3045</v>
      </c>
    </row>
    <row r="90" spans="1:14">
      <c r="A90" s="3185" t="s">
        <v>3213</v>
      </c>
      <c r="B90" s="3185" t="s">
        <v>3032</v>
      </c>
      <c r="C90" s="3185" t="s">
        <v>3033</v>
      </c>
      <c r="D90" s="3185">
        <v>46426</v>
      </c>
      <c r="E90" s="3185">
        <v>139278</v>
      </c>
      <c r="F90" s="3185" t="s">
        <v>3110</v>
      </c>
      <c r="G90" s="3185" t="s">
        <v>3035</v>
      </c>
      <c r="H90" s="3185" t="s">
        <v>3205</v>
      </c>
      <c r="I90" s="3185">
        <v>14067.07</v>
      </c>
      <c r="J90" s="3185">
        <v>14067.07</v>
      </c>
      <c r="K90" s="3185">
        <v>1010</v>
      </c>
      <c r="L90" s="3185">
        <v>0</v>
      </c>
      <c r="M90" s="3185" t="s">
        <v>3206</v>
      </c>
      <c r="N90" s="3185" t="s">
        <v>3045</v>
      </c>
    </row>
    <row r="91" spans="1:14">
      <c r="A91" s="3185" t="s">
        <v>3216</v>
      </c>
      <c r="B91" s="3185" t="s">
        <v>3032</v>
      </c>
      <c r="C91" s="3185" t="s">
        <v>3033</v>
      </c>
      <c r="D91" s="3185">
        <v>11582</v>
      </c>
      <c r="E91" s="3185">
        <v>11697.82</v>
      </c>
      <c r="F91" s="3185" t="s">
        <v>3217</v>
      </c>
      <c r="G91" s="3185" t="s">
        <v>3035</v>
      </c>
      <c r="H91" s="3185" t="s">
        <v>3218</v>
      </c>
      <c r="I91" s="3185">
        <v>3602.67</v>
      </c>
      <c r="J91" s="3185">
        <v>3602.67</v>
      </c>
      <c r="K91" s="3185">
        <v>3079.78</v>
      </c>
      <c r="L91" s="3185">
        <v>0</v>
      </c>
      <c r="M91" s="3185" t="s">
        <v>3219</v>
      </c>
      <c r="N91" s="3185" t="s">
        <v>3050</v>
      </c>
    </row>
    <row r="92" spans="1:14">
      <c r="A92" s="3185" t="s">
        <v>3220</v>
      </c>
      <c r="B92" s="3185" t="s">
        <v>3032</v>
      </c>
      <c r="C92" s="3185" t="s">
        <v>3033</v>
      </c>
      <c r="D92" s="3185">
        <v>30018</v>
      </c>
      <c r="E92" s="3185">
        <v>96057.600000000006</v>
      </c>
      <c r="F92" s="3185" t="s">
        <v>3221</v>
      </c>
      <c r="G92" s="3185" t="s">
        <v>3035</v>
      </c>
      <c r="H92" s="3185" t="s">
        <v>3218</v>
      </c>
      <c r="I92" s="3185">
        <v>27222.54</v>
      </c>
      <c r="J92" s="3185">
        <v>27222.54</v>
      </c>
      <c r="K92" s="3185">
        <v>2833.98</v>
      </c>
      <c r="L92" s="3185">
        <v>0</v>
      </c>
      <c r="M92" s="3185" t="s">
        <v>3219</v>
      </c>
      <c r="N92" s="3185" t="s">
        <v>3050</v>
      </c>
    </row>
    <row r="93" spans="1:14">
      <c r="A93" s="3185" t="s">
        <v>3222</v>
      </c>
      <c r="B93" s="3185" t="s">
        <v>3032</v>
      </c>
      <c r="C93" s="3185" t="s">
        <v>3033</v>
      </c>
      <c r="D93" s="3185">
        <v>19402</v>
      </c>
      <c r="E93" s="3185">
        <v>42684.4</v>
      </c>
      <c r="F93" s="3185" t="s">
        <v>3067</v>
      </c>
      <c r="G93" s="3185" t="s">
        <v>3035</v>
      </c>
      <c r="H93" s="3185" t="s">
        <v>3218</v>
      </c>
      <c r="I93" s="3185">
        <v>13159.47</v>
      </c>
      <c r="J93" s="3185">
        <v>13159.47</v>
      </c>
      <c r="K93" s="3185">
        <v>3082.96</v>
      </c>
      <c r="L93" s="3185">
        <v>0</v>
      </c>
      <c r="M93" s="3185" t="s">
        <v>3219</v>
      </c>
      <c r="N93" s="3185" t="s">
        <v>3050</v>
      </c>
    </row>
    <row r="94" spans="1:14">
      <c r="A94" s="3185" t="s">
        <v>3223</v>
      </c>
      <c r="B94" s="3185" t="s">
        <v>3032</v>
      </c>
      <c r="C94" s="3185" t="s">
        <v>3033</v>
      </c>
      <c r="D94" s="3185">
        <v>35599</v>
      </c>
      <c r="E94" s="3185">
        <v>117476.7</v>
      </c>
      <c r="F94" s="3185" t="s">
        <v>3224</v>
      </c>
      <c r="G94" s="3185" t="s">
        <v>3035</v>
      </c>
      <c r="H94" s="3185" t="s">
        <v>3218</v>
      </c>
      <c r="I94" s="3185">
        <v>33586.379999999997</v>
      </c>
      <c r="J94" s="3185">
        <v>33586.379999999997</v>
      </c>
      <c r="K94" s="3185">
        <v>2858.98</v>
      </c>
      <c r="L94" s="3185">
        <v>0</v>
      </c>
      <c r="M94" s="3185" t="s">
        <v>3219</v>
      </c>
      <c r="N94" s="3185" t="s">
        <v>3038</v>
      </c>
    </row>
    <row r="95" spans="1:14">
      <c r="A95" s="3185" t="s">
        <v>3225</v>
      </c>
      <c r="B95" s="3185" t="s">
        <v>3032</v>
      </c>
      <c r="C95" s="3185" t="s">
        <v>3033</v>
      </c>
      <c r="D95" s="3185">
        <v>36591</v>
      </c>
      <c r="E95" s="3185">
        <v>120750.3</v>
      </c>
      <c r="F95" s="3185" t="s">
        <v>3224</v>
      </c>
      <c r="G95" s="3185" t="s">
        <v>3035</v>
      </c>
      <c r="H95" s="3185" t="s">
        <v>3218</v>
      </c>
      <c r="I95" s="3185">
        <v>34437.9</v>
      </c>
      <c r="J95" s="3185">
        <v>34437.9</v>
      </c>
      <c r="K95" s="3185">
        <v>2851.98</v>
      </c>
      <c r="L95" s="3185">
        <v>0</v>
      </c>
      <c r="M95" s="3185" t="s">
        <v>3219</v>
      </c>
      <c r="N95" s="3185" t="s">
        <v>3050</v>
      </c>
    </row>
    <row r="96" spans="1:14">
      <c r="A96" s="3185" t="s">
        <v>3225</v>
      </c>
      <c r="B96" s="3185" t="s">
        <v>3032</v>
      </c>
      <c r="C96" s="3185" t="s">
        <v>3033</v>
      </c>
      <c r="D96" s="3185">
        <v>64486</v>
      </c>
      <c r="E96" s="3185">
        <v>212803.8</v>
      </c>
      <c r="F96" s="3185" t="s">
        <v>3224</v>
      </c>
      <c r="G96" s="3185" t="s">
        <v>3035</v>
      </c>
      <c r="H96" s="3185" t="s">
        <v>3218</v>
      </c>
      <c r="I96" s="3185">
        <v>60691.41</v>
      </c>
      <c r="J96" s="3185">
        <v>60691.41</v>
      </c>
      <c r="K96" s="3185">
        <v>2851.98</v>
      </c>
      <c r="L96" s="3185">
        <v>0</v>
      </c>
      <c r="M96" s="3185" t="s">
        <v>3219</v>
      </c>
      <c r="N96" s="3185" t="s">
        <v>3050</v>
      </c>
    </row>
    <row r="97" spans="1:14" s="3188" customFormat="1">
      <c r="A97" s="3187" t="s">
        <v>3226</v>
      </c>
      <c r="B97" s="3187" t="s">
        <v>3032</v>
      </c>
      <c r="C97" s="3187" t="s">
        <v>3033</v>
      </c>
      <c r="D97" s="3187">
        <v>39234</v>
      </c>
      <c r="E97" s="3187">
        <v>102988</v>
      </c>
      <c r="F97" s="3187" t="s">
        <v>3047</v>
      </c>
      <c r="G97" s="3187" t="s">
        <v>3035</v>
      </c>
      <c r="H97" s="3187" t="s">
        <v>3227</v>
      </c>
      <c r="I97" s="3187">
        <v>35314.58</v>
      </c>
      <c r="J97" s="3187">
        <v>52971.87</v>
      </c>
      <c r="K97" s="3187">
        <v>5143.5</v>
      </c>
      <c r="L97" s="3187">
        <v>50</v>
      </c>
      <c r="M97" s="3187" t="s">
        <v>3200</v>
      </c>
      <c r="N97" s="3187" t="s">
        <v>3038</v>
      </c>
    </row>
    <row r="98" spans="1:14">
      <c r="A98" s="3185" t="s">
        <v>3228</v>
      </c>
      <c r="B98" s="3185" t="s">
        <v>3032</v>
      </c>
      <c r="C98" s="3185" t="s">
        <v>3033</v>
      </c>
      <c r="D98" s="3185">
        <v>23977</v>
      </c>
      <c r="E98" s="3185">
        <v>32368.95</v>
      </c>
      <c r="F98" s="3185" t="s">
        <v>3229</v>
      </c>
      <c r="G98" s="3185" t="s">
        <v>3035</v>
      </c>
      <c r="H98" s="3185" t="s">
        <v>3230</v>
      </c>
      <c r="I98" s="3185">
        <v>6334.42</v>
      </c>
      <c r="J98" s="3185">
        <v>6334.42</v>
      </c>
      <c r="K98" s="3185">
        <v>1956.94</v>
      </c>
      <c r="L98" s="3185">
        <v>0</v>
      </c>
      <c r="M98" s="3185" t="s">
        <v>3231</v>
      </c>
      <c r="N98" s="3185" t="s">
        <v>3050</v>
      </c>
    </row>
    <row r="99" spans="1:14">
      <c r="A99" s="3185" t="s">
        <v>3232</v>
      </c>
      <c r="B99" s="3185" t="s">
        <v>3032</v>
      </c>
      <c r="C99" s="3185" t="s">
        <v>3033</v>
      </c>
      <c r="D99" s="3185">
        <v>30097</v>
      </c>
      <c r="E99" s="3185">
        <v>40630.949999999997</v>
      </c>
      <c r="F99" s="3185" t="s">
        <v>3229</v>
      </c>
      <c r="G99" s="3185" t="s">
        <v>3035</v>
      </c>
      <c r="H99" s="3185" t="s">
        <v>3230</v>
      </c>
      <c r="I99" s="3185">
        <v>7951.28</v>
      </c>
      <c r="J99" s="3185">
        <v>7951.28</v>
      </c>
      <c r="K99" s="3185">
        <v>1956.95</v>
      </c>
      <c r="L99" s="3185">
        <v>0</v>
      </c>
      <c r="M99" s="3185" t="s">
        <v>3233</v>
      </c>
      <c r="N99" s="3185" t="s">
        <v>3050</v>
      </c>
    </row>
    <row r="100" spans="1:14">
      <c r="A100" s="3185" t="s">
        <v>3234</v>
      </c>
      <c r="B100" s="3185" t="s">
        <v>3032</v>
      </c>
      <c r="C100" s="3185" t="s">
        <v>3033</v>
      </c>
      <c r="D100" s="3185">
        <v>22323</v>
      </c>
      <c r="E100" s="3185">
        <v>31252.2</v>
      </c>
      <c r="F100" s="3185" t="s">
        <v>3235</v>
      </c>
      <c r="G100" s="3185" t="s">
        <v>3035</v>
      </c>
      <c r="H100" s="3185" t="s">
        <v>3236</v>
      </c>
      <c r="I100" s="3185">
        <v>5050.3100000000004</v>
      </c>
      <c r="J100" s="3185">
        <v>5081.57</v>
      </c>
      <c r="K100" s="3185">
        <v>1625.99</v>
      </c>
      <c r="L100" s="3185">
        <v>0.62</v>
      </c>
      <c r="M100" s="3185" t="s">
        <v>3237</v>
      </c>
      <c r="N100" s="3185" t="s">
        <v>3038</v>
      </c>
    </row>
    <row r="101" spans="1:14">
      <c r="A101" s="3185" t="s">
        <v>3238</v>
      </c>
      <c r="B101" s="3185" t="s">
        <v>3032</v>
      </c>
      <c r="C101" s="3185" t="s">
        <v>3033</v>
      </c>
      <c r="D101" s="3185">
        <v>22149</v>
      </c>
      <c r="E101" s="3185">
        <v>31008.6</v>
      </c>
      <c r="F101" s="3185" t="s">
        <v>3235</v>
      </c>
      <c r="G101" s="3185" t="s">
        <v>3035</v>
      </c>
      <c r="H101" s="3185" t="s">
        <v>3236</v>
      </c>
      <c r="I101" s="3185">
        <v>5010.8900000000003</v>
      </c>
      <c r="J101" s="3185">
        <v>5041.8900000000003</v>
      </c>
      <c r="K101" s="3185">
        <v>1625.97</v>
      </c>
      <c r="L101" s="3185">
        <v>0.62</v>
      </c>
      <c r="M101" s="3185" t="s">
        <v>3237</v>
      </c>
      <c r="N101" s="3185" t="s">
        <v>3038</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9" t="str">
        <f>项目基本情况!B1</f>
        <v>山东省青岛市胶州市出让国有建设用地使用权抵押价格预评估</v>
      </c>
      <c r="C37" s="3209"/>
      <c r="D37" s="3209"/>
      <c r="E37" s="3209"/>
      <c r="F37" s="3209"/>
      <c r="G37" s="3209"/>
      <c r="H37" s="3209"/>
      <c r="I37" s="3209"/>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9" sqref="B3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103538</v>
      </c>
      <c r="C2" s="2088"/>
      <c r="D2" s="2088"/>
      <c r="E2" s="2088"/>
      <c r="F2" s="2088"/>
      <c r="G2" s="2088"/>
      <c r="H2" s="2088"/>
      <c r="I2" s="2088"/>
      <c r="J2" s="2088"/>
      <c r="K2" s="2088"/>
    </row>
    <row r="3" spans="1:31" s="2025" customFormat="1" ht="18" customHeight="1">
      <c r="A3" s="2090" t="s">
        <v>1684</v>
      </c>
      <c r="B3" s="2091">
        <f ca="1">ROUND(B2*10000/IF(B1="",'数据-汇总表'!E3,INDIRECT("'数据-取费表'!K"&amp;$K$1)),0)</f>
        <v>3428</v>
      </c>
      <c r="C3" s="2088"/>
      <c r="D3" s="2088"/>
      <c r="E3" s="2088"/>
      <c r="F3" s="2088"/>
      <c r="G3" s="2088"/>
      <c r="H3" s="2088"/>
      <c r="I3" s="2088"/>
      <c r="J3" s="2088"/>
      <c r="K3" s="2088"/>
    </row>
    <row r="4" spans="1:31" s="2025" customFormat="1" ht="18" customHeight="1">
      <c r="A4" s="426" t="s">
        <v>468</v>
      </c>
      <c r="B4" s="427">
        <f ca="1">ROUND(B2*10000/IF(B1="",'数据-汇总表'!D3,INDIRECT("'数据-取费表'!R"&amp;$K$1)),0)</f>
        <v>19421</v>
      </c>
      <c r="C4" s="428"/>
      <c r="D4" s="422"/>
      <c r="E4" s="422"/>
      <c r="F4" s="422"/>
      <c r="G4" s="422"/>
      <c r="H4" s="422"/>
      <c r="I4" s="422"/>
      <c r="J4" s="422"/>
      <c r="K4" s="422"/>
    </row>
    <row r="5" spans="1:31" s="2025" customFormat="1" ht="18" customHeight="1" thickBot="1">
      <c r="A5" s="429"/>
      <c r="B5" s="430">
        <f ca="1">ROUND(B2/(IF(B1="",'数据-汇总表'!D3,INDIRECT("'数据-取费表'!R"&amp;$K$1))/666.67),0)</f>
        <v>1295</v>
      </c>
      <c r="C5" s="431" t="s">
        <v>469</v>
      </c>
      <c r="D5" s="422"/>
      <c r="E5" s="422"/>
      <c r="F5" s="422"/>
      <c r="G5" s="422"/>
      <c r="H5" s="422"/>
      <c r="I5" s="422"/>
      <c r="J5" s="422"/>
      <c r="K5" s="422"/>
    </row>
    <row r="6" spans="1:31" s="2095" customFormat="1" ht="16.5" customHeight="1">
      <c r="A6" s="2782" t="s">
        <v>1842</v>
      </c>
      <c r="B6" s="2783"/>
      <c r="C6" s="2784">
        <f ca="1">SUM(C10:K10)</f>
        <v>259515</v>
      </c>
      <c r="D6" s="2783"/>
      <c r="E6" s="2783"/>
      <c r="F6" s="2783"/>
      <c r="G6" s="2783"/>
      <c r="H6" s="2783"/>
      <c r="I6" s="2783"/>
      <c r="J6" s="2783"/>
      <c r="K6" s="2785"/>
    </row>
    <row r="7" spans="1:31" s="2097" customFormat="1" ht="14.4">
      <c r="A7" s="2786" t="s">
        <v>470</v>
      </c>
      <c r="B7" s="2787" t="s">
        <v>471</v>
      </c>
      <c r="C7" s="436" t="s">
        <v>923</v>
      </c>
      <c r="D7" s="436" t="s">
        <v>2999</v>
      </c>
      <c r="E7" s="436" t="s">
        <v>2996</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11391</v>
      </c>
      <c r="D8" s="2788">
        <f>'不动产比较法-公寓'!B3</f>
        <v>7684</v>
      </c>
      <c r="E8" s="2788">
        <f ca="1">'不动产收益法-商业'!B3</f>
        <v>10725</v>
      </c>
      <c r="F8" s="2788">
        <f ca="1">'不动产收益法-车库'!B3</f>
        <v>1845</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198870</v>
      </c>
      <c r="D9" s="441">
        <f>SUMIF('数据-汇总表'!$C19:$C33,'剩余法-待开发'!D7,'数据-汇总表'!$E19:$E33)</f>
        <v>20923</v>
      </c>
      <c r="E9" s="441">
        <f>SUMIF('数据-汇总表'!$C19:$C33,'剩余法-待开发'!E7,'数据-汇总表'!$E19:$E33)</f>
        <v>2220</v>
      </c>
      <c r="F9" s="441">
        <f>SUMIF('数据-汇总表'!$C19:$C33,'剩余法-待开发'!F7,'数据-汇总表'!$E19:$E33)</f>
        <v>78732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6">
        <f>'不动产比较法-住宅'!B2</f>
        <v>226533</v>
      </c>
      <c r="D10" s="2976">
        <f>'不动产比较法-公寓'!B2</f>
        <v>16077</v>
      </c>
      <c r="E10" s="2976">
        <f ca="1">'不动产收益法-商业'!B2</f>
        <v>2381</v>
      </c>
      <c r="F10" s="2791">
        <f ca="1">'不动产收益法-车库'!B2</f>
        <v>14524</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71988</v>
      </c>
      <c r="D13" s="2798"/>
      <c r="E13" s="2799"/>
      <c r="F13" s="2800"/>
      <c r="G13" s="2766"/>
      <c r="H13" s="2767"/>
      <c r="I13" s="2767"/>
      <c r="J13" s="2767"/>
      <c r="K13" s="2768"/>
    </row>
    <row r="14" spans="1:31" s="2100" customFormat="1" ht="13.5" customHeight="1">
      <c r="A14" s="2796" t="s">
        <v>1849</v>
      </c>
      <c r="B14" s="2797" t="s">
        <v>480</v>
      </c>
      <c r="C14" s="53">
        <f ca="1">ROUND(C13*F14,0)</f>
        <v>3599</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2486</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6041</v>
      </c>
      <c r="D16" s="2798">
        <f ca="1">IF(B1="",'数据-汇总表'!E3,INDIRECT("'数据-取费表'!K"&amp;$K$1)+INDIRECT("'数据-取费表'!S"&amp;$K$1))</f>
        <v>302059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1080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85194</v>
      </c>
      <c r="D18" s="2807"/>
      <c r="E18" s="468"/>
      <c r="F18" s="468"/>
      <c r="G18" s="2770" t="s">
        <v>2428</v>
      </c>
      <c r="H18" s="2771"/>
      <c r="I18" s="2771"/>
      <c r="J18" s="2771"/>
      <c r="K18" s="2772"/>
    </row>
    <row r="19" spans="1:14" s="2100" customFormat="1" ht="13.5" customHeight="1">
      <c r="A19" s="2804" t="s">
        <v>1854</v>
      </c>
      <c r="B19" s="2805" t="s">
        <v>488</v>
      </c>
      <c r="C19" s="2762">
        <f ca="1">ROUND(D19*E19/10000,0)</f>
        <v>1510</v>
      </c>
      <c r="D19" s="2808">
        <f ca="1">D16</f>
        <v>302059</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6464</v>
      </c>
      <c r="D20" s="2808"/>
      <c r="E20" s="2762"/>
      <c r="F20" s="2809"/>
      <c r="G20" s="3035" t="s">
        <v>3274</v>
      </c>
      <c r="H20" s="2764"/>
      <c r="I20" s="2765" t="s">
        <v>2648</v>
      </c>
      <c r="J20" s="2771"/>
      <c r="K20" s="2772"/>
    </row>
    <row r="21" spans="1:14" s="2100" customFormat="1" ht="13.5" customHeight="1">
      <c r="A21" s="2796" t="s">
        <v>1856</v>
      </c>
      <c r="B21" s="2797" t="s">
        <v>491</v>
      </c>
      <c r="C21" s="53">
        <f ca="1">ROUND(D21*E21/10000,0)</f>
        <v>4256</v>
      </c>
      <c r="D21" s="2798">
        <f ca="1">IF(B1="",'数据-汇总表'!E5,IF(INDIRECT("'数据-取费表'!c"&amp;$K$1)="住宅",INDIRECT("'数据-取费表'!k"&amp;$K$1),0))</f>
        <v>198870</v>
      </c>
      <c r="E21" s="53">
        <f>'数据-取费表'!B27</f>
        <v>214</v>
      </c>
      <c r="F21" s="2801"/>
      <c r="G21" s="26"/>
      <c r="H21" s="51"/>
      <c r="I21" s="51"/>
      <c r="J21" s="51"/>
      <c r="K21" s="2773"/>
    </row>
    <row r="22" spans="1:14" s="2100" customFormat="1" ht="13.5" customHeight="1">
      <c r="A22" s="2796" t="s">
        <v>1857</v>
      </c>
      <c r="B22" s="2797" t="s">
        <v>492</v>
      </c>
      <c r="C22" s="53">
        <f ca="1">ROUND(D22*E22/10000,0)</f>
        <v>2208</v>
      </c>
      <c r="D22" s="2798">
        <f ca="1">IF(B1="",'数据-汇总表'!E6,IF(INDIRECT("'数据-取费表'!c"&amp;$K$1)="住宅",INDIRECT("'数据-取费表'!s"&amp;$K$1),INDIRECT("'数据-取费表'!k"&amp;$K$1)+INDIRECT("'数据-取费表'!s"&amp;$K$1)))</f>
        <v>103189</v>
      </c>
      <c r="E22" s="53">
        <f>'数据-取费表'!B28</f>
        <v>214</v>
      </c>
      <c r="F22" s="2801"/>
      <c r="G22" s="26"/>
      <c r="H22" s="51"/>
      <c r="I22" s="51"/>
      <c r="J22" s="51"/>
      <c r="K22" s="2773"/>
    </row>
    <row r="23" spans="1:14" s="2100" customFormat="1" ht="13.5" customHeight="1">
      <c r="A23" s="2804" t="s">
        <v>1858</v>
      </c>
      <c r="B23" s="2982" t="s">
        <v>2831</v>
      </c>
      <c r="C23" s="2806">
        <f ca="1">ROUND((C18+C19+C20)*F23,0)</f>
        <v>1863</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2" t="s">
        <v>2834</v>
      </c>
      <c r="C24" s="2806">
        <f ca="1">ROUND(C6*F24,0)</f>
        <v>5190</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2" t="s">
        <v>2832</v>
      </c>
      <c r="C25" s="467">
        <f>ROUND(F25/(1+'数据-取费表'!C42),4)</f>
        <v>3.8600000000000002E-2</v>
      </c>
      <c r="D25" s="462" t="s">
        <v>2826</v>
      </c>
      <c r="E25" s="469"/>
      <c r="F25" s="2810">
        <f>IF(项目基本情况!B8="出让",0,'数据-取费表'!B48+'数据-取费表'!B49)</f>
        <v>4.0500000000000001E-2</v>
      </c>
      <c r="G25" s="2774" t="s">
        <v>2287</v>
      </c>
      <c r="H25" s="2767"/>
      <c r="I25" s="2767"/>
      <c r="J25" s="2767"/>
      <c r="K25" s="2768"/>
    </row>
    <row r="26" spans="1:14" s="2102" customFormat="1" ht="13.5" customHeight="1">
      <c r="A26" s="2804" t="s">
        <v>1861</v>
      </c>
      <c r="B26" s="2983" t="s">
        <v>2833</v>
      </c>
      <c r="C26" s="2811">
        <f ca="1">C28</f>
        <v>5986</v>
      </c>
      <c r="D26" s="467">
        <f ca="1">C27</f>
        <v>0.1278</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5986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13841</v>
      </c>
      <c r="D29" s="468"/>
      <c r="E29" s="468"/>
      <c r="F29" s="2984">
        <f>'数据-取费表'!B41</f>
        <v>5.6000000000000001E-2</v>
      </c>
      <c r="G29" s="2775" t="s">
        <v>498</v>
      </c>
      <c r="H29" s="2767"/>
      <c r="I29" s="2767"/>
      <c r="J29" s="2767"/>
      <c r="K29" s="2768"/>
    </row>
    <row r="30" spans="1:14" s="2105" customFormat="1" ht="13.5" customHeight="1">
      <c r="A30" s="1619" t="s">
        <v>1863</v>
      </c>
      <c r="B30" s="2816" t="s">
        <v>500</v>
      </c>
      <c r="C30" s="2811">
        <f ca="1">C31</f>
        <v>120048</v>
      </c>
      <c r="D30" s="477">
        <f ca="1">C32</f>
        <v>0.16639999999999999</v>
      </c>
      <c r="E30" s="469" t="s">
        <v>495</v>
      </c>
      <c r="F30" s="471"/>
      <c r="G30" s="2774" t="s">
        <v>2960</v>
      </c>
      <c r="H30" s="2767"/>
      <c r="I30" s="2767"/>
      <c r="J30" s="2767"/>
      <c r="K30" s="2768"/>
    </row>
    <row r="31" spans="1:14" s="2104" customFormat="1" ht="13.5" customHeight="1">
      <c r="A31" s="803" t="s">
        <v>1856</v>
      </c>
      <c r="B31" s="2812"/>
      <c r="C31" s="450">
        <f ca="1">C18+C19+C20+C23+C24+C26+C29</f>
        <v>120048</v>
      </c>
      <c r="D31" s="472"/>
      <c r="E31" s="473"/>
      <c r="F31" s="474"/>
      <c r="G31" s="261"/>
      <c r="H31" s="2769"/>
      <c r="I31" s="2769"/>
      <c r="J31" s="2769"/>
      <c r="K31" s="279"/>
    </row>
    <row r="32" spans="1:14" s="2104" customFormat="1" ht="13.5" customHeight="1">
      <c r="A32" s="803" t="s">
        <v>1857</v>
      </c>
      <c r="B32" s="2812"/>
      <c r="C32" s="53">
        <f ca="1">ROUND(C25+D26,4)</f>
        <v>0.16639999999999999</v>
      </c>
      <c r="D32" s="472"/>
      <c r="E32" s="473"/>
      <c r="F32" s="474"/>
      <c r="G32" s="261"/>
      <c r="H32" s="2769"/>
      <c r="I32" s="2769"/>
      <c r="J32" s="2769"/>
      <c r="K32" s="279"/>
    </row>
    <row r="33" spans="1:11" s="2106" customFormat="1" ht="13.5" customHeight="1">
      <c r="A33" s="2981" t="s">
        <v>2830</v>
      </c>
      <c r="B33" s="2979" t="s">
        <v>2828</v>
      </c>
      <c r="C33" s="478">
        <f ca="1">C35</f>
        <v>9020</v>
      </c>
      <c r="D33" s="467">
        <f ca="1">C34</f>
        <v>9.35E-2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9.35E-2</v>
      </c>
      <c r="D34" s="472"/>
      <c r="E34" s="473"/>
      <c r="F34" s="480"/>
      <c r="G34" s="261" t="s">
        <v>2288</v>
      </c>
      <c r="H34" s="2769"/>
      <c r="I34" s="2769"/>
      <c r="J34" s="2769"/>
      <c r="K34" s="279"/>
    </row>
    <row r="35" spans="1:11" s="2107" customFormat="1" ht="13.5" customHeight="1" thickBot="1">
      <c r="A35" s="1620" t="s">
        <v>1857</v>
      </c>
      <c r="B35" s="2980" t="s">
        <v>2836</v>
      </c>
      <c r="C35" s="1612">
        <f ca="1">ROUND((C18+C19+C20+C23+C24)*F33,0)</f>
        <v>9020</v>
      </c>
      <c r="D35" s="1613"/>
      <c r="E35" s="2818"/>
      <c r="F35" s="1614"/>
      <c r="G35" s="2776"/>
      <c r="H35" s="2777"/>
      <c r="I35" s="2777"/>
      <c r="J35" s="2777"/>
      <c r="K35" s="2778"/>
    </row>
    <row r="36" spans="1:11" s="2069" customFormat="1" ht="13.5" customHeight="1" thickBot="1">
      <c r="A36" s="284" t="s">
        <v>1844</v>
      </c>
      <c r="B36" s="2780"/>
      <c r="C36" s="2819">
        <f ca="1">ROUND((C6-C30-C33)/(1+D30+D33),0)</f>
        <v>103538</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71988</v>
      </c>
      <c r="D13" s="451"/>
      <c r="E13" s="365"/>
      <c r="F13" s="452"/>
      <c r="G13" s="444"/>
      <c r="H13" s="447"/>
      <c r="I13" s="447"/>
      <c r="J13" s="447"/>
      <c r="K13" s="448"/>
    </row>
    <row r="14" spans="1:41" s="2100" customFormat="1" ht="13.5" customHeight="1">
      <c r="A14" s="1617" t="s">
        <v>1849</v>
      </c>
      <c r="B14" s="449" t="s">
        <v>480</v>
      </c>
      <c r="C14" s="53">
        <f ca="1">ROUND(C13*F14,0)</f>
        <v>3599</v>
      </c>
      <c r="D14" s="451"/>
      <c r="E14" s="365"/>
      <c r="F14" s="453">
        <f>'数据-取费表'!B33</f>
        <v>0.05</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2486</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6041</v>
      </c>
      <c r="D16" s="451">
        <f ca="1">IF(B1="",'数据-汇总表'!E3,INDIRECT("'数据-取费表'!K"&amp;$K$1)+INDIRECT("'数据-取费表'!S"&amp;$K$1))</f>
        <v>302059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1080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85194</v>
      </c>
      <c r="D18" s="461"/>
      <c r="E18" s="462"/>
      <c r="F18" s="462"/>
      <c r="G18" s="1323" t="s">
        <v>2430</v>
      </c>
      <c r="H18" s="447"/>
      <c r="I18" s="447"/>
      <c r="J18" s="447"/>
      <c r="K18" s="448"/>
    </row>
    <row r="19" spans="1:14" s="2103" customFormat="1" ht="13.5" customHeight="1">
      <c r="A19" s="1618" t="s">
        <v>1854</v>
      </c>
      <c r="B19" s="459" t="s">
        <v>493</v>
      </c>
      <c r="C19" s="460">
        <f ca="1">ROUND(C18*F19,0)</f>
        <v>1704</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7">
        <f>F20</f>
        <v>0.02</v>
      </c>
      <c r="D20" s="469" t="s">
        <v>505</v>
      </c>
      <c r="E20" s="469"/>
      <c r="F20" s="486">
        <f>'数据-取费表'!B38</f>
        <v>0.02</v>
      </c>
      <c r="G20" s="1323" t="s">
        <v>506</v>
      </c>
      <c r="H20" s="447"/>
      <c r="I20" s="447"/>
      <c r="J20" s="447"/>
      <c r="K20" s="448"/>
      <c r="L20" s="2105"/>
      <c r="M20" s="2105"/>
      <c r="N20" s="2105"/>
    </row>
    <row r="21" spans="1:14" s="2105" customFormat="1" ht="13.5" customHeight="1">
      <c r="A21" s="1618" t="s">
        <v>1858</v>
      </c>
      <c r="B21" s="461" t="s">
        <v>494</v>
      </c>
      <c r="C21" s="470">
        <f ca="1">C22</f>
        <v>5190</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5190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9" t="s">
        <v>2829</v>
      </c>
      <c r="C24" s="478">
        <f ca="1">C25</f>
        <v>7821</v>
      </c>
      <c r="D24" s="489">
        <f ca="1">C26</f>
        <v>1.8E-3</v>
      </c>
      <c r="E24" s="469" t="s">
        <v>507</v>
      </c>
      <c r="F24" s="479">
        <f ca="1">IF(B1="",'数据-取费表'!Q16,INDIRECT("'数据-取费表'!q"&amp;$K$1))</f>
        <v>0.09</v>
      </c>
      <c r="G24" s="444"/>
      <c r="H24" s="447"/>
      <c r="I24" s="447"/>
      <c r="J24" s="447"/>
      <c r="K24" s="448"/>
    </row>
    <row r="25" spans="1:14" s="2104" customFormat="1" ht="13.5" customHeight="1">
      <c r="A25" s="1617" t="s">
        <v>1848</v>
      </c>
      <c r="B25" s="1324" t="s">
        <v>2434</v>
      </c>
      <c r="C25" s="490">
        <f ca="1">ROUND((C18+C19)*F24,0)</f>
        <v>7821</v>
      </c>
      <c r="D25" s="472"/>
      <c r="E25" s="473"/>
      <c r="F25" s="480"/>
      <c r="G25" s="1322" t="s">
        <v>2431</v>
      </c>
      <c r="H25" s="457"/>
      <c r="I25" s="457"/>
      <c r="J25" s="457"/>
      <c r="K25" s="458"/>
    </row>
    <row r="26" spans="1:14" s="2104" customFormat="1" ht="13.5" customHeight="1">
      <c r="A26" s="1617" t="s">
        <v>1849</v>
      </c>
      <c r="B26" s="1324" t="s">
        <v>509</v>
      </c>
      <c r="C26" s="491">
        <f ca="1">ROUND(F20*F24,4)</f>
        <v>1.8E-3</v>
      </c>
      <c r="D26" s="472"/>
      <c r="E26" s="481"/>
      <c r="F26" s="480"/>
      <c r="G26" s="1322" t="s">
        <v>510</v>
      </c>
      <c r="H26" s="457"/>
      <c r="I26" s="457"/>
      <c r="J26" s="457"/>
      <c r="K26" s="458"/>
    </row>
    <row r="27" spans="1:14" s="2104" customFormat="1" ht="13.5" customHeight="1">
      <c r="A27" s="1621" t="s">
        <v>1867</v>
      </c>
      <c r="B27" s="459" t="s">
        <v>511</v>
      </c>
      <c r="C27" s="2978">
        <f>ROUND(F27/(1+'数据-取费表'!C42),4)</f>
        <v>5.33E-2</v>
      </c>
      <c r="D27" s="462" t="s">
        <v>2827</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108162</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83" t="s">
        <v>522</v>
      </c>
      <c r="D6" s="3384"/>
      <c r="E6" s="3418" t="s">
        <v>523</v>
      </c>
      <c r="F6" s="3419"/>
      <c r="G6" s="3383" t="s">
        <v>524</v>
      </c>
      <c r="H6" s="3384"/>
      <c r="I6" s="3383" t="s">
        <v>525</v>
      </c>
      <c r="J6" s="3384"/>
      <c r="K6" s="514" t="s">
        <v>526</v>
      </c>
      <c r="L6" s="2117"/>
      <c r="M6" s="2118"/>
      <c r="N6" s="2118"/>
      <c r="O6" s="2118"/>
      <c r="P6" s="3385" t="s">
        <v>527</v>
      </c>
      <c r="Q6" s="3386"/>
      <c r="R6" s="3391" t="s">
        <v>523</v>
      </c>
      <c r="S6" s="3392"/>
      <c r="T6" s="3391" t="s">
        <v>524</v>
      </c>
      <c r="U6" s="3392"/>
      <c r="V6" s="3378" t="s">
        <v>525</v>
      </c>
      <c r="W6" s="3378"/>
      <c r="X6" s="1552"/>
      <c r="Y6" s="3391" t="s">
        <v>527</v>
      </c>
      <c r="Z6" s="3392"/>
      <c r="AA6" s="3380" t="s">
        <v>523</v>
      </c>
      <c r="AB6" s="3381" t="s">
        <v>524</v>
      </c>
      <c r="AC6" s="3380" t="s">
        <v>525</v>
      </c>
    </row>
    <row r="7" spans="1:29">
      <c r="A7" s="515"/>
      <c r="B7" s="516"/>
      <c r="C7" s="3401" t="s">
        <v>2918</v>
      </c>
      <c r="D7" s="3400"/>
      <c r="E7" s="3420" t="s">
        <v>2919</v>
      </c>
      <c r="F7" s="3421"/>
      <c r="G7" s="3401" t="s">
        <v>2920</v>
      </c>
      <c r="H7" s="3400"/>
      <c r="I7" s="3401" t="s">
        <v>2921</v>
      </c>
      <c r="J7" s="3400"/>
      <c r="K7" s="514"/>
      <c r="L7" s="2117"/>
      <c r="M7" s="2118"/>
      <c r="N7" s="2118"/>
      <c r="O7" s="2118"/>
      <c r="P7" s="3387"/>
      <c r="Q7" s="3388"/>
      <c r="R7" s="3393"/>
      <c r="S7" s="3394"/>
      <c r="T7" s="3393"/>
      <c r="U7" s="3394"/>
      <c r="V7" s="3378"/>
      <c r="W7" s="3378"/>
      <c r="X7" s="1552"/>
      <c r="Y7" s="3393"/>
      <c r="Z7" s="3394"/>
      <c r="AA7" s="3381"/>
      <c r="AB7" s="3381"/>
      <c r="AC7" s="3381"/>
    </row>
    <row r="8" spans="1:29" ht="15" thickBot="1">
      <c r="A8" s="517"/>
      <c r="B8" s="518"/>
      <c r="C8" s="3397" t="s">
        <v>2922</v>
      </c>
      <c r="D8" s="3398"/>
      <c r="E8" s="3416" t="s">
        <v>2922</v>
      </c>
      <c r="F8" s="3417"/>
      <c r="G8" s="3397" t="s">
        <v>2922</v>
      </c>
      <c r="H8" s="3398"/>
      <c r="I8" s="3397" t="s">
        <v>2922</v>
      </c>
      <c r="J8" s="3398"/>
      <c r="K8" s="514" t="s">
        <v>528</v>
      </c>
      <c r="L8" s="2117"/>
      <c r="M8" s="2118"/>
      <c r="N8" s="2118"/>
      <c r="O8" s="2118"/>
      <c r="P8" s="3389"/>
      <c r="Q8" s="3390"/>
      <c r="R8" s="3393"/>
      <c r="S8" s="3394"/>
      <c r="T8" s="3395"/>
      <c r="U8" s="3396"/>
      <c r="V8" s="3378"/>
      <c r="W8" s="3378"/>
      <c r="X8" s="1552"/>
      <c r="Y8" s="3395"/>
      <c r="Z8" s="3396"/>
      <c r="AA8" s="3382"/>
      <c r="AB8" s="3382"/>
      <c r="AC8" s="3382"/>
    </row>
    <row r="9" spans="1:29" s="1216" customFormat="1" ht="15" thickBot="1">
      <c r="A9" s="2866"/>
      <c r="B9" s="2873" t="s">
        <v>529</v>
      </c>
      <c r="C9" s="519">
        <f>'数据-取费表'!B2</f>
        <v>43969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9" t="s">
        <v>530</v>
      </c>
      <c r="Q9" s="3411"/>
      <c r="R9" s="1553" t="s">
        <v>8</v>
      </c>
      <c r="S9" s="1554">
        <f t="shared" ref="S9:S17" si="0">F9</f>
        <v>0</v>
      </c>
      <c r="T9" s="1553" t="s">
        <v>8</v>
      </c>
      <c r="U9" s="1554">
        <f t="shared" ref="U9:U17" si="1">H9</f>
        <v>0</v>
      </c>
      <c r="V9" s="1553" t="s">
        <v>8</v>
      </c>
      <c r="W9" s="1554">
        <f t="shared" ref="W9:W17" si="2">J9</f>
        <v>0</v>
      </c>
      <c r="X9" s="1555"/>
      <c r="Y9" s="3409" t="s">
        <v>530</v>
      </c>
      <c r="Z9" s="3410"/>
      <c r="AA9" s="1556" t="e">
        <f>D9/F9</f>
        <v>#DIV/0!</v>
      </c>
      <c r="AB9" s="1556" t="e">
        <f>D9/H9</f>
        <v>#DIV/0!</v>
      </c>
      <c r="AC9" s="1556"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9" t="s">
        <v>533</v>
      </c>
      <c r="Q10" s="3410"/>
      <c r="R10" s="1553" t="s">
        <v>8</v>
      </c>
      <c r="S10" s="1554">
        <f t="shared" si="0"/>
        <v>0</v>
      </c>
      <c r="T10" s="1553" t="s">
        <v>8</v>
      </c>
      <c r="U10" s="1554">
        <f t="shared" si="1"/>
        <v>0</v>
      </c>
      <c r="V10" s="1553" t="s">
        <v>8</v>
      </c>
      <c r="W10" s="1554">
        <f t="shared" si="2"/>
        <v>0</v>
      </c>
      <c r="X10" s="1555"/>
      <c r="Y10" s="3409" t="s">
        <v>533</v>
      </c>
      <c r="Z10" s="3410"/>
      <c r="AA10" s="1556" t="e">
        <f t="shared" ref="AA10:AA42" si="3">D10/F10</f>
        <v>#DIV/0!</v>
      </c>
      <c r="AB10" s="1556" t="e">
        <f t="shared" ref="AB10:AB42" si="4">D10/H10</f>
        <v>#DIV/0!</v>
      </c>
      <c r="AC10" s="1556" t="e">
        <f t="shared" ref="AC10:AC42" si="5">D10/J10</f>
        <v>#DIV/0!</v>
      </c>
    </row>
    <row r="11" spans="1:29" s="1216"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7" t="s">
        <v>535</v>
      </c>
      <c r="Q11" s="1147" t="str">
        <f t="shared" ref="Q11:Q17" si="6">B11</f>
        <v>用途</v>
      </c>
      <c r="R11" s="1553" t="s">
        <v>8</v>
      </c>
      <c r="S11" s="1554">
        <f t="shared" si="0"/>
        <v>100</v>
      </c>
      <c r="T11" s="1553" t="s">
        <v>8</v>
      </c>
      <c r="U11" s="1554">
        <f t="shared" si="1"/>
        <v>100</v>
      </c>
      <c r="V11" s="1553" t="s">
        <v>8</v>
      </c>
      <c r="W11" s="1554">
        <f t="shared" si="2"/>
        <v>100</v>
      </c>
      <c r="X11" s="1555"/>
      <c r="Y11" s="3323" t="s">
        <v>536</v>
      </c>
      <c r="Z11" s="1146" t="str">
        <f t="shared" ref="Z11:Z17" si="7">Q11</f>
        <v>用途</v>
      </c>
      <c r="AA11" s="1556">
        <f t="shared" si="3"/>
        <v>1</v>
      </c>
      <c r="AB11" s="1556">
        <f t="shared" si="4"/>
        <v>1</v>
      </c>
      <c r="AC11" s="1556">
        <f t="shared" si="5"/>
        <v>1</v>
      </c>
    </row>
    <row r="12" spans="1:29" s="1334" customFormat="1" ht="28.8">
      <c r="A12" s="2869"/>
      <c r="B12" s="2874" t="s">
        <v>2754</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77"/>
      <c r="Q12" s="1147" t="str">
        <f t="shared" si="6"/>
        <v>土地使用年限（年）</v>
      </c>
      <c r="R12" s="1553" t="s">
        <v>8</v>
      </c>
      <c r="S12" s="1554">
        <f t="shared" si="0"/>
        <v>104</v>
      </c>
      <c r="T12" s="1553" t="s">
        <v>8</v>
      </c>
      <c r="U12" s="1554">
        <f t="shared" si="1"/>
        <v>104</v>
      </c>
      <c r="V12" s="1553" t="s">
        <v>8</v>
      </c>
      <c r="W12" s="1554">
        <f t="shared" si="2"/>
        <v>104</v>
      </c>
      <c r="X12" s="1555"/>
      <c r="Y12" s="3323"/>
      <c r="Z12" s="1146" t="str">
        <f t="shared" si="7"/>
        <v>土地使用年限（年）</v>
      </c>
      <c r="AA12" s="1556">
        <f t="shared" si="3"/>
        <v>0.96153846153846156</v>
      </c>
      <c r="AB12" s="1556">
        <f t="shared" si="4"/>
        <v>0.96153846153846156</v>
      </c>
      <c r="AC12" s="1556">
        <f t="shared" si="5"/>
        <v>0.96153846153846156</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7"/>
      <c r="Q13" s="1147" t="str">
        <f t="shared" si="6"/>
        <v>容积率</v>
      </c>
      <c r="R13" s="1553" t="s">
        <v>8</v>
      </c>
      <c r="S13" s="1554" t="e">
        <f t="shared" si="0"/>
        <v>#N/A</v>
      </c>
      <c r="T13" s="1553" t="s">
        <v>8</v>
      </c>
      <c r="U13" s="1554" t="e">
        <f t="shared" si="1"/>
        <v>#N/A</v>
      </c>
      <c r="V13" s="1553" t="s">
        <v>8</v>
      </c>
      <c r="W13" s="1554" t="e">
        <f t="shared" si="2"/>
        <v>#N/A</v>
      </c>
      <c r="X13" s="1555"/>
      <c r="Y13" s="3323"/>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7"/>
      <c r="Q14" s="1147">
        <f t="shared" si="6"/>
        <v>111</v>
      </c>
      <c r="R14" s="1553" t="s">
        <v>8</v>
      </c>
      <c r="S14" s="1554">
        <f t="shared" si="0"/>
        <v>100</v>
      </c>
      <c r="T14" s="1553" t="s">
        <v>8</v>
      </c>
      <c r="U14" s="1554">
        <f t="shared" si="1"/>
        <v>100</v>
      </c>
      <c r="V14" s="1553" t="s">
        <v>8</v>
      </c>
      <c r="W14" s="1554">
        <f t="shared" si="2"/>
        <v>100</v>
      </c>
      <c r="X14" s="1555"/>
      <c r="Y14" s="3323"/>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7"/>
      <c r="Q15" s="1147">
        <f t="shared" si="6"/>
        <v>111</v>
      </c>
      <c r="R15" s="1553" t="s">
        <v>8</v>
      </c>
      <c r="S15" s="1554">
        <f t="shared" si="0"/>
        <v>100</v>
      </c>
      <c r="T15" s="1553" t="s">
        <v>8</v>
      </c>
      <c r="U15" s="1554">
        <f t="shared" si="1"/>
        <v>100</v>
      </c>
      <c r="V15" s="1553" t="s">
        <v>8</v>
      </c>
      <c r="W15" s="1554">
        <f t="shared" si="2"/>
        <v>100</v>
      </c>
      <c r="X15" s="1555"/>
      <c r="Y15" s="3323"/>
      <c r="Z15" s="1146">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7"/>
      <c r="Q16" s="1147">
        <f t="shared" si="6"/>
        <v>111</v>
      </c>
      <c r="R16" s="1553" t="s">
        <v>8</v>
      </c>
      <c r="S16" s="1554">
        <f t="shared" si="0"/>
        <v>100</v>
      </c>
      <c r="T16" s="1553" t="s">
        <v>8</v>
      </c>
      <c r="U16" s="1554">
        <f t="shared" si="1"/>
        <v>100</v>
      </c>
      <c r="V16" s="1553" t="s">
        <v>8</v>
      </c>
      <c r="W16" s="1554">
        <f t="shared" si="2"/>
        <v>100</v>
      </c>
      <c r="X16" s="1555"/>
      <c r="Y16" s="3323"/>
      <c r="Z16" s="1146">
        <f t="shared" si="7"/>
        <v>111</v>
      </c>
      <c r="AA16" s="1556">
        <f t="shared" si="3"/>
        <v>1</v>
      </c>
      <c r="AB16" s="1556">
        <f t="shared" si="4"/>
        <v>1</v>
      </c>
      <c r="AC16" s="1556">
        <f t="shared" si="5"/>
        <v>1</v>
      </c>
    </row>
    <row r="17" spans="1:29" ht="15">
      <c r="A17" s="2864" t="s">
        <v>2751</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2" t="s">
        <v>540</v>
      </c>
      <c r="Q17" s="1557" t="str">
        <f t="shared" si="6"/>
        <v>产业集聚程度</v>
      </c>
      <c r="R17" s="1558" t="s">
        <v>8</v>
      </c>
      <c r="S17" s="1559">
        <f t="shared" si="0"/>
        <v>100</v>
      </c>
      <c r="T17" s="1558" t="s">
        <v>8</v>
      </c>
      <c r="U17" s="1559">
        <f t="shared" si="1"/>
        <v>100</v>
      </c>
      <c r="V17" s="1558" t="s">
        <v>8</v>
      </c>
      <c r="W17" s="1559">
        <f t="shared" si="2"/>
        <v>100</v>
      </c>
      <c r="X17" s="1552"/>
      <c r="Y17" s="3412"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3"/>
      <c r="Q18" s="1557"/>
      <c r="R18" s="1558"/>
      <c r="S18" s="1559"/>
      <c r="T18" s="1558"/>
      <c r="U18" s="1559"/>
      <c r="V18" s="1558"/>
      <c r="W18" s="1559"/>
      <c r="X18" s="1552"/>
      <c r="Y18" s="3413"/>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3"/>
      <c r="Q19" s="1557" t="str">
        <f>B19</f>
        <v>交通便捷度</v>
      </c>
      <c r="R19" s="1558" t="s">
        <v>8</v>
      </c>
      <c r="S19" s="1559">
        <f>F19</f>
        <v>100</v>
      </c>
      <c r="T19" s="1558" t="s">
        <v>8</v>
      </c>
      <c r="U19" s="1559">
        <f>H19</f>
        <v>100</v>
      </c>
      <c r="V19" s="1558" t="s">
        <v>8</v>
      </c>
      <c r="W19" s="1559">
        <f>J19</f>
        <v>100</v>
      </c>
      <c r="X19" s="1552"/>
      <c r="Y19" s="3413"/>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3"/>
      <c r="Q20" s="1557"/>
      <c r="R20" s="1558"/>
      <c r="S20" s="1559"/>
      <c r="T20" s="1558"/>
      <c r="U20" s="1559"/>
      <c r="V20" s="1558"/>
      <c r="W20" s="1559"/>
      <c r="X20" s="1552"/>
      <c r="Y20" s="3413"/>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3"/>
      <c r="Q21" s="1557" t="str">
        <f t="shared" ref="Q21:Q35" si="8">B21</f>
        <v>区域土地利用方向</v>
      </c>
      <c r="R21" s="1558" t="s">
        <v>8</v>
      </c>
      <c r="S21" s="1559">
        <f>F21</f>
        <v>100</v>
      </c>
      <c r="T21" s="1558" t="s">
        <v>8</v>
      </c>
      <c r="U21" s="1559">
        <f>H21</f>
        <v>100</v>
      </c>
      <c r="V21" s="1558" t="s">
        <v>8</v>
      </c>
      <c r="W21" s="1559">
        <f>J21</f>
        <v>100</v>
      </c>
      <c r="X21" s="1552"/>
      <c r="Y21" s="3413"/>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13"/>
      <c r="Q22" s="1557"/>
      <c r="R22" s="1558"/>
      <c r="S22" s="1559"/>
      <c r="T22" s="1558"/>
      <c r="U22" s="1559"/>
      <c r="V22" s="1558"/>
      <c r="W22" s="1559"/>
      <c r="X22" s="1552"/>
      <c r="Y22" s="3413"/>
      <c r="Z22" s="1560"/>
      <c r="AA22" s="1561"/>
      <c r="AB22" s="1561"/>
      <c r="AC22" s="1561"/>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3"/>
      <c r="Q23" s="1557" t="str">
        <f t="shared" si="8"/>
        <v>环境状况</v>
      </c>
      <c r="R23" s="1558" t="s">
        <v>8</v>
      </c>
      <c r="S23" s="1559">
        <f>F23</f>
        <v>100</v>
      </c>
      <c r="T23" s="1558" t="s">
        <v>8</v>
      </c>
      <c r="U23" s="1559">
        <f>H23</f>
        <v>100</v>
      </c>
      <c r="V23" s="1558" t="s">
        <v>8</v>
      </c>
      <c r="W23" s="1559">
        <f>J23</f>
        <v>100</v>
      </c>
      <c r="X23" s="1552"/>
      <c r="Y23" s="3413"/>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3"/>
      <c r="Q24" s="1557"/>
      <c r="R24" s="1558"/>
      <c r="S24" s="1559"/>
      <c r="T24" s="1558"/>
      <c r="U24" s="1559"/>
      <c r="V24" s="1558"/>
      <c r="W24" s="1559"/>
      <c r="X24" s="1552"/>
      <c r="Y24" s="3413"/>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3"/>
      <c r="Q25" s="1147" t="str">
        <f t="shared" si="8"/>
        <v>公共配套设施</v>
      </c>
      <c r="R25" s="1553" t="s">
        <v>8</v>
      </c>
      <c r="S25" s="1554">
        <f>F25</f>
        <v>100</v>
      </c>
      <c r="T25" s="1553" t="s">
        <v>8</v>
      </c>
      <c r="U25" s="1554">
        <f>H25</f>
        <v>100</v>
      </c>
      <c r="V25" s="1553" t="s">
        <v>8</v>
      </c>
      <c r="W25" s="1554">
        <f>J25</f>
        <v>100</v>
      </c>
      <c r="X25" s="1555"/>
      <c r="Y25" s="3413"/>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3"/>
      <c r="Q26" s="1147"/>
      <c r="R26" s="1553"/>
      <c r="S26" s="1554"/>
      <c r="T26" s="1553"/>
      <c r="U26" s="1554"/>
      <c r="V26" s="1553"/>
      <c r="W26" s="1554"/>
      <c r="X26" s="1555"/>
      <c r="Y26" s="3413"/>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3"/>
      <c r="Q27" s="2541" t="str">
        <f t="shared" ref="Q27" si="9">B27</f>
        <v>基础设施水平</v>
      </c>
      <c r="R27" s="1553" t="s">
        <v>8</v>
      </c>
      <c r="S27" s="1554">
        <f>F27</f>
        <v>100</v>
      </c>
      <c r="T27" s="1553" t="s">
        <v>8</v>
      </c>
      <c r="U27" s="1554">
        <f>H27</f>
        <v>100</v>
      </c>
      <c r="V27" s="1553" t="s">
        <v>8</v>
      </c>
      <c r="W27" s="1554">
        <f>J27</f>
        <v>100</v>
      </c>
      <c r="X27" s="1555"/>
      <c r="Y27" s="3413"/>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3"/>
      <c r="Q28" s="2541"/>
      <c r="R28" s="1553"/>
      <c r="S28" s="1554"/>
      <c r="T28" s="1553"/>
      <c r="U28" s="1554"/>
      <c r="V28" s="1553"/>
      <c r="W28" s="1554"/>
      <c r="X28" s="1555"/>
      <c r="Y28" s="3413"/>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3"/>
      <c r="Z29" s="1560" t="str">
        <f t="shared" ref="Z29:Z42" si="13">Q29</f>
        <v>临街状况</v>
      </c>
      <c r="AA29" s="1561">
        <f t="shared" si="3"/>
        <v>1</v>
      </c>
      <c r="AB29" s="1561">
        <f t="shared" si="4"/>
        <v>1</v>
      </c>
      <c r="AC29" s="1561">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3"/>
      <c r="Q30" s="1557" t="str">
        <f t="shared" si="8"/>
        <v>毗邻道路的类型与等级</v>
      </c>
      <c r="R30" s="1558" t="s">
        <v>8</v>
      </c>
      <c r="S30" s="1559">
        <f t="shared" si="10"/>
        <v>100</v>
      </c>
      <c r="T30" s="1558" t="s">
        <v>8</v>
      </c>
      <c r="U30" s="1559">
        <f t="shared" si="11"/>
        <v>100</v>
      </c>
      <c r="V30" s="1558" t="s">
        <v>8</v>
      </c>
      <c r="W30" s="1559">
        <f t="shared" si="12"/>
        <v>100</v>
      </c>
      <c r="X30" s="1552"/>
      <c r="Y30" s="3413"/>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3"/>
      <c r="Q31" s="1557"/>
      <c r="R31" s="1558"/>
      <c r="S31" s="1559"/>
      <c r="T31" s="1558"/>
      <c r="U31" s="1559"/>
      <c r="V31" s="1558"/>
      <c r="W31" s="1559"/>
      <c r="X31" s="1552"/>
      <c r="Y31" s="3413"/>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3"/>
      <c r="Q32" s="1557" t="str">
        <f t="shared" si="8"/>
        <v>土地级别</v>
      </c>
      <c r="R32" s="1558" t="s">
        <v>8</v>
      </c>
      <c r="S32" s="1559">
        <f t="shared" si="10"/>
        <v>100</v>
      </c>
      <c r="T32" s="1558" t="s">
        <v>8</v>
      </c>
      <c r="U32" s="1559">
        <f t="shared" si="11"/>
        <v>100</v>
      </c>
      <c r="V32" s="1558" t="s">
        <v>8</v>
      </c>
      <c r="W32" s="1559">
        <f t="shared" si="12"/>
        <v>100</v>
      </c>
      <c r="X32" s="1552"/>
      <c r="Y32" s="3413"/>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3"/>
      <c r="Q33" s="1557">
        <f t="shared" si="8"/>
        <v>111</v>
      </c>
      <c r="R33" s="1558" t="s">
        <v>8</v>
      </c>
      <c r="S33" s="1559">
        <f t="shared" si="10"/>
        <v>100</v>
      </c>
      <c r="T33" s="1558" t="s">
        <v>8</v>
      </c>
      <c r="U33" s="1559">
        <f t="shared" si="11"/>
        <v>100</v>
      </c>
      <c r="V33" s="1558" t="s">
        <v>8</v>
      </c>
      <c r="W33" s="1559">
        <f t="shared" si="12"/>
        <v>100</v>
      </c>
      <c r="X33" s="1552"/>
      <c r="Y33" s="3413"/>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4" t="s">
        <v>550</v>
      </c>
      <c r="Q34" s="1557">
        <f t="shared" si="8"/>
        <v>111</v>
      </c>
      <c r="R34" s="1558" t="s">
        <v>8</v>
      </c>
      <c r="S34" s="1559">
        <f t="shared" si="10"/>
        <v>100</v>
      </c>
      <c r="T34" s="1558" t="s">
        <v>8</v>
      </c>
      <c r="U34" s="1559">
        <f t="shared" si="11"/>
        <v>100</v>
      </c>
      <c r="V34" s="1558" t="s">
        <v>8</v>
      </c>
      <c r="W34" s="1559">
        <f t="shared" si="12"/>
        <v>100</v>
      </c>
      <c r="X34" s="1552"/>
      <c r="Y34" s="3415" t="s">
        <v>550</v>
      </c>
      <c r="Z34" s="1560">
        <f t="shared" si="13"/>
        <v>111</v>
      </c>
      <c r="AA34" s="1561">
        <f t="shared" si="3"/>
        <v>1</v>
      </c>
      <c r="AB34" s="1561">
        <f t="shared" si="4"/>
        <v>1</v>
      </c>
      <c r="AC34" s="1561">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5"/>
      <c r="Q35" s="1557">
        <f t="shared" si="8"/>
        <v>111</v>
      </c>
      <c r="R35" s="1562" t="s">
        <v>8</v>
      </c>
      <c r="S35" s="1563">
        <f t="shared" si="10"/>
        <v>100</v>
      </c>
      <c r="T35" s="1562" t="s">
        <v>8</v>
      </c>
      <c r="U35" s="1563">
        <f t="shared" si="11"/>
        <v>100</v>
      </c>
      <c r="V35" s="1562" t="s">
        <v>8</v>
      </c>
      <c r="W35" s="1563">
        <f t="shared" si="12"/>
        <v>100</v>
      </c>
      <c r="X35" s="1564"/>
      <c r="Y35" s="3415"/>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5"/>
      <c r="Q36" s="1557" t="str">
        <f>B36</f>
        <v>宗地面积</v>
      </c>
      <c r="R36" s="1558" t="s">
        <v>8</v>
      </c>
      <c r="S36" s="1559" t="e">
        <f t="shared" si="10"/>
        <v>#N/A</v>
      </c>
      <c r="T36" s="1558" t="s">
        <v>8</v>
      </c>
      <c r="U36" s="1559" t="e">
        <f t="shared" si="11"/>
        <v>#N/A</v>
      </c>
      <c r="V36" s="1558" t="s">
        <v>8</v>
      </c>
      <c r="W36" s="1559" t="e">
        <f t="shared" si="12"/>
        <v>#N/A</v>
      </c>
      <c r="X36" s="1552"/>
      <c r="Y36" s="3415"/>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5"/>
      <c r="Q37" s="1557" t="str">
        <f t="shared" ref="Q37:Q42" si="14">B37</f>
        <v>宗地形状</v>
      </c>
      <c r="R37" s="1558" t="s">
        <v>8</v>
      </c>
      <c r="S37" s="1559">
        <f t="shared" si="10"/>
        <v>100</v>
      </c>
      <c r="T37" s="1558" t="s">
        <v>8</v>
      </c>
      <c r="U37" s="1559">
        <f t="shared" si="11"/>
        <v>100</v>
      </c>
      <c r="V37" s="1558" t="s">
        <v>8</v>
      </c>
      <c r="W37" s="1559">
        <f t="shared" si="12"/>
        <v>100</v>
      </c>
      <c r="X37" s="1552"/>
      <c r="Y37" s="3415"/>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5"/>
      <c r="Q38" s="1557" t="str">
        <f t="shared" si="14"/>
        <v>宗地开发程度</v>
      </c>
      <c r="R38" s="1553" t="s">
        <v>8</v>
      </c>
      <c r="S38" s="1554">
        <f t="shared" si="10"/>
        <v>100</v>
      </c>
      <c r="T38" s="1553" t="s">
        <v>8</v>
      </c>
      <c r="U38" s="1554">
        <f t="shared" si="11"/>
        <v>100</v>
      </c>
      <c r="V38" s="1553" t="s">
        <v>8</v>
      </c>
      <c r="W38" s="1554">
        <f t="shared" si="12"/>
        <v>100</v>
      </c>
      <c r="X38" s="1555"/>
      <c r="Y38" s="3415"/>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5" t="s">
        <v>601</v>
      </c>
      <c r="Q39" s="1557" t="str">
        <f t="shared" si="14"/>
        <v>工程地质条件</v>
      </c>
      <c r="R39" s="1558" t="s">
        <v>8</v>
      </c>
      <c r="S39" s="1559">
        <f t="shared" si="10"/>
        <v>100</v>
      </c>
      <c r="T39" s="1558" t="s">
        <v>8</v>
      </c>
      <c r="U39" s="1559">
        <f t="shared" si="11"/>
        <v>100</v>
      </c>
      <c r="V39" s="1558" t="s">
        <v>8</v>
      </c>
      <c r="W39" s="1559">
        <f t="shared" si="12"/>
        <v>100</v>
      </c>
      <c r="X39" s="1552"/>
      <c r="Y39" s="3415"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5"/>
      <c r="Q40" s="1557">
        <f t="shared" si="14"/>
        <v>111</v>
      </c>
      <c r="R40" s="1558" t="s">
        <v>8</v>
      </c>
      <c r="S40" s="1559">
        <f t="shared" si="10"/>
        <v>100</v>
      </c>
      <c r="T40" s="1558" t="s">
        <v>8</v>
      </c>
      <c r="U40" s="1559">
        <f t="shared" si="11"/>
        <v>100</v>
      </c>
      <c r="V40" s="1558" t="s">
        <v>8</v>
      </c>
      <c r="W40" s="1559">
        <f t="shared" si="12"/>
        <v>100</v>
      </c>
      <c r="X40" s="1552"/>
      <c r="Y40" s="3415"/>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5"/>
      <c r="Q41" s="1557">
        <f t="shared" si="14"/>
        <v>111</v>
      </c>
      <c r="R41" s="1558" t="s">
        <v>8</v>
      </c>
      <c r="S41" s="1559">
        <f t="shared" si="10"/>
        <v>100</v>
      </c>
      <c r="T41" s="1558" t="s">
        <v>8</v>
      </c>
      <c r="U41" s="1559">
        <f t="shared" si="11"/>
        <v>100</v>
      </c>
      <c r="V41" s="1558" t="s">
        <v>8</v>
      </c>
      <c r="W41" s="1559">
        <f t="shared" si="12"/>
        <v>100</v>
      </c>
      <c r="X41" s="1552"/>
      <c r="Y41" s="3415"/>
      <c r="Z41" s="1560">
        <f t="shared" si="13"/>
        <v>111</v>
      </c>
      <c r="AA41" s="1561">
        <f t="shared" si="3"/>
        <v>1</v>
      </c>
      <c r="AB41" s="1561">
        <f t="shared" si="4"/>
        <v>1</v>
      </c>
      <c r="AC41" s="1561">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5"/>
      <c r="Q42" s="1557">
        <f t="shared" si="14"/>
        <v>111</v>
      </c>
      <c r="R42" s="1562" t="s">
        <v>8</v>
      </c>
      <c r="S42" s="1563">
        <f t="shared" si="10"/>
        <v>100</v>
      </c>
      <c r="T42" s="1562" t="s">
        <v>8</v>
      </c>
      <c r="U42" s="1563">
        <f t="shared" si="11"/>
        <v>100</v>
      </c>
      <c r="V42" s="1562" t="s">
        <v>8</v>
      </c>
      <c r="W42" s="1563">
        <f t="shared" si="12"/>
        <v>100</v>
      </c>
      <c r="X42" s="1564"/>
      <c r="Y42" s="3415"/>
      <c r="Z42" s="1565">
        <f t="shared" si="13"/>
        <v>111</v>
      </c>
      <c r="AA42" s="1561">
        <f t="shared" si="3"/>
        <v>1</v>
      </c>
      <c r="AB42" s="1561">
        <f t="shared" si="4"/>
        <v>1</v>
      </c>
      <c r="AC42" s="1561">
        <f t="shared" si="5"/>
        <v>1</v>
      </c>
    </row>
    <row r="43" spans="1:29" ht="14.4">
      <c r="A43" s="607" t="s">
        <v>556</v>
      </c>
      <c r="B43" s="608" t="s">
        <v>2923</v>
      </c>
      <c r="C43" s="609" t="s">
        <v>1</v>
      </c>
      <c r="D43" s="610"/>
      <c r="E43" s="611"/>
      <c r="F43" s="612"/>
      <c r="G43" s="613"/>
      <c r="H43" s="614"/>
      <c r="I43" s="611"/>
      <c r="J43" s="614"/>
      <c r="K43" s="1336"/>
      <c r="L43" s="2128"/>
      <c r="M43" s="2118"/>
      <c r="N43" s="2118"/>
      <c r="O43" s="2129"/>
      <c r="P43" s="3377" t="str">
        <f>A43</f>
        <v>成交单价</v>
      </c>
      <c r="Q43" s="3377"/>
      <c r="R43" s="3378">
        <f>E43</f>
        <v>0</v>
      </c>
      <c r="S43" s="3378"/>
      <c r="T43" s="3378">
        <f>G43</f>
        <v>0</v>
      </c>
      <c r="U43" s="3378"/>
      <c r="V43" s="3378">
        <f>I43</f>
        <v>0</v>
      </c>
      <c r="W43" s="3378"/>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7"/>
      <c r="L44" s="2128"/>
      <c r="M44" s="2118"/>
      <c r="N44" s="2118"/>
      <c r="O44" s="2129"/>
      <c r="P44" s="3377" t="str">
        <f>A44</f>
        <v>比较价格（元/平方米）</v>
      </c>
      <c r="Q44" s="3377"/>
      <c r="R44" s="3379" t="e">
        <f>ROUND(PRODUCT(R43,AA9:AA42),0)</f>
        <v>#DIV/0!</v>
      </c>
      <c r="S44" s="3379"/>
      <c r="T44" s="3379" t="e">
        <f>ROUND(PRODUCT(T43,AB9:AB42),0)</f>
        <v>#DIV/0!</v>
      </c>
      <c r="U44" s="3379"/>
      <c r="V44" s="3379" t="e">
        <f>ROUND(PRODUCT(V43,AC9:AC42),0)</f>
        <v>#DIV/0!</v>
      </c>
      <c r="W44" s="3379"/>
      <c r="X44" s="1544"/>
      <c r="Y44" s="1544"/>
      <c r="Z44" s="1544"/>
      <c r="AA44" s="1544"/>
      <c r="AB44" s="1544"/>
      <c r="AC44" s="1544"/>
    </row>
    <row r="45" spans="1:29" ht="15" thickBot="1">
      <c r="A45" s="621" t="s">
        <v>2924</v>
      </c>
      <c r="B45" s="622"/>
      <c r="C45" s="623" t="e">
        <f>R45</f>
        <v>#DIV/0!</v>
      </c>
      <c r="D45" s="623"/>
      <c r="E45" s="623"/>
      <c r="F45" s="623"/>
      <c r="G45" s="623"/>
      <c r="H45" s="623"/>
      <c r="I45" s="623"/>
      <c r="J45" s="623"/>
      <c r="K45" s="1338"/>
      <c r="L45" s="2128"/>
      <c r="M45" s="2118"/>
      <c r="N45" s="2118"/>
      <c r="O45" s="2129"/>
      <c r="P45" s="3374" t="str">
        <f>A45</f>
        <v>估价对象XX用房的比较价格（楼面单价，元/平方米）</v>
      </c>
      <c r="Q45" s="3375"/>
      <c r="R45" s="3376" t="e">
        <f>ROUND(AVERAGE(R44:V44),0)</f>
        <v>#DIV/0!</v>
      </c>
      <c r="S45" s="3376"/>
      <c r="T45" s="3376"/>
      <c r="U45" s="3376"/>
      <c r="V45" s="3376"/>
      <c r="W45" s="3376"/>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2291</v>
      </c>
      <c r="E52" s="631" t="s">
        <v>562</v>
      </c>
      <c r="F52" s="1935" t="s">
        <v>563</v>
      </c>
      <c r="G52" s="3422" t="s">
        <v>2282</v>
      </c>
      <c r="H52" s="3423"/>
      <c r="I52" s="1936" t="s">
        <v>1943</v>
      </c>
      <c r="J52" s="1540"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222013</v>
      </c>
      <c r="F53" s="1934" t="e">
        <f t="shared" ref="F53:F62" si="15">ROUND(B53*E53/10000,0)</f>
        <v>#DIV/0!</v>
      </c>
      <c r="G53" s="3424"/>
      <c r="H53" s="342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6">IF($C$52="北京市系数",I54,J54)</f>
        <v>0</v>
      </c>
      <c r="D54" s="2213">
        <v>0.25</v>
      </c>
      <c r="E54" s="639"/>
      <c r="F54" s="1934" t="e">
        <f t="shared" si="15"/>
        <v>#DIV/0!</v>
      </c>
      <c r="G54" s="3426"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7">ROUND($C$45*C55*D55,0)</f>
        <v>#DIV/0!</v>
      </c>
      <c r="C55" s="378">
        <f t="shared" si="16"/>
        <v>0</v>
      </c>
      <c r="D55" s="2213">
        <v>0.25</v>
      </c>
      <c r="E55" s="639"/>
      <c r="F55" s="1934" t="e">
        <f t="shared" si="15"/>
        <v>#DIV/0!</v>
      </c>
      <c r="G55" s="342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7"/>
        <v>#DIV/0!</v>
      </c>
      <c r="C56" s="378">
        <f t="shared" si="16"/>
        <v>0</v>
      </c>
      <c r="D56" s="2213">
        <v>0.25</v>
      </c>
      <c r="E56" s="639"/>
      <c r="F56" s="1934" t="e">
        <f t="shared" si="15"/>
        <v>#DIV/0!</v>
      </c>
      <c r="G56" s="342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7"/>
        <v>#DIV/0!</v>
      </c>
      <c r="C57" s="378">
        <f t="shared" si="16"/>
        <v>0</v>
      </c>
      <c r="D57" s="2213">
        <v>0.25</v>
      </c>
      <c r="E57" s="639"/>
      <c r="F57" s="1934" t="e">
        <f t="shared" si="15"/>
        <v>#DIV/0!</v>
      </c>
      <c r="G57" s="342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7"/>
        <v>#DIV/0!</v>
      </c>
      <c r="C60" s="378">
        <f t="shared" si="16"/>
        <v>0</v>
      </c>
      <c r="D60" s="2213">
        <v>0.25</v>
      </c>
      <c r="E60" s="641">
        <f>'数据-汇总表'!E13</f>
        <v>78732</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2292</v>
      </c>
      <c r="E63" s="643">
        <f>IF(B43="楼面地价",SUM(E53:E62),'数据-汇总表'!D3)</f>
        <v>53313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4.4">
      <c r="A67" s="2531" t="s">
        <v>2531</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2646</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2278</v>
      </c>
      <c r="B4" s="2416" t="e">
        <f>ROUND(B2*10000/F1,0)</f>
        <v>#DIV/0!</v>
      </c>
      <c r="C4" s="1878" t="s">
        <v>2252</v>
      </c>
      <c r="D4" s="1878" t="e">
        <f>ROUND(B2/(F1/666.67),0)</f>
        <v>#DIV/0!</v>
      </c>
      <c r="E4" s="1878" t="s">
        <v>2253</v>
      </c>
      <c r="F4" s="1876"/>
      <c r="G4" s="1876"/>
      <c r="H4" s="1876"/>
      <c r="I4" s="1876"/>
      <c r="J4" s="1877"/>
      <c r="K4" s="3143"/>
      <c r="L4" s="1869" t="s">
        <v>2239</v>
      </c>
      <c r="M4" s="1870">
        <f>SUMPRODUCT((区片价!B49:B75=I2)*(区片价!C3:F3=E2)*(区片价!C49:F75))</f>
        <v>0</v>
      </c>
      <c r="N4" s="1871">
        <f>SUMPRODUCT((因素修正幅度!B49:B75=I2)*(因素修正幅度!C3:F3=E2)*(因素修正幅度!C49:F75))</f>
        <v>0</v>
      </c>
      <c r="O4" s="3143"/>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1" t="e">
        <f>ROUND(IF(E2="商业",C6*C7+C16,(IF(E2="住宅",C6*C12+C16,C6+C16))),0)</f>
        <v>#DIV/0!</v>
      </c>
      <c r="D5" s="3067" t="e">
        <f>ROUND(C6+C16,0)</f>
        <v>#DIV/0!</v>
      </c>
      <c r="E5" s="3067"/>
      <c r="F5" s="1411"/>
      <c r="G5" s="1412"/>
      <c r="H5" s="1412"/>
      <c r="I5" s="1412"/>
      <c r="J5" s="1413"/>
      <c r="K5" s="3144"/>
      <c r="L5" s="1869" t="s">
        <v>2240</v>
      </c>
      <c r="M5" s="1870">
        <f>SUMPRODUCT((区片价!B76:B109=I2)*(区片价!C3:F3=E2)*(区片价!C76:F109))</f>
        <v>0</v>
      </c>
      <c r="N5" s="1871">
        <f>SUMPRODUCT((因素修正幅度!B76:B109=I2)*(因素修正幅度!C3:F3=E2)*(因素修正幅度!C76:F109))</f>
        <v>0</v>
      </c>
      <c r="O5" s="3144"/>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8"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2762</v>
      </c>
      <c r="X7" s="2881">
        <f>G2</f>
        <v>0</v>
      </c>
      <c r="Y7" s="2881" t="s">
        <v>2763</v>
      </c>
      <c r="Z7" s="2882">
        <f>G3</f>
        <v>4</v>
      </c>
      <c r="AA7" s="2176"/>
      <c r="AB7" s="2176"/>
      <c r="AC7" s="2177"/>
      <c r="AD7" s="2883"/>
      <c r="AE7" s="2883"/>
      <c r="AF7" s="2883"/>
      <c r="AG7" s="2883"/>
      <c r="AH7" s="2883"/>
      <c r="AI7" s="2883"/>
      <c r="AJ7" s="2884"/>
    </row>
    <row r="8" spans="1:39" ht="15">
      <c r="A8" s="3439"/>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8" t="s">
        <v>2780</v>
      </c>
      <c r="X8" s="3429"/>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9"/>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7" t="s">
        <v>2776</v>
      </c>
      <c r="X9" s="2885" t="s">
        <v>2777</v>
      </c>
      <c r="Y9" s="3045"/>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9"/>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9"/>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7" t="s">
        <v>2778</v>
      </c>
      <c r="X11" s="1048" t="s">
        <v>2763</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8" thickBot="1">
      <c r="A12" s="3438"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7"/>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0"/>
      <c r="B13" s="1439" t="s">
        <v>1696</v>
      </c>
      <c r="C13" s="1440" t="s">
        <v>1697</v>
      </c>
      <c r="D13" s="1085" t="s">
        <v>1698</v>
      </c>
      <c r="E13" s="1085" t="s">
        <v>1699</v>
      </c>
      <c r="F13" s="1441" t="s">
        <v>948</v>
      </c>
      <c r="G13" s="1442" t="s">
        <v>1642</v>
      </c>
      <c r="H13" s="1443" t="s">
        <v>1642</v>
      </c>
      <c r="I13" s="1444" t="s">
        <v>1642</v>
      </c>
      <c r="J13" s="1445" t="s">
        <v>1642</v>
      </c>
      <c r="K13" s="3159"/>
      <c r="L13" s="3159"/>
      <c r="M13" s="3159"/>
      <c r="N13" s="3159"/>
      <c r="O13" s="3159"/>
      <c r="P13" s="1396"/>
      <c r="Q13" s="2173"/>
      <c r="R13" s="2891">
        <v>12</v>
      </c>
      <c r="S13" s="2880"/>
      <c r="T13" s="2891" t="e">
        <f t="shared" si="0"/>
        <v>#DIV/0!</v>
      </c>
      <c r="U13" s="2880"/>
      <c r="V13" s="2891" t="e">
        <f t="shared" si="1"/>
        <v>#DIV/0!</v>
      </c>
      <c r="W13" s="3427"/>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0"/>
      <c r="B14" s="1446"/>
      <c r="C14" s="1447"/>
      <c r="D14" s="1448"/>
      <c r="E14" s="1448"/>
      <c r="F14" s="1449"/>
      <c r="G14" s="1450" t="s">
        <v>949</v>
      </c>
      <c r="H14" s="1451"/>
      <c r="I14" s="1452"/>
      <c r="J14" s="1453"/>
      <c r="K14" s="3145"/>
      <c r="L14" s="3145"/>
      <c r="M14" s="3145"/>
      <c r="N14" s="3145"/>
      <c r="O14" s="3145"/>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1"/>
      <c r="B15" s="3164" t="s">
        <v>1700</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8" t="s">
        <v>1838</v>
      </c>
      <c r="B16" s="1422" t="s">
        <v>950</v>
      </c>
      <c r="C16" s="1052" t="e">
        <f>ROUND(IF(F17="与级别开发程度一致",0,(G17-E17)/C17),0)</f>
        <v>#DIV/0!</v>
      </c>
      <c r="D16" s="3435" t="s">
        <v>954</v>
      </c>
      <c r="E16" s="3436"/>
      <c r="F16" s="3435" t="s">
        <v>951</v>
      </c>
      <c r="G16" s="3436"/>
      <c r="H16" s="1454"/>
      <c r="I16" s="1454"/>
      <c r="J16" s="1454"/>
      <c r="K16" s="1454"/>
      <c r="L16" s="1454"/>
      <c r="M16" s="1454"/>
      <c r="N16" s="1454"/>
      <c r="O16" s="3169"/>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2"/>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5" t="s">
        <v>955</v>
      </c>
      <c r="C18" s="3166">
        <f>SUMIF(修正!C18:C39,E3,修正!E18:E39)</f>
        <v>0</v>
      </c>
      <c r="D18" s="3167"/>
      <c r="E18" s="3168"/>
      <c r="F18" s="3150"/>
      <c r="G18" s="3144"/>
      <c r="H18" s="3144"/>
      <c r="I18" s="3144"/>
      <c r="J18" s="3158"/>
      <c r="K18" s="3144"/>
      <c r="L18" s="3144"/>
      <c r="M18" s="3144"/>
      <c r="N18" s="3144"/>
      <c r="O18" s="3144"/>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43969</v>
      </c>
      <c r="H19" s="1462" t="s">
        <v>2979</v>
      </c>
      <c r="I19" s="2739" t="str">
        <f>IF(H19="季度增幅（自定义）",SUMIF(N21:N24,E2,O21:O24),"")</f>
        <v/>
      </c>
      <c r="J19" s="1458"/>
      <c r="K19" s="3144"/>
      <c r="L19" s="2987" t="s">
        <v>2838</v>
      </c>
      <c r="M19" s="2988">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2">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6"/>
      <c r="L20" s="2989" t="s">
        <v>2839</v>
      </c>
      <c r="M20" s="3153">
        <f>ROUND(SUMPRODUCT((地价!A4:A29=YEAR(G19)&amp;"-"&amp;ROUNDUP(MONTH(G19)/3,0))*(地价!B2:F2=E2)*(地价!B4:F29)),0)</f>
        <v>0</v>
      </c>
      <c r="N20" s="2744" t="s">
        <v>2642</v>
      </c>
      <c r="O20" s="2742" t="s">
        <v>2641</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4">
        <f>IF(B21="容积率修正",IF(G3&lt;=10,D22,J22),C23)</f>
        <v>0</v>
      </c>
      <c r="D21" s="1468"/>
      <c r="E21" s="1468"/>
      <c r="F21" s="1468"/>
      <c r="G21" s="1468"/>
      <c r="H21" s="1468"/>
      <c r="I21" s="1468"/>
      <c r="J21" s="1469"/>
      <c r="K21" s="3144"/>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8"/>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8">
        <f>SUMIF(A44:A87,E2,B44:B87)</f>
        <v>0</v>
      </c>
      <c r="D24" s="1521"/>
      <c r="E24" s="1522"/>
      <c r="F24" s="1522"/>
      <c r="G24" s="1522"/>
      <c r="H24" s="1522"/>
      <c r="I24" s="1522"/>
      <c r="J24" s="1522"/>
      <c r="K24" s="3148"/>
      <c r="L24" s="1468"/>
      <c r="M24" s="1468"/>
      <c r="N24" s="1465" t="s">
        <v>981</v>
      </c>
      <c r="O24" s="3152"/>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4" t="s">
        <v>2645</v>
      </c>
      <c r="O25" s="3155"/>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9" t="e">
        <f>ROUND(C5*C18*C19*C20*C21*C24,0)</f>
        <v>#DIV/0!</v>
      </c>
      <c r="D29" s="1490"/>
      <c r="E29" s="1833" t="e">
        <f>ROUND(C29*D29/10000,0)</f>
        <v>#DIV/0!</v>
      </c>
      <c r="F29" s="1491" t="s">
        <v>1701</v>
      </c>
      <c r="G29" s="1492"/>
      <c r="H29" s="1492"/>
      <c r="I29" s="1492"/>
      <c r="J29" s="1493"/>
      <c r="K29" s="3149"/>
      <c r="L29" s="3149"/>
      <c r="M29" s="3149"/>
      <c r="N29" s="3149"/>
      <c r="O29" s="3149"/>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0"/>
      <c r="L32" s="3150"/>
      <c r="M32" s="3150"/>
      <c r="N32" s="3150"/>
      <c r="O32" s="3150"/>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45" t="s">
        <v>2949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1"/>
      <c r="L33" s="3151"/>
      <c r="M33" s="3151"/>
      <c r="N33" s="3151"/>
      <c r="O33" s="3151"/>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6"/>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1"/>
      <c r="L34" s="3151"/>
      <c r="M34" s="3151"/>
      <c r="N34" s="3151"/>
      <c r="O34" s="3151"/>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6"/>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1"/>
      <c r="L35" s="3151"/>
      <c r="M35" s="3151"/>
      <c r="N35" s="3151"/>
      <c r="O35" s="3151"/>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7"/>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1"/>
      <c r="L36" s="3151"/>
      <c r="M36" s="3151"/>
      <c r="N36" s="3151"/>
      <c r="O36" s="3151"/>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2" t="s">
        <v>2973</v>
      </c>
      <c r="C41" s="839" t="e">
        <f>ROUND(POWER(1+E41,H41-G41)*(POWER(1+E41,G41)-1)/(POWER(1+E41,H41)-1),4)</f>
        <v>#DIV/0!</v>
      </c>
      <c r="D41" s="378" t="s">
        <v>2971</v>
      </c>
      <c r="E41" s="3141">
        <f>G20</f>
        <v>0</v>
      </c>
      <c r="F41" s="378" t="s">
        <v>2972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1020</v>
      </c>
      <c r="B47" s="2374">
        <f>估价对象房地状况!C16</f>
        <v>0</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3" t="s">
        <v>1021</v>
      </c>
      <c r="B48" s="2371">
        <f>估价对象房地状况!C18</f>
        <v>0</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3" t="s">
        <v>1023</v>
      </c>
      <c r="B50" s="3044"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3" t="s">
        <v>1025</v>
      </c>
      <c r="B52" s="3043"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f>估价对象房地状况!C21</f>
        <v>0</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f>估价对象房地状况!C22</f>
        <v>0</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f>估价对象房地状况!C20</f>
        <v>0</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1030</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3" t="s">
        <v>1021</v>
      </c>
      <c r="B59" s="2371">
        <f>估价对象房地状况!C18</f>
        <v>0</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3" t="s">
        <v>1023</v>
      </c>
      <c r="B61" s="3044"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3" t="s">
        <v>1025</v>
      </c>
      <c r="B63" s="3043"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f>估价对象房地状况!C21</f>
        <v>0</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f>估价对象房地状况!C22</f>
        <v>0</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f>估价对象房地状况!C20</f>
        <v>0</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1032</v>
      </c>
      <c r="B69" s="2374">
        <f>估价对象房地状况!C15</f>
        <v>0</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3" t="s">
        <v>1033</v>
      </c>
      <c r="B70" s="2371">
        <f>估价对象房地状况!C18</f>
        <v>0</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f>估价对象房地状况!C21</f>
        <v>0</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f>估价对象房地状况!C22</f>
        <v>0</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3" t="s">
        <v>1025</v>
      </c>
      <c r="B75" s="3043"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3" t="s">
        <v>1028</v>
      </c>
      <c r="B76" s="2374">
        <f>估价对象房地状况!C20</f>
        <v>0</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24">
      <c r="A80" s="1063" t="s">
        <v>1037</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24">
      <c r="A81" s="1063" t="s">
        <v>1033</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3" t="s">
        <v>1025</v>
      </c>
      <c r="B86" s="3043"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4.4" thickBot="1">
      <c r="A87" s="2404" t="s">
        <v>1038</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3" t="s">
        <v>1633</v>
      </c>
      <c r="B90" s="3443"/>
      <c r="C90" s="3443"/>
      <c r="D90" s="3443"/>
      <c r="E90" s="3443"/>
      <c r="F90" s="3443"/>
      <c r="G90" s="3443"/>
      <c r="H90" s="3443"/>
      <c r="I90" s="3443"/>
      <c r="J90" s="3443"/>
      <c r="K90" s="2413"/>
      <c r="L90" s="2413"/>
      <c r="M90" s="2413"/>
      <c r="N90" s="2413"/>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1"/>
      <c r="B108" s="343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7" t="s">
        <v>1639</v>
      </c>
      <c r="B110" s="3437"/>
      <c r="C110" s="3437"/>
      <c r="D110" s="3437"/>
      <c r="E110" s="3437"/>
      <c r="F110" s="3437"/>
      <c r="G110" s="3437"/>
      <c r="H110" s="3437"/>
      <c r="I110" s="3437"/>
      <c r="J110" s="3437"/>
      <c r="K110" s="2411"/>
      <c r="L110" s="2411"/>
      <c r="M110" s="2411"/>
      <c r="N110" s="2411"/>
    </row>
    <row r="112" spans="1:14" ht="12.6" thickBot="1"/>
    <row r="113" spans="1:13" ht="25.8"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2976</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44" t="s">
        <v>1007</v>
      </c>
      <c r="B18" s="1150" t="s">
        <v>1446</v>
      </c>
      <c r="C18" s="1127" t="s">
        <v>1447</v>
      </c>
      <c r="D18" s="1128"/>
      <c r="E18" s="1150">
        <v>1</v>
      </c>
      <c r="F18" s="1129" t="s">
        <v>1448</v>
      </c>
      <c r="G18" s="1130"/>
      <c r="H18" s="1101"/>
      <c r="I18" s="1101"/>
    </row>
    <row r="19" spans="1:9" s="1583" customFormat="1" ht="19.5" customHeight="1">
      <c r="A19" s="3444"/>
      <c r="B19" s="3444" t="s">
        <v>1449</v>
      </c>
      <c r="C19" s="1127" t="s">
        <v>1450</v>
      </c>
      <c r="D19" s="1128"/>
      <c r="E19" s="1150">
        <v>0.9</v>
      </c>
      <c r="F19" s="1129" t="s">
        <v>1451</v>
      </c>
      <c r="G19" s="1130"/>
      <c r="H19" s="1101"/>
      <c r="I19" s="1101"/>
    </row>
    <row r="20" spans="1:9" s="1583" customFormat="1" ht="19.5" customHeight="1">
      <c r="A20" s="3444"/>
      <c r="B20" s="3444"/>
      <c r="C20" s="1127" t="s">
        <v>1452</v>
      </c>
      <c r="D20" s="1128"/>
      <c r="E20" s="1150">
        <v>1.1000000000000001</v>
      </c>
      <c r="F20" s="1129" t="s">
        <v>1453</v>
      </c>
      <c r="G20" s="1130"/>
      <c r="H20" s="1101"/>
      <c r="I20" s="1101"/>
    </row>
    <row r="21" spans="1:9" s="1583" customFormat="1" ht="19.5" customHeight="1">
      <c r="A21" s="3444"/>
      <c r="B21" s="3444"/>
      <c r="C21" s="1127" t="s">
        <v>1454</v>
      </c>
      <c r="D21" s="1128"/>
      <c r="E21" s="1150">
        <v>0.8</v>
      </c>
      <c r="F21" s="1129" t="s">
        <v>1455</v>
      </c>
      <c r="G21" s="1130"/>
      <c r="H21" s="1101"/>
      <c r="I21" s="1101"/>
    </row>
    <row r="22" spans="1:9" s="1583" customFormat="1" ht="19.5" customHeight="1">
      <c r="A22" s="3444"/>
      <c r="B22" s="3444"/>
      <c r="C22" s="1127" t="s">
        <v>1456</v>
      </c>
      <c r="D22" s="1128"/>
      <c r="E22" s="1150">
        <v>0.5</v>
      </c>
      <c r="F22" s="1129"/>
      <c r="G22" s="1130"/>
      <c r="H22" s="1101"/>
      <c r="I22" s="1101"/>
    </row>
    <row r="23" spans="1:9" s="1583" customFormat="1" ht="19.5" customHeight="1">
      <c r="A23" s="3444" t="s">
        <v>1029</v>
      </c>
      <c r="B23" s="1150" t="s">
        <v>1446</v>
      </c>
      <c r="C23" s="1127" t="s">
        <v>1457</v>
      </c>
      <c r="D23" s="1128"/>
      <c r="E23" s="1150">
        <v>1</v>
      </c>
      <c r="F23" s="1129" t="s">
        <v>1458</v>
      </c>
      <c r="G23" s="1130"/>
      <c r="H23" s="1101"/>
      <c r="I23" s="1101"/>
    </row>
    <row r="24" spans="1:9" s="1583" customFormat="1" ht="19.5" customHeight="1">
      <c r="A24" s="3444"/>
      <c r="B24" s="3444" t="s">
        <v>1449</v>
      </c>
      <c r="C24" s="1127" t="s">
        <v>1459</v>
      </c>
      <c r="D24" s="1128"/>
      <c r="E24" s="1150">
        <v>0.5</v>
      </c>
      <c r="F24" s="1129"/>
      <c r="G24" s="1130"/>
      <c r="H24" s="1101"/>
      <c r="I24" s="1101"/>
    </row>
    <row r="25" spans="1:9" s="1583" customFormat="1" ht="19.5" customHeight="1">
      <c r="A25" s="3444"/>
      <c r="B25" s="3444"/>
      <c r="C25" s="1127" t="s">
        <v>1460</v>
      </c>
      <c r="D25" s="1128"/>
      <c r="E25" s="1150">
        <v>1.1000000000000001</v>
      </c>
      <c r="F25" s="1129"/>
      <c r="G25" s="1130"/>
      <c r="H25" s="1101"/>
      <c r="I25" s="1101"/>
    </row>
    <row r="26" spans="1:9" s="1583" customFormat="1" ht="19.5" customHeight="1">
      <c r="A26" s="3444"/>
      <c r="B26" s="3444"/>
      <c r="C26" s="1127" t="s">
        <v>1461</v>
      </c>
      <c r="D26" s="1128"/>
      <c r="E26" s="1150">
        <v>1.1000000000000001</v>
      </c>
      <c r="F26" s="1129"/>
      <c r="G26" s="1130"/>
      <c r="H26" s="1101"/>
      <c r="I26" s="1101"/>
    </row>
    <row r="27" spans="1:9" s="1583" customFormat="1" ht="19.5" customHeight="1">
      <c r="A27" s="3444"/>
      <c r="B27" s="3444"/>
      <c r="C27" s="1127" t="s">
        <v>1462</v>
      </c>
      <c r="D27" s="1128"/>
      <c r="E27" s="1150">
        <v>0.9</v>
      </c>
      <c r="F27" s="1129" t="s">
        <v>1463</v>
      </c>
      <c r="G27" s="1130"/>
      <c r="H27" s="1101"/>
      <c r="I27" s="1101"/>
    </row>
    <row r="28" spans="1:9" s="1583" customFormat="1" ht="19.5" customHeight="1">
      <c r="A28" s="3444"/>
      <c r="B28" s="3444"/>
      <c r="C28" s="1127" t="s">
        <v>1464</v>
      </c>
      <c r="D28" s="1128"/>
      <c r="E28" s="1150">
        <v>0.9</v>
      </c>
      <c r="F28" s="1129" t="s">
        <v>1465</v>
      </c>
      <c r="G28" s="1130"/>
      <c r="H28" s="1101"/>
      <c r="I28" s="1101"/>
    </row>
    <row r="29" spans="1:9" s="1583" customFormat="1" ht="19.5" customHeight="1">
      <c r="A29" s="3444"/>
      <c r="B29" s="3444"/>
      <c r="C29" s="1127" t="s">
        <v>1466</v>
      </c>
      <c r="D29" s="1128"/>
      <c r="E29" s="1150">
        <v>0.9</v>
      </c>
      <c r="F29" s="1129" t="s">
        <v>1467</v>
      </c>
      <c r="G29" s="1130"/>
      <c r="H29" s="1101"/>
      <c r="I29" s="1101"/>
    </row>
    <row r="30" spans="1:9" s="1583" customFormat="1" ht="19.5" customHeight="1">
      <c r="A30" s="3444"/>
      <c r="B30" s="3444"/>
      <c r="C30" s="1127" t="s">
        <v>1468</v>
      </c>
      <c r="D30" s="1128"/>
      <c r="E30" s="1150">
        <v>0.9</v>
      </c>
      <c r="F30" s="1129" t="s">
        <v>1469</v>
      </c>
      <c r="G30" s="1130"/>
      <c r="H30" s="1101"/>
      <c r="I30" s="1101"/>
    </row>
    <row r="31" spans="1:9" s="1583" customFormat="1" ht="19.5" customHeight="1">
      <c r="A31" s="3444"/>
      <c r="B31" s="3444"/>
      <c r="C31" s="1127" t="s">
        <v>1470</v>
      </c>
      <c r="D31" s="1128"/>
      <c r="E31" s="1150">
        <v>0.8</v>
      </c>
      <c r="F31" s="1129" t="s">
        <v>1471</v>
      </c>
      <c r="G31" s="1130"/>
      <c r="H31" s="1101"/>
      <c r="I31" s="1101"/>
    </row>
    <row r="32" spans="1:9" s="1583" customFormat="1" ht="19.5" customHeight="1">
      <c r="A32" s="3444"/>
      <c r="B32" s="3444"/>
      <c r="C32" s="1127" t="s">
        <v>1472</v>
      </c>
      <c r="D32" s="1128"/>
      <c r="E32" s="1150">
        <v>0.8</v>
      </c>
      <c r="F32" s="1129" t="s">
        <v>1473</v>
      </c>
      <c r="G32" s="1130"/>
      <c r="H32" s="1101"/>
      <c r="I32" s="1101"/>
    </row>
    <row r="33" spans="1:9" s="1583" customFormat="1" ht="19.5" customHeight="1">
      <c r="A33" s="3444" t="s">
        <v>1474</v>
      </c>
      <c r="B33" s="1150" t="s">
        <v>1446</v>
      </c>
      <c r="C33" s="1127" t="s">
        <v>1475</v>
      </c>
      <c r="D33" s="1128"/>
      <c r="E33" s="1150">
        <v>1</v>
      </c>
      <c r="F33" s="1129" t="s">
        <v>1476</v>
      </c>
      <c r="G33" s="1130"/>
      <c r="H33" s="1101"/>
      <c r="I33" s="1101"/>
    </row>
    <row r="34" spans="1:9" s="1583" customFormat="1" ht="19.5" customHeight="1">
      <c r="A34" s="3444"/>
      <c r="B34" s="1150" t="s">
        <v>1449</v>
      </c>
      <c r="C34" s="1127" t="s">
        <v>1477</v>
      </c>
      <c r="D34" s="1128"/>
      <c r="E34" s="1150">
        <v>1.5</v>
      </c>
      <c r="F34" s="1129" t="s">
        <v>1478</v>
      </c>
      <c r="G34" s="1130"/>
      <c r="H34" s="1101"/>
      <c r="I34" s="1101"/>
    </row>
    <row r="35" spans="1:9" s="1583" customFormat="1" ht="19.5" customHeight="1">
      <c r="A35" s="3444" t="s">
        <v>1432</v>
      </c>
      <c r="B35" s="1150" t="s">
        <v>1446</v>
      </c>
      <c r="C35" s="1127" t="s">
        <v>1479</v>
      </c>
      <c r="D35" s="1128"/>
      <c r="E35" s="1150">
        <v>1</v>
      </c>
      <c r="F35" s="1129" t="s">
        <v>1480</v>
      </c>
      <c r="G35" s="1130"/>
      <c r="H35" s="1101"/>
      <c r="I35" s="1101"/>
    </row>
    <row r="36" spans="1:9" s="1583" customFormat="1" ht="19.5" customHeight="1">
      <c r="A36" s="3444"/>
      <c r="B36" s="3444" t="s">
        <v>1449</v>
      </c>
      <c r="C36" s="1127" t="s">
        <v>1481</v>
      </c>
      <c r="D36" s="1128"/>
      <c r="E36" s="1150">
        <v>1</v>
      </c>
      <c r="F36" s="1129" t="s">
        <v>1482</v>
      </c>
      <c r="G36" s="1130"/>
      <c r="H36" s="1101"/>
      <c r="I36" s="1101"/>
    </row>
    <row r="37" spans="1:9" s="1583" customFormat="1" ht="19.5" customHeight="1">
      <c r="A37" s="3444"/>
      <c r="B37" s="3444"/>
      <c r="C37" s="1127" t="s">
        <v>1483</v>
      </c>
      <c r="D37" s="1128"/>
      <c r="E37" s="1150">
        <v>1.5</v>
      </c>
      <c r="F37" s="1129" t="s">
        <v>1484</v>
      </c>
      <c r="G37" s="1130"/>
      <c r="H37" s="1101"/>
      <c r="I37" s="1101"/>
    </row>
    <row r="38" spans="1:9" s="1583" customFormat="1" ht="19.5" customHeight="1">
      <c r="A38" s="3444"/>
      <c r="B38" s="3444"/>
      <c r="C38" s="1127" t="s">
        <v>1485</v>
      </c>
      <c r="D38" s="1128"/>
      <c r="E38" s="1150">
        <v>1</v>
      </c>
      <c r="F38" s="1129" t="s">
        <v>1486</v>
      </c>
      <c r="G38" s="1130"/>
      <c r="H38" s="1101"/>
      <c r="I38" s="1101"/>
    </row>
    <row r="39" spans="1:9" s="1583" customFormat="1" ht="19.5" customHeight="1">
      <c r="A39" s="3444"/>
      <c r="B39" s="3444"/>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44" t="s">
        <v>1501</v>
      </c>
      <c r="C61" s="1064" t="s">
        <v>1502</v>
      </c>
      <c r="D61" s="1064" t="s">
        <v>1503</v>
      </c>
      <c r="E61" s="1135">
        <v>0.5</v>
      </c>
      <c r="F61" s="1150">
        <v>80</v>
      </c>
      <c r="H61" s="1101">
        <f>SUMIF(C59:C119,基准地价!C8,E59:E119)</f>
        <v>0</v>
      </c>
    </row>
    <row r="62" spans="1:8" s="1101" customFormat="1" ht="36">
      <c r="A62" s="1150">
        <v>2</v>
      </c>
      <c r="B62" s="3444"/>
      <c r="C62" s="1064" t="s">
        <v>1504</v>
      </c>
      <c r="D62" s="1064" t="s">
        <v>1505</v>
      </c>
      <c r="E62" s="1135">
        <v>0.5</v>
      </c>
      <c r="F62" s="1150">
        <v>80</v>
      </c>
    </row>
    <row r="63" spans="1:8" s="1101" customFormat="1" ht="48">
      <c r="A63" s="1150">
        <v>3</v>
      </c>
      <c r="B63" s="3444"/>
      <c r="C63" s="1064" t="s">
        <v>1506</v>
      </c>
      <c r="D63" s="1064" t="s">
        <v>1507</v>
      </c>
      <c r="E63" s="1135">
        <v>0.5</v>
      </c>
      <c r="F63" s="1150">
        <v>80</v>
      </c>
    </row>
    <row r="64" spans="1:8" s="1101" customFormat="1" ht="48">
      <c r="A64" s="1150">
        <v>4</v>
      </c>
      <c r="B64" s="3444"/>
      <c r="C64" s="1064" t="s">
        <v>1508</v>
      </c>
      <c r="D64" s="1064" t="s">
        <v>1509</v>
      </c>
      <c r="E64" s="1135">
        <v>0.4</v>
      </c>
      <c r="F64" s="1150">
        <v>60</v>
      </c>
    </row>
    <row r="65" spans="1:6" s="1101" customFormat="1" ht="48">
      <c r="A65" s="1150">
        <v>5</v>
      </c>
      <c r="B65" s="3444"/>
      <c r="C65" s="1064" t="s">
        <v>1510</v>
      </c>
      <c r="D65" s="1064" t="s">
        <v>1511</v>
      </c>
      <c r="E65" s="1135">
        <v>0.2</v>
      </c>
      <c r="F65" s="1150">
        <v>30</v>
      </c>
    </row>
    <row r="66" spans="1:6" s="1101" customFormat="1" ht="48">
      <c r="A66" s="1150">
        <v>6</v>
      </c>
      <c r="B66" s="3444"/>
      <c r="C66" s="1064" t="s">
        <v>1512</v>
      </c>
      <c r="D66" s="1064" t="s">
        <v>1513</v>
      </c>
      <c r="E66" s="1135">
        <v>0.3</v>
      </c>
      <c r="F66" s="1150">
        <v>50</v>
      </c>
    </row>
    <row r="67" spans="1:6" s="1101" customFormat="1" ht="48">
      <c r="A67" s="1150">
        <v>7</v>
      </c>
      <c r="B67" s="3444"/>
      <c r="C67" s="1064" t="s">
        <v>1514</v>
      </c>
      <c r="D67" s="1064" t="s">
        <v>1515</v>
      </c>
      <c r="E67" s="1135">
        <v>0.2</v>
      </c>
      <c r="F67" s="1150">
        <v>30</v>
      </c>
    </row>
    <row r="68" spans="1:6" s="1101" customFormat="1" ht="48">
      <c r="A68" s="1150">
        <v>8</v>
      </c>
      <c r="B68" s="3444"/>
      <c r="C68" s="1064" t="s">
        <v>1516</v>
      </c>
      <c r="D68" s="1064" t="s">
        <v>1517</v>
      </c>
      <c r="E68" s="1135">
        <v>0.2</v>
      </c>
      <c r="F68" s="1150">
        <v>30</v>
      </c>
    </row>
    <row r="69" spans="1:6" s="1101" customFormat="1" ht="48">
      <c r="A69" s="1150">
        <v>9</v>
      </c>
      <c r="B69" s="3444"/>
      <c r="C69" s="1064" t="s">
        <v>1518</v>
      </c>
      <c r="D69" s="1064" t="s">
        <v>1519</v>
      </c>
      <c r="E69" s="1135">
        <v>0.2</v>
      </c>
      <c r="F69" s="1150">
        <v>30</v>
      </c>
    </row>
    <row r="70" spans="1:6" s="1101" customFormat="1" ht="60">
      <c r="A70" s="1150">
        <v>10</v>
      </c>
      <c r="B70" s="3444"/>
      <c r="C70" s="1064" t="s">
        <v>1520</v>
      </c>
      <c r="D70" s="1064" t="s">
        <v>1521</v>
      </c>
      <c r="E70" s="1135">
        <v>0.2</v>
      </c>
      <c r="F70" s="1150">
        <v>30</v>
      </c>
    </row>
    <row r="71" spans="1:6" s="1101" customFormat="1" ht="60">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36">
      <c r="A73" s="1150">
        <v>13</v>
      </c>
      <c r="B73" s="3444"/>
      <c r="C73" s="1064" t="s">
        <v>1526</v>
      </c>
      <c r="D73" s="1064" t="s">
        <v>1527</v>
      </c>
      <c r="E73" s="1135">
        <v>0.4</v>
      </c>
      <c r="F73" s="1150">
        <v>60</v>
      </c>
    </row>
    <row r="74" spans="1:6" s="1101" customFormat="1" ht="36">
      <c r="A74" s="1150">
        <v>14</v>
      </c>
      <c r="B74" s="3444"/>
      <c r="C74" s="1064" t="s">
        <v>1528</v>
      </c>
      <c r="D74" s="1064" t="s">
        <v>1529</v>
      </c>
      <c r="E74" s="1135">
        <v>0.2</v>
      </c>
      <c r="F74" s="1150">
        <v>30</v>
      </c>
    </row>
    <row r="75" spans="1:6" s="1101" customFormat="1" ht="36">
      <c r="A75" s="1150">
        <v>15</v>
      </c>
      <c r="B75" s="3444"/>
      <c r="C75" s="1064" t="s">
        <v>1530</v>
      </c>
      <c r="D75" s="1064" t="s">
        <v>1531</v>
      </c>
      <c r="E75" s="1135">
        <v>0.2</v>
      </c>
      <c r="F75" s="1150">
        <v>30</v>
      </c>
    </row>
    <row r="76" spans="1:6" s="1101" customFormat="1" ht="36">
      <c r="A76" s="1150">
        <v>16</v>
      </c>
      <c r="B76" s="3444" t="s">
        <v>1532</v>
      </c>
      <c r="C76" s="1064" t="s">
        <v>1533</v>
      </c>
      <c r="D76" s="1064" t="s">
        <v>1534</v>
      </c>
      <c r="E76" s="1135">
        <v>0.5</v>
      </c>
      <c r="F76" s="1150">
        <v>80</v>
      </c>
    </row>
    <row r="77" spans="1:6" s="1101" customFormat="1" ht="36">
      <c r="A77" s="1150">
        <v>17</v>
      </c>
      <c r="B77" s="3444"/>
      <c r="C77" s="1064" t="s">
        <v>1535</v>
      </c>
      <c r="D77" s="1064" t="s">
        <v>1536</v>
      </c>
      <c r="E77" s="1135">
        <v>0.5</v>
      </c>
      <c r="F77" s="1150">
        <v>80</v>
      </c>
    </row>
    <row r="78" spans="1:6" s="1101" customFormat="1" ht="36">
      <c r="A78" s="1150">
        <v>18</v>
      </c>
      <c r="B78" s="3444"/>
      <c r="C78" s="1064" t="s">
        <v>1537</v>
      </c>
      <c r="D78" s="1064" t="s">
        <v>1538</v>
      </c>
      <c r="E78" s="1135">
        <v>0.2</v>
      </c>
      <c r="F78" s="1150">
        <v>30</v>
      </c>
    </row>
    <row r="79" spans="1:6" s="1101" customFormat="1" ht="36">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60">
      <c r="A82" s="1150">
        <v>22</v>
      </c>
      <c r="B82" s="3444"/>
      <c r="C82" s="1064" t="s">
        <v>1545</v>
      </c>
      <c r="D82" s="1064" t="s">
        <v>1546</v>
      </c>
      <c r="E82" s="1135">
        <v>0.2</v>
      </c>
      <c r="F82" s="1150">
        <v>30</v>
      </c>
    </row>
    <row r="83" spans="1:6" s="1101" customFormat="1" ht="60">
      <c r="A83" s="1150">
        <v>23</v>
      </c>
      <c r="B83" s="3444"/>
      <c r="C83" s="1064" t="s">
        <v>1547</v>
      </c>
      <c r="D83" s="1064" t="s">
        <v>1548</v>
      </c>
      <c r="E83" s="1135">
        <v>0.2</v>
      </c>
      <c r="F83" s="1150">
        <v>30</v>
      </c>
    </row>
    <row r="84" spans="1:6" s="1101" customFormat="1" ht="48">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36">
      <c r="A89" s="1150">
        <v>29</v>
      </c>
      <c r="B89" s="3444"/>
      <c r="C89" s="1064" t="s">
        <v>1559</v>
      </c>
      <c r="D89" s="1064" t="s">
        <v>1560</v>
      </c>
      <c r="E89" s="1135">
        <v>0.2</v>
      </c>
      <c r="F89" s="1150">
        <v>30</v>
      </c>
    </row>
    <row r="90" spans="1:6" s="1101" customFormat="1" ht="36">
      <c r="A90" s="1150">
        <v>30</v>
      </c>
      <c r="B90" s="3444"/>
      <c r="C90" s="1064" t="s">
        <v>1561</v>
      </c>
      <c r="D90" s="1064" t="s">
        <v>1562</v>
      </c>
      <c r="E90" s="1135">
        <v>0.2</v>
      </c>
      <c r="F90" s="1150">
        <v>30</v>
      </c>
    </row>
    <row r="91" spans="1:6" s="1101" customFormat="1" ht="48">
      <c r="A91" s="1150">
        <v>31</v>
      </c>
      <c r="B91" s="3444"/>
      <c r="C91" s="1064" t="s">
        <v>1563</v>
      </c>
      <c r="D91" s="1064" t="s">
        <v>1564</v>
      </c>
      <c r="E91" s="1135">
        <v>0.2</v>
      </c>
      <c r="F91" s="1150">
        <v>30</v>
      </c>
    </row>
    <row r="92" spans="1:6" s="1101" customFormat="1" ht="36">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60">
      <c r="A94" s="1150">
        <v>34</v>
      </c>
      <c r="B94" s="3444"/>
      <c r="C94" s="1150" t="s">
        <v>1570</v>
      </c>
      <c r="D94" s="1064" t="s">
        <v>1571</v>
      </c>
      <c r="E94" s="1135">
        <v>0.2</v>
      </c>
      <c r="F94" s="1150">
        <v>30</v>
      </c>
    </row>
    <row r="95" spans="1:6" s="1101" customFormat="1" ht="48">
      <c r="A95" s="1150">
        <v>35</v>
      </c>
      <c r="B95" s="3444"/>
      <c r="C95" s="1150" t="s">
        <v>1572</v>
      </c>
      <c r="D95" s="1064" t="s">
        <v>1573</v>
      </c>
      <c r="E95" s="1135">
        <v>0.2</v>
      </c>
      <c r="F95" s="1150">
        <v>30</v>
      </c>
    </row>
    <row r="96" spans="1:6" s="1101" customFormat="1" ht="72">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36">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44" t="s">
        <v>1595</v>
      </c>
      <c r="C105" s="1150" t="s">
        <v>1596</v>
      </c>
      <c r="D105" s="1064" t="s">
        <v>1597</v>
      </c>
      <c r="E105" s="1135">
        <v>0.2</v>
      </c>
      <c r="F105" s="1150">
        <v>30</v>
      </c>
    </row>
    <row r="106" spans="1:6" s="1101" customFormat="1" ht="48">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48">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44" t="s">
        <v>1611</v>
      </c>
      <c r="C111" s="1150" t="s">
        <v>1612</v>
      </c>
      <c r="D111" s="1064" t="s">
        <v>1613</v>
      </c>
      <c r="E111" s="1135">
        <v>0.2</v>
      </c>
      <c r="F111" s="1150">
        <v>30</v>
      </c>
    </row>
    <row r="112" spans="1:6" s="1101" customFormat="1" ht="36">
      <c r="A112" s="1150">
        <v>52</v>
      </c>
      <c r="B112" s="3444"/>
      <c r="C112" s="1150" t="s">
        <v>1614</v>
      </c>
      <c r="D112" s="1064" t="s">
        <v>1615</v>
      </c>
      <c r="E112" s="1135">
        <v>0.2</v>
      </c>
      <c r="F112" s="1150">
        <v>30</v>
      </c>
    </row>
    <row r="113" spans="1:14" s="1101" customFormat="1" ht="36">
      <c r="A113" s="1150">
        <v>53</v>
      </c>
      <c r="B113" s="3444"/>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8" t="s">
        <v>1039</v>
      </c>
      <c r="B1" s="3448"/>
      <c r="C1" s="3448"/>
      <c r="D1" s="3448"/>
      <c r="E1" s="3448"/>
      <c r="F1" s="344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9" t="s">
        <v>1052</v>
      </c>
      <c r="B2" s="3449"/>
      <c r="C2" s="3449"/>
      <c r="D2" s="3449"/>
      <c r="E2" s="3449"/>
      <c r="F2" s="344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2" t="s">
        <v>2077</v>
      </c>
      <c r="B1" s="3452"/>
    </row>
    <row r="2" spans="1:6" ht="15" thickBot="1">
      <c r="A2" s="1835"/>
      <c r="B2" s="1835"/>
    </row>
    <row r="3" spans="1:6" ht="15" thickBot="1">
      <c r="A3" s="1835"/>
      <c r="B3" s="1835"/>
      <c r="C3" s="1836" t="s">
        <v>2078</v>
      </c>
      <c r="D3" s="1836" t="s">
        <v>2079</v>
      </c>
      <c r="E3" s="1836" t="s">
        <v>2080</v>
      </c>
      <c r="F3" s="1836" t="s">
        <v>2081</v>
      </c>
    </row>
    <row r="4" spans="1:6" ht="15" thickBot="1">
      <c r="A4" s="1837" t="s">
        <v>2082</v>
      </c>
      <c r="B4" s="1838" t="s">
        <v>2083</v>
      </c>
      <c r="C4" s="1836"/>
      <c r="D4" s="1836"/>
      <c r="E4" s="1836"/>
      <c r="F4" s="1836"/>
    </row>
    <row r="5" spans="1:6" ht="15" thickBot="1">
      <c r="A5" s="1839" t="s">
        <v>2084</v>
      </c>
      <c r="B5" s="1840" t="s">
        <v>2085</v>
      </c>
      <c r="C5" s="1841">
        <v>8.8999999999999996E-2</v>
      </c>
      <c r="D5" s="1841">
        <v>7.3999999999999996E-2</v>
      </c>
      <c r="E5" s="1841">
        <v>7.4999999999999997E-2</v>
      </c>
      <c r="F5" s="1842">
        <v>0.1</v>
      </c>
    </row>
    <row r="6" spans="1:6" ht="15" thickBot="1">
      <c r="A6" s="1839" t="s">
        <v>1096</v>
      </c>
      <c r="B6" s="1843" t="s">
        <v>2086</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2087</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2088</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2089</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2090</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2091</v>
      </c>
      <c r="C72" s="1853"/>
      <c r="D72" s="1853"/>
      <c r="E72" s="1853"/>
      <c r="F72" s="1845">
        <v>0.05</v>
      </c>
    </row>
    <row r="73" spans="1:6" ht="24.6" thickBot="1">
      <c r="A73" s="1839" t="s">
        <v>925</v>
      </c>
      <c r="B73" s="1843" t="s">
        <v>2092</v>
      </c>
      <c r="C73" s="1853"/>
      <c r="D73" s="1853"/>
      <c r="E73" s="1853"/>
      <c r="F73" s="1845">
        <v>0.05</v>
      </c>
    </row>
    <row r="74" spans="1:6" ht="24.6" thickBot="1">
      <c r="A74" s="1839" t="s">
        <v>925</v>
      </c>
      <c r="B74" s="1843" t="s">
        <v>2093</v>
      </c>
      <c r="C74" s="1853"/>
      <c r="D74" s="1853"/>
      <c r="E74" s="1853"/>
      <c r="F74" s="1845">
        <v>0.05</v>
      </c>
    </row>
    <row r="75" spans="1:6" ht="24.6" thickBot="1">
      <c r="A75" s="1847" t="s">
        <v>925</v>
      </c>
      <c r="B75" s="1854" t="s">
        <v>2094</v>
      </c>
      <c r="C75" s="1850"/>
      <c r="D75" s="1850"/>
      <c r="E75" s="1850"/>
      <c r="F75" s="1855">
        <v>0.05</v>
      </c>
    </row>
    <row r="76" spans="1:6" ht="15" thickBot="1">
      <c r="A76" s="1839" t="s">
        <v>1407</v>
      </c>
      <c r="B76" s="1840" t="s">
        <v>2095</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2096</v>
      </c>
      <c r="C102" s="1853"/>
      <c r="D102" s="1853"/>
      <c r="E102" s="1853"/>
      <c r="F102" s="1845">
        <v>0.05</v>
      </c>
    </row>
    <row r="103" spans="1:6" ht="24.6" thickBot="1">
      <c r="A103" s="1839" t="s">
        <v>1407</v>
      </c>
      <c r="B103" s="1843" t="s">
        <v>2097</v>
      </c>
      <c r="C103" s="1853"/>
      <c r="D103" s="1853"/>
      <c r="E103" s="1853"/>
      <c r="F103" s="1845">
        <v>0.05</v>
      </c>
    </row>
    <row r="104" spans="1:6" ht="15" thickBot="1">
      <c r="A104" s="1839" t="s">
        <v>1407</v>
      </c>
      <c r="B104" s="1843" t="s">
        <v>2098</v>
      </c>
      <c r="C104" s="1853"/>
      <c r="D104" s="1853"/>
      <c r="E104" s="1853"/>
      <c r="F104" s="1845">
        <v>0.05</v>
      </c>
    </row>
    <row r="105" spans="1:6" ht="24.6" thickBot="1">
      <c r="A105" s="1839" t="s">
        <v>1407</v>
      </c>
      <c r="B105" s="1843" t="s">
        <v>2099</v>
      </c>
      <c r="C105" s="1853"/>
      <c r="D105" s="1853"/>
      <c r="E105" s="1853"/>
      <c r="F105" s="1845">
        <v>0.05</v>
      </c>
    </row>
    <row r="106" spans="1:6" ht="24.6" thickBot="1">
      <c r="A106" s="1839" t="s">
        <v>1407</v>
      </c>
      <c r="B106" s="1843" t="s">
        <v>2100</v>
      </c>
      <c r="C106" s="1853"/>
      <c r="D106" s="1853"/>
      <c r="E106" s="1853"/>
      <c r="F106" s="1845">
        <v>0.05</v>
      </c>
    </row>
    <row r="107" spans="1:6" ht="24.6" thickBot="1">
      <c r="A107" s="1839" t="s">
        <v>1407</v>
      </c>
      <c r="B107" s="1843" t="s">
        <v>2101</v>
      </c>
      <c r="C107" s="1853"/>
      <c r="D107" s="1853"/>
      <c r="E107" s="1853"/>
      <c r="F107" s="1845">
        <v>0.05</v>
      </c>
    </row>
    <row r="108" spans="1:6" ht="24.6" thickBot="1">
      <c r="A108" s="1839" t="s">
        <v>1407</v>
      </c>
      <c r="B108" s="1843" t="s">
        <v>2102</v>
      </c>
      <c r="C108" s="1853"/>
      <c r="D108" s="1853"/>
      <c r="E108" s="1853"/>
      <c r="F108" s="1845">
        <v>0.05</v>
      </c>
    </row>
    <row r="109" spans="1:6" ht="24.6" thickBot="1">
      <c r="A109" s="1847" t="s">
        <v>1407</v>
      </c>
      <c r="B109" s="1854" t="s">
        <v>2103</v>
      </c>
      <c r="C109" s="1850"/>
      <c r="D109" s="1850"/>
      <c r="E109" s="1850"/>
      <c r="F109" s="1855">
        <v>0.05</v>
      </c>
    </row>
    <row r="110" spans="1:6" ht="15" thickBot="1">
      <c r="A110" s="1839" t="s">
        <v>1409</v>
      </c>
      <c r="B110" s="1840" t="s">
        <v>2104</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2105</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2106</v>
      </c>
      <c r="C138" s="1844">
        <v>0.105</v>
      </c>
      <c r="D138" s="1844">
        <v>0.125</v>
      </c>
      <c r="E138" s="1844">
        <v>0.112</v>
      </c>
      <c r="F138" s="1852"/>
    </row>
    <row r="139" spans="1:6" ht="15" thickBot="1">
      <c r="A139" s="1839" t="s">
        <v>1409</v>
      </c>
      <c r="B139" s="1843" t="s">
        <v>2107</v>
      </c>
      <c r="C139" s="1844">
        <v>0.127</v>
      </c>
      <c r="D139" s="1844">
        <v>0.127</v>
      </c>
      <c r="E139" s="1844">
        <v>0.122</v>
      </c>
      <c r="F139" s="1845">
        <v>0.13</v>
      </c>
    </row>
    <row r="140" spans="1:6" ht="15" thickBot="1">
      <c r="A140" s="1839" t="s">
        <v>1409</v>
      </c>
      <c r="B140" s="1843" t="s">
        <v>2108</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2109</v>
      </c>
      <c r="C144" s="1857">
        <v>0.126</v>
      </c>
      <c r="D144" s="1857">
        <v>0.126</v>
      </c>
      <c r="E144" s="1857">
        <v>0.121</v>
      </c>
      <c r="F144" s="1852"/>
    </row>
    <row r="145" spans="1:6" ht="15" thickBot="1">
      <c r="A145" s="1847" t="s">
        <v>1409</v>
      </c>
      <c r="B145" s="1858" t="s">
        <v>2110</v>
      </c>
      <c r="C145" s="1859"/>
      <c r="D145" s="1859"/>
      <c r="E145" s="1859"/>
      <c r="F145" s="1860">
        <v>0.05</v>
      </c>
    </row>
    <row r="146" spans="1:6" ht="24.6" thickBot="1">
      <c r="A146" s="1861" t="s">
        <v>1409</v>
      </c>
      <c r="B146" s="1846" t="s">
        <v>2111</v>
      </c>
      <c r="C146" s="1853"/>
      <c r="D146" s="1853"/>
      <c r="E146" s="1853"/>
      <c r="F146" s="1862">
        <v>0.05</v>
      </c>
    </row>
    <row r="147" spans="1:6" ht="24.6" thickBot="1">
      <c r="A147" s="1839" t="s">
        <v>1409</v>
      </c>
      <c r="B147" s="1843" t="s">
        <v>2112</v>
      </c>
      <c r="C147" s="1853"/>
      <c r="D147" s="1853"/>
      <c r="E147" s="1853"/>
      <c r="F147" s="1845">
        <v>0.05</v>
      </c>
    </row>
    <row r="148" spans="1:6" ht="24.6" thickBot="1">
      <c r="A148" s="1839" t="s">
        <v>1409</v>
      </c>
      <c r="B148" s="1843" t="s">
        <v>2113</v>
      </c>
      <c r="C148" s="1853"/>
      <c r="D148" s="1853"/>
      <c r="E148" s="1853"/>
      <c r="F148" s="1845">
        <v>0.05</v>
      </c>
    </row>
    <row r="149" spans="1:6" ht="24.6" thickBot="1">
      <c r="A149" s="1839" t="s">
        <v>1409</v>
      </c>
      <c r="B149" s="1843" t="s">
        <v>2114</v>
      </c>
      <c r="C149" s="1853"/>
      <c r="D149" s="1853"/>
      <c r="E149" s="1853"/>
      <c r="F149" s="1845">
        <v>0.05</v>
      </c>
    </row>
    <row r="150" spans="1:6" ht="24.6" thickBot="1">
      <c r="A150" s="1839" t="s">
        <v>1409</v>
      </c>
      <c r="B150" s="1843" t="s">
        <v>2115</v>
      </c>
      <c r="C150" s="1853"/>
      <c r="D150" s="1853"/>
      <c r="E150" s="1853"/>
      <c r="F150" s="1845">
        <v>0.05</v>
      </c>
    </row>
    <row r="151" spans="1:6" ht="24.6" thickBot="1">
      <c r="A151" s="1839" t="s">
        <v>1409</v>
      </c>
      <c r="B151" s="1843" t="s">
        <v>2116</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2117</v>
      </c>
      <c r="C153" s="1853"/>
      <c r="D153" s="1853"/>
      <c r="E153" s="1853"/>
      <c r="F153" s="1845">
        <v>0.05</v>
      </c>
    </row>
    <row r="154" spans="1:6" ht="15" thickBot="1">
      <c r="A154" s="1839" t="s">
        <v>1409</v>
      </c>
      <c r="B154" s="1843" t="s">
        <v>2118</v>
      </c>
      <c r="C154" s="1853"/>
      <c r="D154" s="1853"/>
      <c r="E154" s="1853"/>
      <c r="F154" s="1845">
        <v>0.05</v>
      </c>
    </row>
    <row r="155" spans="1:6" ht="24.6" thickBot="1">
      <c r="A155" s="1839" t="s">
        <v>1409</v>
      </c>
      <c r="B155" s="1843" t="s">
        <v>2119</v>
      </c>
      <c r="C155" s="1853"/>
      <c r="D155" s="1853"/>
      <c r="E155" s="1853"/>
      <c r="F155" s="1845">
        <v>0.05</v>
      </c>
    </row>
    <row r="156" spans="1:6" ht="24.6" thickBot="1">
      <c r="A156" s="1839" t="s">
        <v>1409</v>
      </c>
      <c r="B156" s="1843" t="s">
        <v>2120</v>
      </c>
      <c r="C156" s="1853"/>
      <c r="D156" s="1853"/>
      <c r="E156" s="1853"/>
      <c r="F156" s="1845">
        <v>0.05</v>
      </c>
    </row>
    <row r="157" spans="1:6" ht="24.6" thickBot="1">
      <c r="A157" s="1847" t="s">
        <v>1409</v>
      </c>
      <c r="B157" s="1854" t="s">
        <v>2121</v>
      </c>
      <c r="C157" s="1850"/>
      <c r="D157" s="1850"/>
      <c r="E157" s="1850"/>
      <c r="F157" s="1855">
        <v>0.05</v>
      </c>
    </row>
    <row r="158" spans="1:6" ht="15" thickBot="1">
      <c r="A158" s="1839" t="s">
        <v>1411</v>
      </c>
      <c r="B158" s="1840" t="s">
        <v>2122</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2123</v>
      </c>
      <c r="C171" s="1844">
        <v>0.127</v>
      </c>
      <c r="D171" s="1844">
        <v>0.126</v>
      </c>
      <c r="E171" s="1844">
        <v>0.126</v>
      </c>
      <c r="F171" s="1845">
        <v>0.11799999999999999</v>
      </c>
    </row>
    <row r="172" spans="1:6" ht="15" thickBot="1">
      <c r="A172" s="1839" t="s">
        <v>1411</v>
      </c>
      <c r="B172" s="1843" t="s">
        <v>2124</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2125</v>
      </c>
      <c r="C174" s="1844">
        <v>0.13</v>
      </c>
      <c r="D174" s="1844">
        <v>0.13</v>
      </c>
      <c r="E174" s="1844">
        <v>0.13</v>
      </c>
      <c r="F174" s="1845">
        <v>0.13</v>
      </c>
    </row>
    <row r="175" spans="1:6" ht="15" thickBot="1">
      <c r="A175" s="1839" t="s">
        <v>1411</v>
      </c>
      <c r="B175" s="1843" t="s">
        <v>2126</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2127</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2128</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2129</v>
      </c>
      <c r="C185" s="1844">
        <v>0.127</v>
      </c>
      <c r="D185" s="1844">
        <v>0.127</v>
      </c>
      <c r="E185" s="1844">
        <v>0.128</v>
      </c>
      <c r="F185" s="1845">
        <v>0.13</v>
      </c>
    </row>
    <row r="186" spans="1:6" ht="24.6" thickBot="1">
      <c r="A186" s="1839" t="s">
        <v>1411</v>
      </c>
      <c r="B186" s="1843" t="s">
        <v>2130</v>
      </c>
      <c r="C186" s="1853"/>
      <c r="D186" s="1853"/>
      <c r="E186" s="1853"/>
      <c r="F186" s="1845">
        <v>0.05</v>
      </c>
    </row>
    <row r="187" spans="1:6" ht="15" thickBot="1">
      <c r="A187" s="1839" t="s">
        <v>1411</v>
      </c>
      <c r="B187" s="1843" t="s">
        <v>2131</v>
      </c>
      <c r="C187" s="1853"/>
      <c r="D187" s="1853"/>
      <c r="E187" s="1853"/>
      <c r="F187" s="1845">
        <v>0.05</v>
      </c>
    </row>
    <row r="188" spans="1:6" ht="24.6" thickBot="1">
      <c r="A188" s="1839" t="s">
        <v>1411</v>
      </c>
      <c r="B188" s="1843" t="s">
        <v>2132</v>
      </c>
      <c r="C188" s="1853"/>
      <c r="D188" s="1853"/>
      <c r="E188" s="1853"/>
      <c r="F188" s="1845">
        <v>0.05</v>
      </c>
    </row>
    <row r="189" spans="1:6" ht="24.6" thickBot="1">
      <c r="A189" s="1839" t="s">
        <v>1411</v>
      </c>
      <c r="B189" s="1843" t="s">
        <v>2133</v>
      </c>
      <c r="C189" s="1853"/>
      <c r="D189" s="1853"/>
      <c r="E189" s="1853"/>
      <c r="F189" s="1845">
        <v>0.05</v>
      </c>
    </row>
    <row r="190" spans="1:6" ht="24.6" thickBot="1">
      <c r="A190" s="1839" t="s">
        <v>1411</v>
      </c>
      <c r="B190" s="1843" t="s">
        <v>2134</v>
      </c>
      <c r="C190" s="1853"/>
      <c r="D190" s="1853"/>
      <c r="E190" s="1853"/>
      <c r="F190" s="1845">
        <v>0.05</v>
      </c>
    </row>
    <row r="191" spans="1:6" ht="24.6" thickBot="1">
      <c r="A191" s="1839" t="s">
        <v>1411</v>
      </c>
      <c r="B191" s="1843" t="s">
        <v>2135</v>
      </c>
      <c r="C191" s="1853"/>
      <c r="D191" s="1853"/>
      <c r="E191" s="1853"/>
      <c r="F191" s="1845">
        <v>0.05</v>
      </c>
    </row>
    <row r="192" spans="1:6" ht="24.6" thickBot="1">
      <c r="A192" s="1839" t="s">
        <v>1411</v>
      </c>
      <c r="B192" s="1843" t="s">
        <v>2136</v>
      </c>
      <c r="C192" s="1853"/>
      <c r="D192" s="1853"/>
      <c r="E192" s="1853"/>
      <c r="F192" s="1845">
        <v>0.05</v>
      </c>
    </row>
    <row r="193" spans="1:6" ht="24.6" thickBot="1">
      <c r="A193" s="1839" t="s">
        <v>1411</v>
      </c>
      <c r="B193" s="1843" t="s">
        <v>2137</v>
      </c>
      <c r="C193" s="1853"/>
      <c r="D193" s="1853"/>
      <c r="E193" s="1853"/>
      <c r="F193" s="1845">
        <v>0.05</v>
      </c>
    </row>
    <row r="194" spans="1:6" ht="24.6" thickBot="1">
      <c r="A194" s="1839" t="s">
        <v>1411</v>
      </c>
      <c r="B194" s="1843" t="s">
        <v>2138</v>
      </c>
      <c r="C194" s="1853"/>
      <c r="D194" s="1853"/>
      <c r="E194" s="1853"/>
      <c r="F194" s="1845">
        <v>0.05</v>
      </c>
    </row>
    <row r="195" spans="1:6" ht="15" thickBot="1">
      <c r="A195" s="1839" t="s">
        <v>1411</v>
      </c>
      <c r="B195" s="1843" t="s">
        <v>2139</v>
      </c>
      <c r="C195" s="1853"/>
      <c r="D195" s="1853"/>
      <c r="E195" s="1853"/>
      <c r="F195" s="1845">
        <v>0.05</v>
      </c>
    </row>
    <row r="196" spans="1:6" ht="24.6" thickBot="1">
      <c r="A196" s="1839" t="s">
        <v>1411</v>
      </c>
      <c r="B196" s="1843" t="s">
        <v>2140</v>
      </c>
      <c r="C196" s="1853"/>
      <c r="D196" s="1853"/>
      <c r="E196" s="1853"/>
      <c r="F196" s="1845">
        <v>0.05</v>
      </c>
    </row>
    <row r="197" spans="1:6" ht="24.6" thickBot="1">
      <c r="A197" s="1839" t="s">
        <v>1411</v>
      </c>
      <c r="B197" s="1843" t="s">
        <v>2141</v>
      </c>
      <c r="C197" s="1853"/>
      <c r="D197" s="1853"/>
      <c r="E197" s="1853"/>
      <c r="F197" s="1845">
        <v>0.05</v>
      </c>
    </row>
    <row r="198" spans="1:6" ht="24.6" thickBot="1">
      <c r="A198" s="1839" t="s">
        <v>1411</v>
      </c>
      <c r="B198" s="1843" t="s">
        <v>2142</v>
      </c>
      <c r="C198" s="1853"/>
      <c r="D198" s="1853"/>
      <c r="E198" s="1853"/>
      <c r="F198" s="1845">
        <v>0.05</v>
      </c>
    </row>
    <row r="199" spans="1:6" ht="24.6" thickBot="1">
      <c r="A199" s="1839" t="s">
        <v>1411</v>
      </c>
      <c r="B199" s="1843" t="s">
        <v>2143</v>
      </c>
      <c r="C199" s="1853"/>
      <c r="D199" s="1853"/>
      <c r="E199" s="1853"/>
      <c r="F199" s="1845">
        <v>0.05</v>
      </c>
    </row>
    <row r="200" spans="1:6" ht="24.6" thickBot="1">
      <c r="A200" s="1839" t="s">
        <v>1411</v>
      </c>
      <c r="B200" s="1843" t="s">
        <v>2144</v>
      </c>
      <c r="C200" s="1853"/>
      <c r="D200" s="1853"/>
      <c r="E200" s="1853"/>
      <c r="F200" s="1845">
        <v>0.05</v>
      </c>
    </row>
    <row r="201" spans="1:6" ht="24.6" thickBot="1">
      <c r="A201" s="1839" t="s">
        <v>1411</v>
      </c>
      <c r="B201" s="1843" t="s">
        <v>2145</v>
      </c>
      <c r="C201" s="1853"/>
      <c r="D201" s="1853"/>
      <c r="E201" s="1853"/>
      <c r="F201" s="1845">
        <v>0.05</v>
      </c>
    </row>
    <row r="202" spans="1:6" ht="24.6" thickBot="1">
      <c r="A202" s="1839" t="s">
        <v>1411</v>
      </c>
      <c r="B202" s="1843" t="s">
        <v>2146</v>
      </c>
      <c r="C202" s="1853"/>
      <c r="D202" s="1853"/>
      <c r="E202" s="1853"/>
      <c r="F202" s="1845">
        <v>0.05</v>
      </c>
    </row>
    <row r="203" spans="1:6" ht="24.6" thickBot="1">
      <c r="A203" s="1839" t="s">
        <v>1411</v>
      </c>
      <c r="B203" s="1843" t="s">
        <v>2147</v>
      </c>
      <c r="C203" s="1853"/>
      <c r="D203" s="1853"/>
      <c r="E203" s="1853"/>
      <c r="F203" s="1845">
        <v>0.05</v>
      </c>
    </row>
    <row r="204" spans="1:6" ht="15" thickBot="1">
      <c r="A204" s="1839" t="s">
        <v>1411</v>
      </c>
      <c r="B204" s="1843" t="s">
        <v>2148</v>
      </c>
      <c r="C204" s="1853"/>
      <c r="D204" s="1853"/>
      <c r="E204" s="1853"/>
      <c r="F204" s="1845">
        <v>0.05</v>
      </c>
    </row>
    <row r="205" spans="1:6" ht="15" thickBot="1">
      <c r="A205" s="1847" t="s">
        <v>1411</v>
      </c>
      <c r="B205" s="1854" t="s">
        <v>2149</v>
      </c>
      <c r="C205" s="1850"/>
      <c r="D205" s="1850"/>
      <c r="E205" s="1850"/>
      <c r="F205" s="1855">
        <v>0.05</v>
      </c>
    </row>
    <row r="206" spans="1:6" ht="15" thickBot="1">
      <c r="A206" s="1839" t="s">
        <v>1413</v>
      </c>
      <c r="B206" s="1840" t="s">
        <v>2150</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2151</v>
      </c>
      <c r="C210" s="1844">
        <v>0.15</v>
      </c>
      <c r="D210" s="1844">
        <v>0.15</v>
      </c>
      <c r="E210" s="1844">
        <v>0.15</v>
      </c>
      <c r="F210" s="1845">
        <v>0.13800000000000001</v>
      </c>
    </row>
    <row r="211" spans="1:6" ht="15" thickBot="1">
      <c r="A211" s="1839" t="s">
        <v>1413</v>
      </c>
      <c r="B211" s="1843" t="s">
        <v>2152</v>
      </c>
      <c r="C211" s="1844">
        <v>0.13700000000000001</v>
      </c>
      <c r="D211" s="1844">
        <v>0.13500000000000001</v>
      </c>
      <c r="E211" s="1844">
        <v>0.13600000000000001</v>
      </c>
      <c r="F211" s="1845">
        <v>0.1</v>
      </c>
    </row>
    <row r="212" spans="1:6" ht="15" thickBot="1">
      <c r="A212" s="1839" t="s">
        <v>1413</v>
      </c>
      <c r="B212" s="1843" t="s">
        <v>2153</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2154</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2155</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2156</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2157</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2158</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2159</v>
      </c>
      <c r="C231" s="1844">
        <v>0.128</v>
      </c>
      <c r="D231" s="1844">
        <v>0.125</v>
      </c>
      <c r="E231" s="1844">
        <v>0.13200000000000001</v>
      </c>
      <c r="F231" s="1852"/>
    </row>
    <row r="232" spans="1:6" ht="15" thickBot="1">
      <c r="A232" s="1839" t="s">
        <v>1413</v>
      </c>
      <c r="B232" s="1843" t="s">
        <v>2160</v>
      </c>
      <c r="C232" s="1844">
        <v>0.14499999999999999</v>
      </c>
      <c r="D232" s="1844">
        <v>0.14399999999999999</v>
      </c>
      <c r="E232" s="1844">
        <v>0.14599999999999999</v>
      </c>
      <c r="F232" s="1845">
        <v>0.13800000000000001</v>
      </c>
    </row>
    <row r="233" spans="1:6" ht="15" thickBot="1">
      <c r="A233" s="1839" t="s">
        <v>1413</v>
      </c>
      <c r="B233" s="1843" t="s">
        <v>2161</v>
      </c>
      <c r="C233" s="1844">
        <v>0.14499999999999999</v>
      </c>
      <c r="D233" s="1844">
        <v>0.14299999999999999</v>
      </c>
      <c r="E233" s="1844">
        <v>0.14199999999999999</v>
      </c>
      <c r="F233" s="1852"/>
    </row>
    <row r="234" spans="1:6" ht="15" thickBot="1">
      <c r="A234" s="1839" t="s">
        <v>1413</v>
      </c>
      <c r="B234" s="1843" t="s">
        <v>2162</v>
      </c>
      <c r="C234" s="1844">
        <v>0.14000000000000001</v>
      </c>
      <c r="D234" s="1844">
        <v>0.14000000000000001</v>
      </c>
      <c r="E234" s="1844">
        <v>0.14399999999999999</v>
      </c>
      <c r="F234" s="1852"/>
    </row>
    <row r="235" spans="1:6" ht="15" thickBot="1">
      <c r="A235" s="1839" t="s">
        <v>1413</v>
      </c>
      <c r="B235" s="1843" t="s">
        <v>2163</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2164</v>
      </c>
      <c r="C237" s="1853"/>
      <c r="D237" s="1853"/>
      <c r="E237" s="1853"/>
      <c r="F237" s="1845">
        <v>0.05</v>
      </c>
    </row>
    <row r="238" spans="1:6" ht="24.6" thickBot="1">
      <c r="A238" s="1839" t="s">
        <v>1413</v>
      </c>
      <c r="B238" s="1843" t="s">
        <v>2165</v>
      </c>
      <c r="C238" s="1853"/>
      <c r="D238" s="1853"/>
      <c r="E238" s="1853"/>
      <c r="F238" s="1845">
        <v>0.05</v>
      </c>
    </row>
    <row r="239" spans="1:6" ht="24.6" thickBot="1">
      <c r="A239" s="1839" t="s">
        <v>1413</v>
      </c>
      <c r="B239" s="1843" t="s">
        <v>2166</v>
      </c>
      <c r="C239" s="1853"/>
      <c r="D239" s="1853"/>
      <c r="E239" s="1853"/>
      <c r="F239" s="1845">
        <v>0.05</v>
      </c>
    </row>
    <row r="240" spans="1:6" ht="24.6" thickBot="1">
      <c r="A240" s="1839" t="s">
        <v>1413</v>
      </c>
      <c r="B240" s="1843" t="s">
        <v>2167</v>
      </c>
      <c r="C240" s="1853"/>
      <c r="D240" s="1853"/>
      <c r="E240" s="1853"/>
      <c r="F240" s="1845">
        <v>0.05</v>
      </c>
    </row>
    <row r="241" spans="1:6" ht="24.6" thickBot="1">
      <c r="A241" s="1839" t="s">
        <v>1413</v>
      </c>
      <c r="B241" s="1843" t="s">
        <v>2168</v>
      </c>
      <c r="C241" s="1853"/>
      <c r="D241" s="1853"/>
      <c r="E241" s="1853"/>
      <c r="F241" s="1845">
        <v>0.05</v>
      </c>
    </row>
    <row r="242" spans="1:6" ht="24.6" thickBot="1">
      <c r="A242" s="1839" t="s">
        <v>1413</v>
      </c>
      <c r="B242" s="1843" t="s">
        <v>2169</v>
      </c>
      <c r="C242" s="1853"/>
      <c r="D242" s="1853"/>
      <c r="E242" s="1853"/>
      <c r="F242" s="1845">
        <v>0.05</v>
      </c>
    </row>
    <row r="243" spans="1:6" ht="24.6" thickBot="1">
      <c r="A243" s="1839" t="s">
        <v>1413</v>
      </c>
      <c r="B243" s="1843" t="s">
        <v>2170</v>
      </c>
      <c r="C243" s="1853"/>
      <c r="D243" s="1853"/>
      <c r="E243" s="1853"/>
      <c r="F243" s="1845">
        <v>0.05</v>
      </c>
    </row>
    <row r="244" spans="1:6" ht="24.6" thickBot="1">
      <c r="A244" s="1847" t="s">
        <v>1413</v>
      </c>
      <c r="B244" s="1854" t="s">
        <v>2171</v>
      </c>
      <c r="C244" s="1850"/>
      <c r="D244" s="1850"/>
      <c r="E244" s="1850"/>
      <c r="F244" s="1855">
        <v>0.05</v>
      </c>
    </row>
    <row r="245" spans="1:6" ht="15" thickBot="1">
      <c r="A245" s="1839" t="s">
        <v>1415</v>
      </c>
      <c r="B245" s="1840" t="s">
        <v>2172</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2173</v>
      </c>
      <c r="C247" s="1844">
        <v>0.15</v>
      </c>
      <c r="D247" s="1844">
        <v>0.15</v>
      </c>
      <c r="E247" s="1844">
        <v>0.15</v>
      </c>
      <c r="F247" s="1845">
        <v>0.15</v>
      </c>
    </row>
    <row r="248" spans="1:6" ht="15" thickBot="1">
      <c r="A248" s="1839" t="s">
        <v>1415</v>
      </c>
      <c r="B248" s="1843" t="s">
        <v>2174</v>
      </c>
      <c r="C248" s="1844">
        <v>0.15</v>
      </c>
      <c r="D248" s="1844">
        <v>0.15</v>
      </c>
      <c r="E248" s="1844">
        <v>0.15</v>
      </c>
      <c r="F248" s="1845">
        <v>0.14000000000000001</v>
      </c>
    </row>
    <row r="249" spans="1:6" ht="15" thickBot="1">
      <c r="A249" s="1839" t="s">
        <v>1415</v>
      </c>
      <c r="B249" s="1843" t="s">
        <v>2175</v>
      </c>
      <c r="C249" s="1844">
        <v>0.15</v>
      </c>
      <c r="D249" s="1844">
        <v>0.14899999999999999</v>
      </c>
      <c r="E249" s="1844">
        <v>0.15</v>
      </c>
      <c r="F249" s="1845">
        <v>0.1</v>
      </c>
    </row>
    <row r="250" spans="1:6" ht="15" thickBot="1">
      <c r="A250" s="1839" t="s">
        <v>1415</v>
      </c>
      <c r="B250" s="1843" t="s">
        <v>2176</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2177</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2178</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2179</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2180</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2181</v>
      </c>
      <c r="C273" s="1844">
        <v>0.14199999999999999</v>
      </c>
      <c r="D273" s="1844">
        <v>0.14299999999999999</v>
      </c>
      <c r="E273" s="1844">
        <v>0.15</v>
      </c>
      <c r="F273" s="1845">
        <v>0.1</v>
      </c>
    </row>
    <row r="274" spans="1:6" ht="15" thickBot="1">
      <c r="A274" s="1839" t="s">
        <v>1415</v>
      </c>
      <c r="B274" s="1843" t="s">
        <v>2182</v>
      </c>
      <c r="C274" s="1844">
        <v>0.14799999999999999</v>
      </c>
      <c r="D274" s="1844">
        <v>0.14799999999999999</v>
      </c>
      <c r="E274" s="1844">
        <v>0.15</v>
      </c>
      <c r="F274" s="1845">
        <v>6.7000000000000004E-2</v>
      </c>
    </row>
    <row r="275" spans="1:6" ht="15" thickBot="1">
      <c r="A275" s="1839" t="s">
        <v>1415</v>
      </c>
      <c r="B275" s="1843" t="s">
        <v>2183</v>
      </c>
      <c r="C275" s="1844">
        <v>0.15</v>
      </c>
      <c r="D275" s="1844">
        <v>0.15</v>
      </c>
      <c r="E275" s="1844">
        <v>0.15</v>
      </c>
      <c r="F275" s="1845">
        <v>0.15</v>
      </c>
    </row>
    <row r="276" spans="1:6" ht="15" thickBot="1">
      <c r="A276" s="1839" t="s">
        <v>1415</v>
      </c>
      <c r="B276" s="1843" t="s">
        <v>2184</v>
      </c>
      <c r="C276" s="1844">
        <v>0.14499999999999999</v>
      </c>
      <c r="D276" s="1844">
        <v>0.14299999999999999</v>
      </c>
      <c r="E276" s="1844">
        <v>0.15</v>
      </c>
      <c r="F276" s="1845">
        <v>5.8999999999999997E-2</v>
      </c>
    </row>
    <row r="277" spans="1:6" ht="15" thickBot="1">
      <c r="A277" s="1839" t="s">
        <v>1415</v>
      </c>
      <c r="B277" s="1843" t="s">
        <v>2185</v>
      </c>
      <c r="C277" s="1844">
        <v>0.15</v>
      </c>
      <c r="D277" s="1844">
        <v>0.15</v>
      </c>
      <c r="E277" s="1844">
        <v>0.15</v>
      </c>
      <c r="F277" s="1845">
        <v>0.121</v>
      </c>
    </row>
    <row r="278" spans="1:6" ht="15" thickBot="1">
      <c r="A278" s="1839" t="s">
        <v>1415</v>
      </c>
      <c r="B278" s="1843" t="s">
        <v>2186</v>
      </c>
      <c r="C278" s="1844">
        <v>0.15</v>
      </c>
      <c r="D278" s="1844">
        <v>0.15</v>
      </c>
      <c r="E278" s="1844">
        <v>0.15</v>
      </c>
      <c r="F278" s="1845">
        <v>0.13800000000000001</v>
      </c>
    </row>
    <row r="279" spans="1:6" ht="24.6" thickBot="1">
      <c r="A279" s="1839" t="s">
        <v>1415</v>
      </c>
      <c r="B279" s="1843" t="s">
        <v>2187</v>
      </c>
      <c r="C279" s="1853"/>
      <c r="D279" s="1853"/>
      <c r="E279" s="1853"/>
      <c r="F279" s="1845">
        <v>0.05</v>
      </c>
    </row>
    <row r="280" spans="1:6" ht="24.6" thickBot="1">
      <c r="A280" s="1839" t="s">
        <v>1415</v>
      </c>
      <c r="B280" s="1843" t="s">
        <v>2188</v>
      </c>
      <c r="C280" s="1853"/>
      <c r="D280" s="1853"/>
      <c r="E280" s="1853"/>
      <c r="F280" s="1845">
        <v>0.05</v>
      </c>
    </row>
    <row r="281" spans="1:6" ht="24.6" thickBot="1">
      <c r="A281" s="1839" t="s">
        <v>1415</v>
      </c>
      <c r="B281" s="1843" t="s">
        <v>2189</v>
      </c>
      <c r="C281" s="1853"/>
      <c r="D281" s="1853"/>
      <c r="E281" s="1853"/>
      <c r="F281" s="1845">
        <v>0.05</v>
      </c>
    </row>
    <row r="282" spans="1:6" ht="24.6" thickBot="1">
      <c r="A282" s="1839" t="s">
        <v>1415</v>
      </c>
      <c r="B282" s="1843" t="s">
        <v>2190</v>
      </c>
      <c r="C282" s="1853"/>
      <c r="D282" s="1853"/>
      <c r="E282" s="1853"/>
      <c r="F282" s="1845">
        <v>0.05</v>
      </c>
    </row>
    <row r="283" spans="1:6" ht="24.6" thickBot="1">
      <c r="A283" s="1839" t="s">
        <v>1415</v>
      </c>
      <c r="B283" s="1843" t="s">
        <v>2191</v>
      </c>
      <c r="C283" s="1853"/>
      <c r="D283" s="1853"/>
      <c r="E283" s="1853"/>
      <c r="F283" s="1845">
        <v>0.05</v>
      </c>
    </row>
    <row r="284" spans="1:6" ht="24.6" thickBot="1">
      <c r="A284" s="1839" t="s">
        <v>1415</v>
      </c>
      <c r="B284" s="1843" t="s">
        <v>2192</v>
      </c>
      <c r="C284" s="1853"/>
      <c r="D284" s="1853"/>
      <c r="E284" s="1853"/>
      <c r="F284" s="1845">
        <v>0.05</v>
      </c>
    </row>
    <row r="285" spans="1:6" ht="24.6" thickBot="1">
      <c r="A285" s="1839" t="s">
        <v>1415</v>
      </c>
      <c r="B285" s="1843" t="s">
        <v>2193</v>
      </c>
      <c r="C285" s="1853"/>
      <c r="D285" s="1853"/>
      <c r="E285" s="1853"/>
      <c r="F285" s="1845">
        <v>0.05</v>
      </c>
    </row>
    <row r="286" spans="1:6" ht="24.6" thickBot="1">
      <c r="A286" s="1839" t="s">
        <v>1415</v>
      </c>
      <c r="B286" s="1843" t="s">
        <v>2194</v>
      </c>
      <c r="C286" s="1853"/>
      <c r="D286" s="1853"/>
      <c r="E286" s="1853"/>
      <c r="F286" s="1845">
        <v>0.05</v>
      </c>
    </row>
    <row r="287" spans="1:6" ht="24.6" thickBot="1">
      <c r="A287" s="1839" t="s">
        <v>1415</v>
      </c>
      <c r="B287" s="1843" t="s">
        <v>2195</v>
      </c>
      <c r="C287" s="1853"/>
      <c r="D287" s="1853"/>
      <c r="E287" s="1853"/>
      <c r="F287" s="1845">
        <v>0.05</v>
      </c>
    </row>
    <row r="288" spans="1:6" ht="24.6" thickBot="1">
      <c r="A288" s="1839" t="s">
        <v>1415</v>
      </c>
      <c r="B288" s="1843" t="s">
        <v>2196</v>
      </c>
      <c r="C288" s="1853"/>
      <c r="D288" s="1853"/>
      <c r="E288" s="1853"/>
      <c r="F288" s="1845">
        <v>0.05</v>
      </c>
    </row>
    <row r="289" spans="1:6" ht="24.6" thickBot="1">
      <c r="A289" s="1847" t="s">
        <v>1415</v>
      </c>
      <c r="B289" s="1854" t="s">
        <v>2197</v>
      </c>
      <c r="C289" s="1850"/>
      <c r="D289" s="1850"/>
      <c r="E289" s="1850"/>
      <c r="F289" s="1855">
        <v>0.05</v>
      </c>
    </row>
    <row r="290" spans="1:6" ht="15" thickBot="1">
      <c r="A290" s="1839" t="s">
        <v>1419</v>
      </c>
      <c r="B290" s="1840" t="s">
        <v>2198</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2199</v>
      </c>
      <c r="C292" s="1844">
        <v>0.15</v>
      </c>
      <c r="D292" s="1844">
        <v>0.15</v>
      </c>
      <c r="E292" s="1844">
        <v>0.15</v>
      </c>
      <c r="F292" s="1845">
        <v>0.14699999999999999</v>
      </c>
    </row>
    <row r="293" spans="1:6" ht="15" thickBot="1">
      <c r="A293" s="1839" t="s">
        <v>1419</v>
      </c>
      <c r="B293" s="1843" t="s">
        <v>2200</v>
      </c>
      <c r="C293" s="1853"/>
      <c r="D293" s="1853"/>
      <c r="E293" s="1853"/>
      <c r="F293" s="1845">
        <v>0.1</v>
      </c>
    </row>
    <row r="294" spans="1:6" ht="15" thickBot="1">
      <c r="A294" s="1839" t="s">
        <v>1419</v>
      </c>
      <c r="B294" s="1843" t="s">
        <v>2201</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2202</v>
      </c>
      <c r="C296" s="1844">
        <v>0.15</v>
      </c>
      <c r="D296" s="1844">
        <v>0.15</v>
      </c>
      <c r="E296" s="1844">
        <v>0.15</v>
      </c>
      <c r="F296" s="1845">
        <v>0.15</v>
      </c>
    </row>
    <row r="297" spans="1:6" ht="15" thickBot="1">
      <c r="A297" s="1839" t="s">
        <v>1419</v>
      </c>
      <c r="B297" s="1843" t="s">
        <v>2203</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2204</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2205</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2206</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2207</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2208</v>
      </c>
      <c r="C310" s="1844">
        <v>0.15</v>
      </c>
      <c r="D310" s="1844">
        <v>0.15</v>
      </c>
      <c r="E310" s="1844">
        <v>0.15</v>
      </c>
      <c r="F310" s="1845">
        <v>0.13700000000000001</v>
      </c>
    </row>
    <row r="311" spans="1:6" ht="15" thickBot="1">
      <c r="A311" s="1839" t="s">
        <v>1419</v>
      </c>
      <c r="B311" s="1843" t="s">
        <v>2209</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2210</v>
      </c>
      <c r="C313" s="1844">
        <v>0.15</v>
      </c>
      <c r="D313" s="1844">
        <v>0.15</v>
      </c>
      <c r="E313" s="1844">
        <v>0.15</v>
      </c>
      <c r="F313" s="1845">
        <v>0.15</v>
      </c>
    </row>
    <row r="314" spans="1:6" ht="24.6" thickBot="1">
      <c r="A314" s="1839" t="s">
        <v>1419</v>
      </c>
      <c r="B314" s="1843" t="s">
        <v>2211</v>
      </c>
      <c r="C314" s="1853"/>
      <c r="D314" s="1853"/>
      <c r="E314" s="1853"/>
      <c r="F314" s="1845">
        <v>0.05</v>
      </c>
    </row>
    <row r="315" spans="1:6" ht="24.6" thickBot="1">
      <c r="A315" s="1839" t="s">
        <v>1419</v>
      </c>
      <c r="B315" s="1843" t="s">
        <v>2212</v>
      </c>
      <c r="C315" s="1853"/>
      <c r="D315" s="1853"/>
      <c r="E315" s="1853"/>
      <c r="F315" s="1845">
        <v>0.05</v>
      </c>
    </row>
    <row r="316" spans="1:6" ht="24.6" thickBot="1">
      <c r="A316" s="1847" t="s">
        <v>1419</v>
      </c>
      <c r="B316" s="1854" t="s">
        <v>2213</v>
      </c>
      <c r="C316" s="1850"/>
      <c r="D316" s="1850"/>
      <c r="E316" s="1850"/>
      <c r="F316" s="1855">
        <v>0.05</v>
      </c>
    </row>
    <row r="317" spans="1:6" ht="15" thickBot="1">
      <c r="A317" s="1839" t="s">
        <v>2214</v>
      </c>
      <c r="B317" s="1840" t="s">
        <v>2215</v>
      </c>
      <c r="C317" s="1841">
        <v>0.15</v>
      </c>
      <c r="D317" s="1841">
        <v>0.15</v>
      </c>
      <c r="E317" s="1841">
        <v>0.15</v>
      </c>
      <c r="F317" s="1842">
        <v>0.15</v>
      </c>
    </row>
    <row r="318" spans="1:6" ht="15" thickBot="1">
      <c r="A318" s="1839" t="s">
        <v>2214</v>
      </c>
      <c r="B318" s="1843" t="s">
        <v>2216</v>
      </c>
      <c r="C318" s="1844">
        <v>0.107</v>
      </c>
      <c r="D318" s="1844">
        <v>0.11</v>
      </c>
      <c r="E318" s="1844">
        <v>0.112</v>
      </c>
      <c r="F318" s="1852"/>
    </row>
    <row r="319" spans="1:6" ht="15" thickBot="1">
      <c r="A319" s="1839" t="s">
        <v>2214</v>
      </c>
      <c r="B319" s="1843" t="s">
        <v>2217</v>
      </c>
      <c r="C319" s="1844">
        <v>0.15</v>
      </c>
      <c r="D319" s="1844">
        <v>0.15</v>
      </c>
      <c r="E319" s="1844">
        <v>0.15</v>
      </c>
      <c r="F319" s="1845">
        <v>0.15</v>
      </c>
    </row>
    <row r="320" spans="1:6" ht="15" thickBot="1">
      <c r="A320" s="1839" t="s">
        <v>2214</v>
      </c>
      <c r="B320" s="1843" t="s">
        <v>1107</v>
      </c>
      <c r="C320" s="1844">
        <v>0.15</v>
      </c>
      <c r="D320" s="1844">
        <v>0.15</v>
      </c>
      <c r="E320" s="1844">
        <v>0.15</v>
      </c>
      <c r="F320" s="1852"/>
    </row>
    <row r="321" spans="1:6" ht="15" thickBot="1">
      <c r="A321" s="1839" t="s">
        <v>2214</v>
      </c>
      <c r="B321" s="1843" t="s">
        <v>2218</v>
      </c>
      <c r="C321" s="1844">
        <v>0.15</v>
      </c>
      <c r="D321" s="1844">
        <v>0.15</v>
      </c>
      <c r="E321" s="1844">
        <v>0.15</v>
      </c>
      <c r="F321" s="1852"/>
    </row>
    <row r="322" spans="1:6" ht="15" thickBot="1">
      <c r="A322" s="1839" t="s">
        <v>2214</v>
      </c>
      <c r="B322" s="1843" t="s">
        <v>2219</v>
      </c>
      <c r="C322" s="1844">
        <v>0.15</v>
      </c>
      <c r="D322" s="1844">
        <v>0.15</v>
      </c>
      <c r="E322" s="1844">
        <v>0.15</v>
      </c>
      <c r="F322" s="1845">
        <v>0.15</v>
      </c>
    </row>
    <row r="323" spans="1:6" ht="15" thickBot="1">
      <c r="A323" s="1839" t="s">
        <v>2214</v>
      </c>
      <c r="B323" s="1843" t="s">
        <v>2220</v>
      </c>
      <c r="C323" s="1844">
        <v>0.15</v>
      </c>
      <c r="D323" s="1844">
        <v>0.15</v>
      </c>
      <c r="E323" s="1844">
        <v>0.15</v>
      </c>
      <c r="F323" s="1852"/>
    </row>
    <row r="324" spans="1:6" ht="15" thickBot="1">
      <c r="A324" s="1839" t="s">
        <v>2214</v>
      </c>
      <c r="B324" s="1843" t="s">
        <v>2221</v>
      </c>
      <c r="C324" s="1844">
        <v>0.15</v>
      </c>
      <c r="D324" s="1844">
        <v>0.15</v>
      </c>
      <c r="E324" s="1844">
        <v>0.15</v>
      </c>
      <c r="F324" s="1852"/>
    </row>
    <row r="325" spans="1:6" ht="15" thickBot="1">
      <c r="A325" s="1839" t="s">
        <v>2214</v>
      </c>
      <c r="B325" s="1843" t="s">
        <v>2222</v>
      </c>
      <c r="C325" s="1844">
        <v>0.15</v>
      </c>
      <c r="D325" s="1844">
        <v>0.15</v>
      </c>
      <c r="E325" s="1844">
        <v>0.15</v>
      </c>
      <c r="F325" s="1845">
        <v>0.14699999999999999</v>
      </c>
    </row>
    <row r="326" spans="1:6" ht="15" thickBot="1">
      <c r="A326" s="1839" t="s">
        <v>2214</v>
      </c>
      <c r="B326" s="1843" t="s">
        <v>1176</v>
      </c>
      <c r="C326" s="1844">
        <v>0.15</v>
      </c>
      <c r="D326" s="1844">
        <v>0.15</v>
      </c>
      <c r="E326" s="1844">
        <v>0.15</v>
      </c>
      <c r="F326" s="1852"/>
    </row>
    <row r="327" spans="1:6" ht="15" thickBot="1">
      <c r="A327" s="1839" t="s">
        <v>2214</v>
      </c>
      <c r="B327" s="1843" t="s">
        <v>2223</v>
      </c>
      <c r="C327" s="1844">
        <v>0.15</v>
      </c>
      <c r="D327" s="1844">
        <v>0.15</v>
      </c>
      <c r="E327" s="1844">
        <v>0.15</v>
      </c>
      <c r="F327" s="1845">
        <v>0.15</v>
      </c>
    </row>
    <row r="328" spans="1:6" ht="15" thickBot="1">
      <c r="A328" s="1839" t="s">
        <v>2214</v>
      </c>
      <c r="B328" s="1843" t="s">
        <v>1196</v>
      </c>
      <c r="C328" s="1844">
        <v>0.15</v>
      </c>
      <c r="D328" s="1844">
        <v>0.15</v>
      </c>
      <c r="E328" s="1844">
        <v>0.15</v>
      </c>
      <c r="F328" s="1845">
        <v>0.14099999999999999</v>
      </c>
    </row>
    <row r="329" spans="1:6" ht="15" thickBot="1">
      <c r="A329" s="1839" t="s">
        <v>2214</v>
      </c>
      <c r="B329" s="1843" t="s">
        <v>1206</v>
      </c>
      <c r="C329" s="1844">
        <v>0.15</v>
      </c>
      <c r="D329" s="1844">
        <v>0.15</v>
      </c>
      <c r="E329" s="1844">
        <v>0.15</v>
      </c>
      <c r="F329" s="1845">
        <v>0.15</v>
      </c>
    </row>
    <row r="330" spans="1:6" ht="15" thickBot="1">
      <c r="A330" s="1839" t="s">
        <v>2214</v>
      </c>
      <c r="B330" s="1843" t="s">
        <v>1216</v>
      </c>
      <c r="C330" s="1844">
        <v>0.15</v>
      </c>
      <c r="D330" s="1844">
        <v>0.15</v>
      </c>
      <c r="E330" s="1844">
        <v>0.15</v>
      </c>
      <c r="F330" s="1852"/>
    </row>
    <row r="331" spans="1:6" ht="15" thickBot="1">
      <c r="A331" s="1839" t="s">
        <v>2214</v>
      </c>
      <c r="B331" s="1843" t="s">
        <v>2224</v>
      </c>
      <c r="C331" s="1844">
        <v>0.15</v>
      </c>
      <c r="D331" s="1844">
        <v>0.15</v>
      </c>
      <c r="E331" s="1844">
        <v>0.15</v>
      </c>
      <c r="F331" s="1845">
        <v>0.15</v>
      </c>
    </row>
    <row r="332" spans="1:6" ht="15" thickBot="1">
      <c r="A332" s="1839" t="s">
        <v>2214</v>
      </c>
      <c r="B332" s="1843" t="s">
        <v>1236</v>
      </c>
      <c r="C332" s="1844">
        <v>0.15</v>
      </c>
      <c r="D332" s="1844">
        <v>0.15</v>
      </c>
      <c r="E332" s="1844">
        <v>0.15</v>
      </c>
      <c r="F332" s="1845">
        <v>0.15</v>
      </c>
    </row>
    <row r="333" spans="1:6" ht="15" thickBot="1">
      <c r="A333" s="1839" t="s">
        <v>2214</v>
      </c>
      <c r="B333" s="1843" t="s">
        <v>2225</v>
      </c>
      <c r="C333" s="1844">
        <v>0.15</v>
      </c>
      <c r="D333" s="1844">
        <v>0.15</v>
      </c>
      <c r="E333" s="1844">
        <v>0.15</v>
      </c>
      <c r="F333" s="1845">
        <v>0.14099999999999999</v>
      </c>
    </row>
    <row r="334" spans="1:6" ht="15" thickBot="1">
      <c r="A334" s="1839" t="s">
        <v>2214</v>
      </c>
      <c r="B334" s="1843" t="s">
        <v>1256</v>
      </c>
      <c r="C334" s="1844">
        <v>0.15</v>
      </c>
      <c r="D334" s="1844">
        <v>0.15</v>
      </c>
      <c r="E334" s="1844">
        <v>0.15</v>
      </c>
      <c r="F334" s="1845">
        <v>0.15</v>
      </c>
    </row>
    <row r="335" spans="1:6" ht="15" thickBot="1">
      <c r="A335" s="1839" t="s">
        <v>2214</v>
      </c>
      <c r="B335" s="1843" t="s">
        <v>1266</v>
      </c>
      <c r="C335" s="1844">
        <v>0.15</v>
      </c>
      <c r="D335" s="1844">
        <v>0.15</v>
      </c>
      <c r="E335" s="1844">
        <v>0.15</v>
      </c>
      <c r="F335" s="1852"/>
    </row>
    <row r="336" spans="1:6" ht="15" thickBot="1">
      <c r="A336" s="1839" t="s">
        <v>2214</v>
      </c>
      <c r="B336" s="1843" t="s">
        <v>2226</v>
      </c>
      <c r="C336" s="1844">
        <v>0.15</v>
      </c>
      <c r="D336" s="1844">
        <v>0.15</v>
      </c>
      <c r="E336" s="1844">
        <v>0.15</v>
      </c>
      <c r="F336" s="1845">
        <v>0.11799999999999999</v>
      </c>
    </row>
    <row r="337" spans="1:6" ht="15" thickBot="1">
      <c r="A337" s="1847" t="s">
        <v>2214</v>
      </c>
      <c r="B337" s="1854" t="s">
        <v>1284</v>
      </c>
      <c r="C337" s="1850"/>
      <c r="D337" s="1850"/>
      <c r="E337" s="1850"/>
      <c r="F337" s="1855">
        <v>0.14299999999999999</v>
      </c>
    </row>
    <row r="338" spans="1:6" ht="15" thickBot="1">
      <c r="A338" s="1839" t="s">
        <v>2227</v>
      </c>
      <c r="B338" s="1840" t="s">
        <v>2228</v>
      </c>
      <c r="C338" s="1841">
        <v>0.15</v>
      </c>
      <c r="D338" s="1841">
        <v>0.15</v>
      </c>
      <c r="E338" s="1841">
        <v>0.15</v>
      </c>
      <c r="F338" s="1863"/>
    </row>
    <row r="339" spans="1:6" ht="15" thickBot="1">
      <c r="A339" s="1839" t="s">
        <v>2227</v>
      </c>
      <c r="B339" s="1843" t="s">
        <v>2229</v>
      </c>
      <c r="C339" s="1844">
        <v>0.15</v>
      </c>
      <c r="D339" s="1844">
        <v>0.15</v>
      </c>
      <c r="E339" s="1844">
        <v>0.15</v>
      </c>
      <c r="F339" s="1852"/>
    </row>
    <row r="340" spans="1:6" ht="15" thickBot="1">
      <c r="A340" s="1839" t="s">
        <v>2227</v>
      </c>
      <c r="B340" s="1843" t="s">
        <v>2230</v>
      </c>
      <c r="C340" s="1844">
        <v>0.15</v>
      </c>
      <c r="D340" s="1844">
        <v>0.15</v>
      </c>
      <c r="E340" s="1844">
        <v>0.15</v>
      </c>
      <c r="F340" s="1852"/>
    </row>
    <row r="341" spans="1:6" ht="15" thickBot="1">
      <c r="A341" s="1839" t="s">
        <v>2231</v>
      </c>
      <c r="B341" s="1843" t="s">
        <v>2232</v>
      </c>
      <c r="C341" s="1844">
        <v>0.15</v>
      </c>
      <c r="D341" s="1844">
        <v>0.15</v>
      </c>
      <c r="E341" s="1844">
        <v>0.15</v>
      </c>
      <c r="F341" s="1845">
        <v>0.15</v>
      </c>
    </row>
    <row r="342" spans="1:6" ht="15" thickBot="1">
      <c r="A342" s="1839" t="s">
        <v>2227</v>
      </c>
      <c r="B342" s="1843" t="s">
        <v>2233</v>
      </c>
      <c r="C342" s="1844">
        <v>0.15</v>
      </c>
      <c r="D342" s="1844">
        <v>0.15</v>
      </c>
      <c r="E342" s="1844">
        <v>0.15</v>
      </c>
      <c r="F342" s="1845">
        <v>0.15</v>
      </c>
    </row>
    <row r="343" spans="1:6" ht="15" thickBot="1">
      <c r="A343" s="1839" t="s">
        <v>2227</v>
      </c>
      <c r="B343" s="1843" t="s">
        <v>2234</v>
      </c>
      <c r="C343" s="1844">
        <v>0.15</v>
      </c>
      <c r="D343" s="1844">
        <v>0.15</v>
      </c>
      <c r="E343" s="1844">
        <v>0.15</v>
      </c>
      <c r="F343" s="1845">
        <v>0.15</v>
      </c>
    </row>
    <row r="344" spans="1:6" ht="1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0" t="s">
        <v>2573</v>
      </c>
      <c r="C1" s="3460"/>
      <c r="D1" s="3460"/>
      <c r="E1" s="3460"/>
      <c r="F1" s="3460"/>
      <c r="G1" s="3459" t="s">
        <v>2574</v>
      </c>
      <c r="H1" s="3459"/>
      <c r="I1" s="3459"/>
      <c r="J1" s="3459"/>
      <c r="K1" s="3459"/>
      <c r="L1" s="3459"/>
      <c r="N1" s="3459" t="s">
        <v>2575</v>
      </c>
      <c r="O1" s="3459"/>
      <c r="P1" s="3459"/>
      <c r="Q1" s="3459"/>
      <c r="R1" s="2617"/>
      <c r="S1" s="3459" t="s">
        <v>2576</v>
      </c>
      <c r="T1" s="3459"/>
      <c r="U1" s="3459"/>
      <c r="V1" s="3459"/>
      <c r="X1" s="3458" t="s">
        <v>2636</v>
      </c>
      <c r="Y1" s="3459"/>
      <c r="Z1" s="3459"/>
      <c r="AA1" s="3459"/>
      <c r="AB1" s="3459"/>
      <c r="AD1" s="3458" t="s">
        <v>2640</v>
      </c>
      <c r="AE1" s="3459"/>
      <c r="AF1" s="3459"/>
      <c r="AG1" s="3459"/>
      <c r="AH1" s="3459"/>
    </row>
    <row r="2" spans="1:34" s="2718" customFormat="1" ht="15" thickBot="1">
      <c r="B2" s="2726" t="s">
        <v>2577</v>
      </c>
      <c r="C2" s="2726" t="s">
        <v>2638</v>
      </c>
      <c r="D2" s="2719" t="s">
        <v>1644</v>
      </c>
      <c r="E2" s="2719" t="s">
        <v>1947</v>
      </c>
      <c r="F2" s="2726" t="s">
        <v>2639</v>
      </c>
      <c r="G2" s="2722"/>
      <c r="H2" s="2721"/>
      <c r="I2" s="2726" t="s">
        <v>2944</v>
      </c>
      <c r="J2" s="2719" t="s">
        <v>2946</v>
      </c>
      <c r="K2" s="2719" t="s">
        <v>2947</v>
      </c>
      <c r="L2" s="2726" t="s">
        <v>2948</v>
      </c>
      <c r="N2" s="2726" t="s">
        <v>2577</v>
      </c>
      <c r="O2" s="2719" t="s">
        <v>2945</v>
      </c>
      <c r="P2" s="2719" t="s">
        <v>1947</v>
      </c>
      <c r="Q2" s="2726" t="s">
        <v>2639</v>
      </c>
      <c r="R2" s="2720"/>
      <c r="S2" s="2726" t="s">
        <v>2577</v>
      </c>
      <c r="T2" s="2719" t="s">
        <v>2945</v>
      </c>
      <c r="U2" s="2719" t="s">
        <v>1947</v>
      </c>
      <c r="V2" s="2726" t="s">
        <v>2639</v>
      </c>
      <c r="X2" s="2726" t="s">
        <v>2577</v>
      </c>
      <c r="Y2" s="2726" t="s">
        <v>2638</v>
      </c>
      <c r="Z2" s="2719" t="s">
        <v>1644</v>
      </c>
      <c r="AA2" s="2719" t="s">
        <v>1947</v>
      </c>
      <c r="AB2" s="2726" t="s">
        <v>2639</v>
      </c>
      <c r="AD2" s="2726" t="s">
        <v>2577</v>
      </c>
      <c r="AE2" s="2726" t="s">
        <v>2638</v>
      </c>
      <c r="AF2" s="2719" t="s">
        <v>1644</v>
      </c>
      <c r="AG2" s="2719" t="s">
        <v>1947</v>
      </c>
      <c r="AH2" s="2726" t="s">
        <v>2639</v>
      </c>
    </row>
    <row r="3" spans="1:34" s="3078" customFormat="1" ht="14.4">
      <c r="A3" s="3090" t="s">
        <v>2957</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1" customFormat="1" ht="14.4">
      <c r="B4" s="2712"/>
      <c r="C4" s="2712"/>
      <c r="D4" s="2713"/>
      <c r="E4" s="2713"/>
      <c r="F4" s="2712"/>
      <c r="G4" s="2717"/>
      <c r="H4" s="2714"/>
      <c r="I4" s="3074"/>
      <c r="J4" s="3074"/>
      <c r="K4" s="3074"/>
      <c r="L4" s="3074"/>
      <c r="N4" s="2717"/>
      <c r="O4" s="2715"/>
      <c r="P4" s="2715"/>
      <c r="Q4" s="2715"/>
      <c r="R4" s="2715"/>
      <c r="S4" s="2717"/>
      <c r="T4" s="2715"/>
      <c r="U4" s="2715"/>
      <c r="V4" s="2715"/>
      <c r="W4" s="3087"/>
      <c r="X4" s="2716"/>
      <c r="Y4" s="2716"/>
      <c r="Z4" s="2716"/>
      <c r="AA4" s="2716"/>
      <c r="AB4" s="2716"/>
      <c r="AD4" s="2636"/>
      <c r="AE4" s="2636"/>
      <c r="AF4" s="2636"/>
      <c r="AG4" s="2636"/>
      <c r="AH4" s="2636"/>
    </row>
    <row r="5" spans="1:34" s="3062" customFormat="1">
      <c r="A5" s="3060" t="s">
        <v>2986</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1">
        <v>1</v>
      </c>
      <c r="I5" s="3075">
        <v>0</v>
      </c>
      <c r="J5" s="3075">
        <v>0</v>
      </c>
      <c r="K5" s="3075">
        <v>0</v>
      </c>
      <c r="L5" s="3075">
        <v>0</v>
      </c>
      <c r="N5" s="2724">
        <f t="shared" ref="N5" si="7">I5/100</f>
        <v>0</v>
      </c>
      <c r="O5" s="2724">
        <f t="shared" ref="O5" si="8">J5/100</f>
        <v>0</v>
      </c>
      <c r="P5" s="2724">
        <f t="shared" ref="P5" si="9">K5/100</f>
        <v>0</v>
      </c>
      <c r="Q5" s="2724">
        <f t="shared" ref="Q5" si="10">L5/100</f>
        <v>0</v>
      </c>
      <c r="R5" s="3063"/>
      <c r="S5" s="3064"/>
      <c r="T5" s="3063"/>
      <c r="U5" s="3063"/>
      <c r="V5" s="3063"/>
      <c r="W5" s="3088" t="s">
        <v>2958</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3" customFormat="1">
      <c r="A6" s="2618" t="s">
        <v>2982</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2981</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2978</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2977</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2974</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454">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2967</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4"/>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2968</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4"/>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2964</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5"/>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2955</v>
      </c>
      <c r="B14" s="3092">
        <v>439</v>
      </c>
      <c r="C14" s="3092">
        <v>327</v>
      </c>
      <c r="D14" s="3092">
        <f t="shared" si="87"/>
        <v>327</v>
      </c>
      <c r="E14" s="3092">
        <v>627</v>
      </c>
      <c r="F14" s="3093">
        <v>283</v>
      </c>
      <c r="G14" s="345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2959</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4"/>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2578</v>
      </c>
      <c r="B16" s="2631">
        <f t="shared" si="99"/>
        <v>419.31181600000002</v>
      </c>
      <c r="C16" s="2631">
        <f t="shared" si="99"/>
        <v>313.95436800000004</v>
      </c>
      <c r="D16" s="2631">
        <f t="shared" si="87"/>
        <v>313.95436800000004</v>
      </c>
      <c r="E16" s="2631">
        <f t="shared" si="100"/>
        <v>596.63028431999999</v>
      </c>
      <c r="F16" s="2631">
        <f t="shared" si="100"/>
        <v>274.74220703999998</v>
      </c>
      <c r="G16" s="3454"/>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2579</v>
      </c>
      <c r="B17" s="2631">
        <f t="shared" si="99"/>
        <v>405.524</v>
      </c>
      <c r="C17" s="2631">
        <f t="shared" si="99"/>
        <v>307.79840000000002</v>
      </c>
      <c r="D17" s="2631">
        <f t="shared" si="87"/>
        <v>307.79840000000002</v>
      </c>
      <c r="E17" s="2631">
        <f t="shared" si="100"/>
        <v>574.67759999999998</v>
      </c>
      <c r="F17" s="2631">
        <f t="shared" si="100"/>
        <v>270.20280000000002</v>
      </c>
      <c r="G17" s="3455"/>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5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4"/>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4"/>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7"/>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56">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4"/>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4"/>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7"/>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56">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4"/>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4"/>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7"/>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2637</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2580</v>
      </c>
      <c r="B30" s="2623">
        <v>299</v>
      </c>
      <c r="C30" s="2623">
        <v>252</v>
      </c>
      <c r="D30" s="2623">
        <f t="shared" si="109"/>
        <v>252</v>
      </c>
      <c r="E30" s="2623">
        <v>409</v>
      </c>
      <c r="F30" s="2624">
        <v>227</v>
      </c>
      <c r="G30" s="3461">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2581</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62"/>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2582</v>
      </c>
      <c r="B32" s="2631">
        <f t="shared" si="118"/>
        <v>288.2649053828776</v>
      </c>
      <c r="C32" s="2631">
        <f t="shared" si="118"/>
        <v>243.64564425013293</v>
      </c>
      <c r="D32" s="2631">
        <f t="shared" si="109"/>
        <v>243.64564425013293</v>
      </c>
      <c r="E32" s="2631">
        <f t="shared" si="119"/>
        <v>393.31080825986544</v>
      </c>
      <c r="F32" s="2631">
        <f t="shared" si="119"/>
        <v>223.07903790551154</v>
      </c>
      <c r="G32" s="3462"/>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2583</v>
      </c>
      <c r="B33" s="2631">
        <f t="shared" si="118"/>
        <v>282.50186729015837</v>
      </c>
      <c r="C33" s="2631">
        <f t="shared" si="118"/>
        <v>238.09796174155468</v>
      </c>
      <c r="D33" s="2631">
        <f t="shared" si="109"/>
        <v>238.09796174155468</v>
      </c>
      <c r="E33" s="2631">
        <f t="shared" si="119"/>
        <v>385.33438646014054</v>
      </c>
      <c r="F33" s="2631">
        <f t="shared" si="119"/>
        <v>221.55034055567739</v>
      </c>
      <c r="G33" s="3463"/>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2584</v>
      </c>
      <c r="B34" s="2661">
        <v>278</v>
      </c>
      <c r="C34" s="2661">
        <v>234</v>
      </c>
      <c r="D34" s="2661">
        <f t="shared" si="109"/>
        <v>234</v>
      </c>
      <c r="E34" s="2661">
        <v>379</v>
      </c>
      <c r="F34" s="2662">
        <v>220</v>
      </c>
      <c r="G34" s="3456">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2585</v>
      </c>
      <c r="B35" s="2631">
        <f>B34/(1+N34)</f>
        <v>275.49301357645425</v>
      </c>
      <c r="C35" s="2631">
        <f>C34/(1+O34)</f>
        <v>232.41954707985698</v>
      </c>
      <c r="D35" s="2631">
        <f t="shared" si="109"/>
        <v>232.41954707985698</v>
      </c>
      <c r="E35" s="2631">
        <f t="shared" ref="E35:F37" si="120">E34/(1+P34)</f>
        <v>375.32184591008121</v>
      </c>
      <c r="F35" s="2631">
        <f t="shared" si="120"/>
        <v>218.03766105054513</v>
      </c>
      <c r="G35" s="3454"/>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2586</v>
      </c>
      <c r="B36" s="2631">
        <f>B35/(1+N35)</f>
        <v>275.24529281292263</v>
      </c>
      <c r="C36" s="2631">
        <f>C35/(1+O35)</f>
        <v>231.74747938962707</v>
      </c>
      <c r="D36" s="2631">
        <f t="shared" si="109"/>
        <v>231.74747938962707</v>
      </c>
      <c r="E36" s="2631">
        <f t="shared" si="120"/>
        <v>375.35938184826603</v>
      </c>
      <c r="F36" s="2631">
        <f t="shared" si="120"/>
        <v>216.78033510692495</v>
      </c>
      <c r="G36" s="3454"/>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2587</v>
      </c>
      <c r="B37" s="2631">
        <f>B36/(1+N36)</f>
        <v>275.19025476197027</v>
      </c>
      <c r="C37" s="2663">
        <v>232</v>
      </c>
      <c r="D37" s="2663">
        <f t="shared" si="109"/>
        <v>232</v>
      </c>
      <c r="E37" s="2631">
        <f t="shared" si="120"/>
        <v>375.65990977608692</v>
      </c>
      <c r="F37" s="2631">
        <f t="shared" si="120"/>
        <v>214.12518283971252</v>
      </c>
      <c r="G37" s="3457"/>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2588</v>
      </c>
      <c r="B38" s="2623">
        <v>275</v>
      </c>
      <c r="C38" s="2623">
        <v>232</v>
      </c>
      <c r="D38" s="2623">
        <f t="shared" si="109"/>
        <v>232</v>
      </c>
      <c r="E38" s="2623">
        <v>376</v>
      </c>
      <c r="F38" s="2624">
        <v>213</v>
      </c>
      <c r="G38" s="3456">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2589</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4">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2590</v>
      </c>
      <c r="B40" s="2631">
        <f t="shared" si="121"/>
        <v>275.19335084830601</v>
      </c>
      <c r="C40" s="2631">
        <f t="shared" si="121"/>
        <v>230.18088050139744</v>
      </c>
      <c r="D40" s="2631">
        <f t="shared" si="109"/>
        <v>230.18088050139744</v>
      </c>
      <c r="E40" s="2631">
        <f t="shared" si="122"/>
        <v>377.58482925212331</v>
      </c>
      <c r="F40" s="2631">
        <f t="shared" si="122"/>
        <v>210.90687997847917</v>
      </c>
      <c r="G40" s="3454">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2591</v>
      </c>
      <c r="B41" s="2631">
        <f t="shared" si="121"/>
        <v>276.29854502841971</v>
      </c>
      <c r="C41" s="2631">
        <f t="shared" si="121"/>
        <v>229.79023709833027</v>
      </c>
      <c r="D41" s="2631">
        <f t="shared" si="109"/>
        <v>229.79023709833027</v>
      </c>
      <c r="E41" s="2631">
        <f t="shared" si="122"/>
        <v>379.78759731655936</v>
      </c>
      <c r="F41" s="2631">
        <f t="shared" si="122"/>
        <v>211.32953905659235</v>
      </c>
      <c r="G41" s="3457">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2592</v>
      </c>
      <c r="B42" s="2623">
        <v>269</v>
      </c>
      <c r="C42" s="2623">
        <v>221</v>
      </c>
      <c r="D42" s="2623">
        <f t="shared" si="109"/>
        <v>221</v>
      </c>
      <c r="E42" s="2623">
        <v>373</v>
      </c>
      <c r="F42" s="2624">
        <v>196</v>
      </c>
      <c r="G42" s="3456">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2593</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4">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2594</v>
      </c>
      <c r="B44" s="2631">
        <f t="shared" si="123"/>
        <v>242.95398227588385</v>
      </c>
      <c r="C44" s="2631">
        <f t="shared" si="123"/>
        <v>199.59137053614126</v>
      </c>
      <c r="D44" s="2631">
        <f t="shared" si="109"/>
        <v>199.59137053614126</v>
      </c>
      <c r="E44" s="2631">
        <f t="shared" si="124"/>
        <v>335.92189522342125</v>
      </c>
      <c r="F44" s="2631">
        <f t="shared" si="124"/>
        <v>183.10139991109489</v>
      </c>
      <c r="G44" s="3454">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2595</v>
      </c>
      <c r="B45" s="2631">
        <f t="shared" si="123"/>
        <v>232.06990378821649</v>
      </c>
      <c r="C45" s="2631">
        <f t="shared" si="123"/>
        <v>192.74878854286936</v>
      </c>
      <c r="D45" s="2631">
        <f t="shared" si="109"/>
        <v>192.74878854286936</v>
      </c>
      <c r="E45" s="2631">
        <f t="shared" si="124"/>
        <v>319.71247284992984</v>
      </c>
      <c r="F45" s="2631">
        <f t="shared" si="124"/>
        <v>175.67053622862409</v>
      </c>
      <c r="G45" s="3457">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2596</v>
      </c>
      <c r="B46" s="2623">
        <v>220</v>
      </c>
      <c r="C46" s="2623">
        <v>187</v>
      </c>
      <c r="D46" s="2623">
        <f t="shared" si="109"/>
        <v>187</v>
      </c>
      <c r="E46" s="2623">
        <v>301</v>
      </c>
      <c r="F46" s="2624">
        <v>168</v>
      </c>
      <c r="G46" s="3456">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2597</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4">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2598</v>
      </c>
      <c r="B48" s="2631">
        <f t="shared" si="125"/>
        <v>210.630522469011</v>
      </c>
      <c r="C48" s="2631">
        <f t="shared" si="125"/>
        <v>181.69567812247232</v>
      </c>
      <c r="D48" s="2631">
        <f t="shared" si="109"/>
        <v>181.69567812247232</v>
      </c>
      <c r="E48" s="2631">
        <f t="shared" si="126"/>
        <v>286.13517466736738</v>
      </c>
      <c r="F48" s="2631">
        <f t="shared" si="126"/>
        <v>165.47535084591149</v>
      </c>
      <c r="G48" s="3454">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2599</v>
      </c>
      <c r="B49" s="2631">
        <f t="shared" si="125"/>
        <v>208.83454537875372</v>
      </c>
      <c r="C49" s="2631">
        <f t="shared" si="125"/>
        <v>183.77230517090351</v>
      </c>
      <c r="D49" s="2631">
        <f t="shared" si="109"/>
        <v>183.77230517090351</v>
      </c>
      <c r="E49" s="2631">
        <f t="shared" si="126"/>
        <v>281.10342338870947</v>
      </c>
      <c r="F49" s="2631">
        <f t="shared" si="126"/>
        <v>168.97309388942256</v>
      </c>
      <c r="G49" s="3457">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2600</v>
      </c>
      <c r="B50" s="2661">
        <v>214</v>
      </c>
      <c r="C50" s="2661">
        <v>188</v>
      </c>
      <c r="D50" s="2661">
        <f t="shared" si="109"/>
        <v>188</v>
      </c>
      <c r="E50" s="2661">
        <v>289</v>
      </c>
      <c r="F50" s="2662">
        <v>166</v>
      </c>
      <c r="G50" s="3456">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2601</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4">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2602</v>
      </c>
      <c r="B52" s="2631">
        <f t="shared" si="127"/>
        <v>206.31694671589116</v>
      </c>
      <c r="C52" s="2631">
        <f t="shared" si="127"/>
        <v>183.61041121036101</v>
      </c>
      <c r="D52" s="2631">
        <f t="shared" si="109"/>
        <v>183.61041121036101</v>
      </c>
      <c r="E52" s="2631">
        <f t="shared" si="128"/>
        <v>276.66850301795557</v>
      </c>
      <c r="F52" s="2631">
        <f t="shared" si="128"/>
        <v>165.1360938278614</v>
      </c>
      <c r="G52" s="3454">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2603</v>
      </c>
      <c r="B53" s="2664">
        <f t="shared" si="127"/>
        <v>196.62341248059772</v>
      </c>
      <c r="C53" s="2664">
        <f t="shared" si="127"/>
        <v>170.99125648199012</v>
      </c>
      <c r="D53" s="2664">
        <f t="shared" si="109"/>
        <v>170.99125648199012</v>
      </c>
      <c r="E53" s="2664">
        <f t="shared" si="128"/>
        <v>266.07857570490052</v>
      </c>
      <c r="F53" s="2664">
        <f t="shared" si="128"/>
        <v>154.53499328828505</v>
      </c>
      <c r="G53" s="3457">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2604</v>
      </c>
      <c r="B54" s="2623">
        <v>188</v>
      </c>
      <c r="C54" s="2623">
        <v>165</v>
      </c>
      <c r="D54" s="2623">
        <f t="shared" si="109"/>
        <v>165</v>
      </c>
      <c r="E54" s="2623">
        <v>254</v>
      </c>
      <c r="F54" s="2624">
        <v>148</v>
      </c>
      <c r="G54" s="3456">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2605</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4">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2606</v>
      </c>
      <c r="B56" s="2631">
        <f t="shared" si="131"/>
        <v>168.82017748715555</v>
      </c>
      <c r="C56" s="2631">
        <f t="shared" si="131"/>
        <v>148.06267029972753</v>
      </c>
      <c r="D56" s="2631">
        <f t="shared" si="109"/>
        <v>148.06267029972753</v>
      </c>
      <c r="E56" s="2631">
        <f t="shared" si="132"/>
        <v>216.46288379323747</v>
      </c>
      <c r="F56" s="2631">
        <f t="shared" si="132"/>
        <v>134.23529411764704</v>
      </c>
      <c r="G56" s="3454">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2607</v>
      </c>
      <c r="B57" s="2631">
        <f t="shared" si="131"/>
        <v>163.84913591779542</v>
      </c>
      <c r="C57" s="2631">
        <f t="shared" si="131"/>
        <v>145.0283378746594</v>
      </c>
      <c r="D57" s="2631">
        <f t="shared" si="109"/>
        <v>145.0283378746594</v>
      </c>
      <c r="E57" s="2631">
        <f t="shared" si="132"/>
        <v>204.95180722891567</v>
      </c>
      <c r="F57" s="2631">
        <f t="shared" si="132"/>
        <v>125.95920303605313</v>
      </c>
      <c r="G57" s="3457">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2608</v>
      </c>
      <c r="B58" s="2645">
        <v>159</v>
      </c>
      <c r="C58" s="2645">
        <v>141</v>
      </c>
      <c r="D58" s="2645">
        <f t="shared" si="109"/>
        <v>141</v>
      </c>
      <c r="E58" s="2645">
        <v>195</v>
      </c>
      <c r="F58" s="2646">
        <v>122</v>
      </c>
      <c r="G58" s="3456">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2609</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4">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2610</v>
      </c>
      <c r="B60" s="2631">
        <f t="shared" si="135"/>
        <v>146.57412060301507</v>
      </c>
      <c r="C60" s="2631">
        <f t="shared" si="135"/>
        <v>136.46831955922866</v>
      </c>
      <c r="D60" s="2631">
        <f t="shared" si="109"/>
        <v>136.46831955922866</v>
      </c>
      <c r="E60" s="2631">
        <f t="shared" si="136"/>
        <v>166.73864894795128</v>
      </c>
      <c r="F60" s="2631">
        <f t="shared" si="136"/>
        <v>115.05882352941177</v>
      </c>
      <c r="G60" s="3454">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2611</v>
      </c>
      <c r="B61" s="2631">
        <f t="shared" si="135"/>
        <v>144.04145728643215</v>
      </c>
      <c r="C61" s="2631">
        <f t="shared" si="135"/>
        <v>136.12396694214877</v>
      </c>
      <c r="D61" s="2631">
        <f t="shared" si="109"/>
        <v>136.12396694214877</v>
      </c>
      <c r="E61" s="2631">
        <f t="shared" si="136"/>
        <v>158.32225913621264</v>
      </c>
      <c r="F61" s="2631">
        <f t="shared" si="136"/>
        <v>114.04278074866311</v>
      </c>
      <c r="G61" s="3457">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2612</v>
      </c>
      <c r="B62" s="2645">
        <v>138</v>
      </c>
      <c r="C62" s="2645">
        <v>131</v>
      </c>
      <c r="D62" s="2645">
        <f t="shared" si="109"/>
        <v>131</v>
      </c>
      <c r="E62" s="2645">
        <v>155</v>
      </c>
      <c r="F62" s="2646">
        <v>114</v>
      </c>
      <c r="G62" s="3456">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2613</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4">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2614</v>
      </c>
      <c r="B64" s="2631">
        <f t="shared" si="139"/>
        <v>124.29032258064517</v>
      </c>
      <c r="C64" s="2631">
        <f t="shared" si="139"/>
        <v>123.8968609865471</v>
      </c>
      <c r="D64" s="2631">
        <f t="shared" si="109"/>
        <v>123.8968609865471</v>
      </c>
      <c r="E64" s="2631">
        <f t="shared" si="140"/>
        <v>138.00507614213197</v>
      </c>
      <c r="F64" s="2631">
        <f t="shared" si="140"/>
        <v>107.96106557377048</v>
      </c>
      <c r="G64" s="3454">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2615</v>
      </c>
      <c r="B65" s="2631">
        <f t="shared" si="139"/>
        <v>122.57204301075269</v>
      </c>
      <c r="C65" s="2631">
        <f t="shared" si="139"/>
        <v>123.4932735426009</v>
      </c>
      <c r="D65" s="2631">
        <f t="shared" si="109"/>
        <v>123.4932735426009</v>
      </c>
      <c r="E65" s="2631">
        <f t="shared" si="140"/>
        <v>129.82233502538071</v>
      </c>
      <c r="F65" s="2631">
        <f t="shared" si="140"/>
        <v>107.39446721311475</v>
      </c>
      <c r="G65" s="3457">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2616</v>
      </c>
      <c r="B66" s="2661">
        <v>121</v>
      </c>
      <c r="C66" s="2661">
        <v>122</v>
      </c>
      <c r="D66" s="2661">
        <f t="shared" si="109"/>
        <v>122</v>
      </c>
      <c r="E66" s="2661">
        <v>124</v>
      </c>
      <c r="F66" s="2662">
        <v>107</v>
      </c>
      <c r="G66" s="3456">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2617</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4">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2618</v>
      </c>
      <c r="B68" s="2631">
        <f t="shared" si="143"/>
        <v>116.99099099099099</v>
      </c>
      <c r="C68" s="2631">
        <f t="shared" si="143"/>
        <v>118.84848484848486</v>
      </c>
      <c r="D68" s="2631">
        <f t="shared" si="109"/>
        <v>118.84848484848486</v>
      </c>
      <c r="E68" s="2631">
        <f t="shared" si="144"/>
        <v>117.60960960960961</v>
      </c>
      <c r="F68" s="2631">
        <f t="shared" si="144"/>
        <v>104</v>
      </c>
      <c r="G68" s="3454">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2619</v>
      </c>
      <c r="B69" s="2664">
        <f t="shared" si="143"/>
        <v>112.48648648648648</v>
      </c>
      <c r="C69" s="2664">
        <f t="shared" si="143"/>
        <v>115.21212121212122</v>
      </c>
      <c r="D69" s="2664">
        <f t="shared" si="109"/>
        <v>115.21212121212122</v>
      </c>
      <c r="E69" s="2664">
        <f t="shared" si="144"/>
        <v>110.4024024024024</v>
      </c>
      <c r="F69" s="2664">
        <f t="shared" si="144"/>
        <v>104</v>
      </c>
      <c r="G69" s="3457">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2620</v>
      </c>
      <c r="B70" s="2682">
        <v>111</v>
      </c>
      <c r="C70" s="2682">
        <v>114</v>
      </c>
      <c r="D70" s="2682">
        <f t="shared" si="109"/>
        <v>114</v>
      </c>
      <c r="E70" s="2682">
        <v>108</v>
      </c>
      <c r="F70" s="2683">
        <v>104</v>
      </c>
      <c r="G70" s="3456">
        <v>2003</v>
      </c>
      <c r="H70" s="2672">
        <v>4</v>
      </c>
      <c r="I70" s="2684"/>
      <c r="J70" s="2684"/>
      <c r="K70" s="2684"/>
      <c r="L70" s="2684"/>
      <c r="N70" s="2685"/>
      <c r="O70" s="2684"/>
      <c r="P70" s="2684"/>
      <c r="Q70" s="2684"/>
      <c r="S70" s="2685"/>
      <c r="T70" s="2684"/>
      <c r="U70" s="2684"/>
      <c r="V70" s="2684"/>
      <c r="X70" s="2676"/>
      <c r="Y70" s="2676"/>
      <c r="Z70" s="2676"/>
    </row>
    <row r="71" spans="1:26">
      <c r="A71" s="2618" t="s">
        <v>2621</v>
      </c>
      <c r="B71" s="2686">
        <f t="shared" ref="B71:C73" si="145">B72+(B$70-B$74)/4</f>
        <v>109.75</v>
      </c>
      <c r="C71" s="2686">
        <f t="shared" si="145"/>
        <v>112.25</v>
      </c>
      <c r="D71" s="2686">
        <f t="shared" si="109"/>
        <v>112.25</v>
      </c>
      <c r="E71" s="2686">
        <f t="shared" ref="E71:F73" si="146">E72+(E$70-E$74)/4</f>
        <v>107.25</v>
      </c>
      <c r="F71" s="2686">
        <f t="shared" si="146"/>
        <v>103.5</v>
      </c>
      <c r="G71" s="3454">
        <v>2003</v>
      </c>
      <c r="H71" s="2642">
        <v>3</v>
      </c>
      <c r="I71" s="2684"/>
      <c r="J71" s="2684"/>
      <c r="K71" s="2684"/>
      <c r="L71" s="2684"/>
      <c r="X71" s="2676"/>
      <c r="Y71" s="2676"/>
      <c r="Z71" s="2676"/>
    </row>
    <row r="72" spans="1:26">
      <c r="A72" s="2618" t="s">
        <v>2622</v>
      </c>
      <c r="B72" s="2686">
        <f t="shared" si="145"/>
        <v>108.5</v>
      </c>
      <c r="C72" s="2686">
        <f t="shared" si="145"/>
        <v>110.5</v>
      </c>
      <c r="D72" s="2686">
        <f t="shared" si="109"/>
        <v>110.5</v>
      </c>
      <c r="E72" s="2686">
        <f t="shared" si="146"/>
        <v>106.5</v>
      </c>
      <c r="F72" s="2686">
        <f t="shared" si="146"/>
        <v>103</v>
      </c>
      <c r="G72" s="3454">
        <v>2003</v>
      </c>
      <c r="H72" s="2622">
        <v>2</v>
      </c>
      <c r="I72" s="2684"/>
      <c r="J72" s="2684"/>
      <c r="K72" s="2684"/>
      <c r="L72" s="2684"/>
      <c r="X72" s="2676"/>
      <c r="Y72" s="2676"/>
      <c r="Z72" s="2676"/>
    </row>
    <row r="73" spans="1:26" ht="13.8" thickBot="1">
      <c r="A73" s="2618" t="s">
        <v>2623</v>
      </c>
      <c r="B73" s="2686">
        <f t="shared" si="145"/>
        <v>107.25</v>
      </c>
      <c r="C73" s="2686">
        <f t="shared" si="145"/>
        <v>108.75</v>
      </c>
      <c r="D73" s="2686">
        <f t="shared" si="109"/>
        <v>108.75</v>
      </c>
      <c r="E73" s="2686">
        <f t="shared" si="146"/>
        <v>105.75</v>
      </c>
      <c r="F73" s="2686">
        <f t="shared" si="146"/>
        <v>102.5</v>
      </c>
      <c r="G73" s="3457">
        <v>2003</v>
      </c>
      <c r="H73" s="2687">
        <v>1</v>
      </c>
      <c r="I73" s="2684"/>
      <c r="J73" s="2684"/>
      <c r="K73" s="2684"/>
      <c r="L73" s="2684"/>
      <c r="S73" s="2626"/>
      <c r="T73" s="2627"/>
      <c r="U73" s="2627"/>
      <c r="X73" s="2676"/>
      <c r="Y73" s="2676"/>
      <c r="Z73" s="2676"/>
    </row>
    <row r="74" spans="1:26" ht="13.8" thickBot="1">
      <c r="A74" s="2618" t="s">
        <v>2624</v>
      </c>
      <c r="B74" s="2688">
        <v>106</v>
      </c>
      <c r="C74" s="2688">
        <v>107</v>
      </c>
      <c r="D74" s="2688">
        <f t="shared" si="109"/>
        <v>107</v>
      </c>
      <c r="E74" s="2688">
        <v>105</v>
      </c>
      <c r="F74" s="2689">
        <v>102</v>
      </c>
      <c r="G74" s="3456">
        <v>2002</v>
      </c>
      <c r="H74" s="2637">
        <v>4</v>
      </c>
      <c r="I74" s="2684"/>
      <c r="J74" s="2684"/>
      <c r="K74" s="2684"/>
      <c r="L74" s="2684"/>
      <c r="N74" s="2685"/>
      <c r="O74" s="2684"/>
      <c r="P74" s="2684"/>
      <c r="Q74" s="2684"/>
      <c r="S74" s="2685"/>
      <c r="T74" s="2684"/>
      <c r="U74" s="2684"/>
      <c r="V74" s="2684"/>
      <c r="X74" s="2676"/>
      <c r="Y74" s="2676"/>
      <c r="Z74" s="2676"/>
    </row>
    <row r="75" spans="1:26">
      <c r="A75" s="2618" t="s">
        <v>2625</v>
      </c>
      <c r="B75" s="2686">
        <f t="shared" ref="B75:C77" si="147">B76+(B$74-B$78)/4</f>
        <v>105</v>
      </c>
      <c r="C75" s="2686">
        <f t="shared" si="147"/>
        <v>106</v>
      </c>
      <c r="D75" s="2686">
        <f t="shared" si="109"/>
        <v>106</v>
      </c>
      <c r="E75" s="2686">
        <f t="shared" ref="E75:F77" si="148">E76+(E$74-E$78)/4</f>
        <v>104.5</v>
      </c>
      <c r="F75" s="2686">
        <f t="shared" si="148"/>
        <v>101.5</v>
      </c>
      <c r="G75" s="3454">
        <v>2002</v>
      </c>
      <c r="H75" s="2642">
        <v>3</v>
      </c>
      <c r="I75" s="2684"/>
      <c r="J75" s="2684"/>
      <c r="K75" s="2684"/>
      <c r="L75" s="2684"/>
      <c r="X75" s="2676"/>
      <c r="Y75" s="2676"/>
      <c r="Z75" s="2676"/>
    </row>
    <row r="76" spans="1:26">
      <c r="A76" s="2618" t="s">
        <v>2626</v>
      </c>
      <c r="B76" s="2686">
        <f t="shared" si="147"/>
        <v>104</v>
      </c>
      <c r="C76" s="2686">
        <f t="shared" si="147"/>
        <v>105</v>
      </c>
      <c r="D76" s="2686">
        <f t="shared" si="109"/>
        <v>105</v>
      </c>
      <c r="E76" s="2686">
        <f t="shared" si="148"/>
        <v>104</v>
      </c>
      <c r="F76" s="2686">
        <f t="shared" si="148"/>
        <v>101</v>
      </c>
      <c r="G76" s="3454">
        <v>2002</v>
      </c>
      <c r="H76" s="2622">
        <v>2</v>
      </c>
      <c r="I76" s="2684"/>
      <c r="J76" s="2684"/>
      <c r="K76" s="2684"/>
      <c r="L76" s="2684"/>
      <c r="X76" s="2676"/>
      <c r="Y76" s="2676"/>
      <c r="Z76" s="2676"/>
    </row>
    <row r="77" spans="1:26" s="2653" customFormat="1" ht="13.8" thickBot="1">
      <c r="A77" s="2649" t="s">
        <v>2627</v>
      </c>
      <c r="B77" s="2690">
        <f t="shared" si="147"/>
        <v>103</v>
      </c>
      <c r="C77" s="2690">
        <f t="shared" si="147"/>
        <v>104</v>
      </c>
      <c r="D77" s="2690">
        <f t="shared" si="109"/>
        <v>104</v>
      </c>
      <c r="E77" s="2690">
        <f t="shared" si="148"/>
        <v>103.5</v>
      </c>
      <c r="F77" s="2690">
        <f t="shared" si="148"/>
        <v>100.5</v>
      </c>
      <c r="G77" s="3457">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2628</v>
      </c>
      <c r="G80" s="2700"/>
      <c r="N80" s="2700"/>
      <c r="S80" s="2700"/>
    </row>
    <row r="81" spans="1:22" s="2699" customFormat="1">
      <c r="A81" s="2699" t="s">
        <v>2629</v>
      </c>
      <c r="G81" s="2700"/>
      <c r="N81" s="2700"/>
      <c r="S81" s="2700"/>
    </row>
    <row r="82" spans="1:22" s="2699" customFormat="1">
      <c r="A82" s="2699" t="s">
        <v>2630</v>
      </c>
      <c r="G82" s="2700"/>
      <c r="I82" s="2701"/>
      <c r="J82" s="2701"/>
      <c r="K82" s="2701"/>
      <c r="L82" s="2701"/>
      <c r="N82" s="2702"/>
      <c r="O82" s="2701"/>
      <c r="P82" s="2701"/>
      <c r="Q82" s="2701"/>
      <c r="S82" s="2702"/>
      <c r="T82" s="2701"/>
      <c r="U82" s="2701"/>
      <c r="V82" s="2701"/>
    </row>
    <row r="83" spans="1:22" s="2699" customFormat="1">
      <c r="A83" s="2699" t="s">
        <v>2631</v>
      </c>
      <c r="G83" s="2700"/>
      <c r="N83" s="2700"/>
      <c r="S83" s="2700"/>
    </row>
    <row r="90" spans="1:22" ht="13.8" thickBot="1"/>
    <row r="91" spans="1:22">
      <c r="G91" s="2625"/>
      <c r="S91" s="2703" t="s">
        <v>2632</v>
      </c>
      <c r="T91" s="2704" t="s">
        <v>2633</v>
      </c>
      <c r="U91" s="2704" t="s">
        <v>2634</v>
      </c>
      <c r="V91" s="2704" t="s">
        <v>2635</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2937</v>
      </c>
      <c r="B1" s="3052"/>
      <c r="C1" s="3052"/>
      <c r="D1" s="3052"/>
      <c r="E1" s="3052"/>
      <c r="F1" s="3052"/>
    </row>
    <row r="2" spans="1:6" ht="15.6">
      <c r="A2" s="3053" t="s">
        <v>2932</v>
      </c>
      <c r="B2" s="3054" t="e">
        <f ca="1">SUMIF(B7:B14,"&lt;&gt;#ref!",B7:B14)</f>
        <v>#DIV/0!</v>
      </c>
      <c r="C2" s="3053" t="s">
        <v>2933</v>
      </c>
      <c r="D2" s="3052"/>
      <c r="E2" s="3052"/>
      <c r="F2" s="3052"/>
    </row>
    <row r="3" spans="1:6" ht="15.6">
      <c r="A3" s="3053" t="s">
        <v>2965</v>
      </c>
      <c r="B3" s="3054" t="e">
        <f ca="1">ROUND(B2*10000/E3,0)</f>
        <v>#DIV/0!</v>
      </c>
      <c r="C3" s="3053" t="s">
        <v>2076</v>
      </c>
      <c r="D3" s="3053" t="s">
        <v>2934</v>
      </c>
      <c r="E3" s="3054">
        <f ca="1">SUMIF(E7:E14,"&lt;&gt;#ref!",E7:E14)</f>
        <v>0</v>
      </c>
      <c r="F3" s="3052"/>
    </row>
    <row r="4" spans="1:6" ht="15.6">
      <c r="A4" s="3053" t="s">
        <v>2941</v>
      </c>
      <c r="B4" s="3054" t="e">
        <f ca="1">ROUND(B2*10000/E4,0)</f>
        <v>#DIV/0!</v>
      </c>
      <c r="C4" s="3053" t="s">
        <v>2076</v>
      </c>
      <c r="D4" s="3053" t="s">
        <v>2942</v>
      </c>
      <c r="E4" s="3054">
        <f ca="1">SUMIF(F7:F14,"&lt;&gt;#ref!",F7:F14)</f>
        <v>0</v>
      </c>
      <c r="F4" s="3052"/>
    </row>
    <row r="5" spans="1:6" ht="15.6">
      <c r="A5" s="3055"/>
      <c r="B5" s="1865"/>
      <c r="C5" s="1865"/>
      <c r="D5" s="1865"/>
      <c r="E5" s="1865"/>
      <c r="F5" s="3052"/>
    </row>
    <row r="6" spans="1:6" ht="31.2">
      <c r="A6" s="3056" t="s">
        <v>2938</v>
      </c>
      <c r="B6" s="3053" t="s">
        <v>2935</v>
      </c>
      <c r="C6" s="3054"/>
      <c r="D6" s="1865"/>
      <c r="E6" s="3053" t="s">
        <v>2936</v>
      </c>
      <c r="F6" s="3053" t="s">
        <v>2940</v>
      </c>
    </row>
    <row r="7" spans="1:6" ht="15.6">
      <c r="A7" s="260" t="s">
        <v>2939</v>
      </c>
      <c r="B7" s="3057" t="e">
        <f ca="1">SUMIF(INDIRECT("'"&amp;A7&amp;"'"&amp;"!A:A"),"总价",INDIRECT("'"&amp;A7&amp;"'"&amp;"!B:B"))</f>
        <v>#DIV/0!</v>
      </c>
      <c r="C7" s="3053" t="s">
        <v>2933</v>
      </c>
      <c r="D7" s="1865"/>
      <c r="E7" s="3058">
        <f ca="1">SUMIF(INDIRECT("'"&amp;A7&amp;"'"&amp;"!C:C"),"建筑面积",INDIRECT("'"&amp;A7&amp;"'"&amp;"!D:D"))</f>
        <v>0</v>
      </c>
      <c r="F7" s="3058">
        <f ca="1">SUMIF(INDIRECT("'"&amp;A7&amp;"'"&amp;"!E:E"),"土地面积",INDIRECT("'"&amp;A7&amp;"'"&amp;"!F:F"))</f>
        <v>0</v>
      </c>
    </row>
    <row r="8" spans="1:6" ht="15.6">
      <c r="A8" s="260"/>
      <c r="B8" s="3057" t="e">
        <f t="shared" ref="B8:B14" ca="1" si="0">SUMIF(INDIRECT("'"&amp;A8&amp;"'"&amp;"!A:A"),"总价",INDIRECT("'"&amp;A8&amp;"'"&amp;"!B:B"))</f>
        <v>#REF!</v>
      </c>
      <c r="C8" s="3053" t="s">
        <v>2933</v>
      </c>
      <c r="D8" s="1865"/>
      <c r="E8" s="3058" t="e">
        <f t="shared" ref="E8:E14" ca="1" si="1">SUMIF(INDIRECT("'"&amp;A8&amp;"'"&amp;"!C:C"),"建筑面积",INDIRECT("'"&amp;A8&amp;"'"&amp;"!D:D"))</f>
        <v>#REF!</v>
      </c>
      <c r="F8" s="3058" t="e">
        <f t="shared" ref="F8:F14" ca="1" si="2">SUMIF(INDIRECT("'"&amp;A8&amp;"'"&amp;"!E:E"),"土地面积",INDIRECT("'"&amp;A8&amp;"'"&amp;"!F:F"))</f>
        <v>#REF!</v>
      </c>
    </row>
    <row r="9" spans="1:6" ht="15.6">
      <c r="A9" s="260"/>
      <c r="B9" s="3057" t="e">
        <f t="shared" ca="1" si="0"/>
        <v>#REF!</v>
      </c>
      <c r="C9" s="3053" t="s">
        <v>2933</v>
      </c>
      <c r="D9" s="1865"/>
      <c r="E9" s="3058" t="e">
        <f t="shared" ca="1" si="1"/>
        <v>#REF!</v>
      </c>
      <c r="F9" s="3058" t="e">
        <f t="shared" ca="1" si="2"/>
        <v>#REF!</v>
      </c>
    </row>
    <row r="10" spans="1:6" ht="15.6">
      <c r="A10" s="260"/>
      <c r="B10" s="3057" t="e">
        <f t="shared" ca="1" si="0"/>
        <v>#REF!</v>
      </c>
      <c r="C10" s="3053" t="s">
        <v>2933</v>
      </c>
      <c r="D10" s="1865"/>
      <c r="E10" s="3058" t="e">
        <f t="shared" ca="1" si="1"/>
        <v>#REF!</v>
      </c>
      <c r="F10" s="3058" t="e">
        <f t="shared" ca="1" si="2"/>
        <v>#REF!</v>
      </c>
    </row>
    <row r="11" spans="1:6" ht="15.6">
      <c r="A11" s="260"/>
      <c r="B11" s="3057" t="e">
        <f t="shared" ca="1" si="0"/>
        <v>#REF!</v>
      </c>
      <c r="C11" s="3053" t="s">
        <v>2933</v>
      </c>
      <c r="D11" s="1865"/>
      <c r="E11" s="3058" t="e">
        <f t="shared" ca="1" si="1"/>
        <v>#REF!</v>
      </c>
      <c r="F11" s="3058" t="e">
        <f t="shared" ca="1" si="2"/>
        <v>#REF!</v>
      </c>
    </row>
    <row r="12" spans="1:6" ht="15.6">
      <c r="A12" s="260"/>
      <c r="B12" s="3057" t="e">
        <f t="shared" ca="1" si="0"/>
        <v>#REF!</v>
      </c>
      <c r="C12" s="3053" t="s">
        <v>2933</v>
      </c>
      <c r="D12" s="1865"/>
      <c r="E12" s="3058" t="e">
        <f t="shared" ca="1" si="1"/>
        <v>#REF!</v>
      </c>
      <c r="F12" s="3058" t="e">
        <f t="shared" ca="1" si="2"/>
        <v>#REF!</v>
      </c>
    </row>
    <row r="13" spans="1:6" ht="15.6">
      <c r="A13" s="260"/>
      <c r="B13" s="3057" t="e">
        <f t="shared" ca="1" si="0"/>
        <v>#REF!</v>
      </c>
      <c r="C13" s="3053" t="s">
        <v>2933</v>
      </c>
      <c r="D13" s="1865"/>
      <c r="E13" s="3058" t="e">
        <f t="shared" ca="1" si="1"/>
        <v>#REF!</v>
      </c>
      <c r="F13" s="3058" t="e">
        <f t="shared" ca="1" si="2"/>
        <v>#REF!</v>
      </c>
    </row>
    <row r="14" spans="1:6" ht="15.6">
      <c r="A14" s="3051"/>
      <c r="B14" s="3057" t="e">
        <f t="shared" ca="1" si="0"/>
        <v>#REF!</v>
      </c>
      <c r="C14" s="3053" t="s">
        <v>2933</v>
      </c>
      <c r="D14" s="1865"/>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2020年5月18日（评估专业人员勘察现场之日）</v>
      </c>
    </row>
    <row r="12" spans="1:4" ht="17.399999999999999">
      <c r="A12" s="1781" t="s">
        <v>2023</v>
      </c>
    </row>
    <row r="13" spans="1:4" ht="17.399999999999999">
      <c r="A13" s="1775" t="s">
        <v>2930</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17.399999999999999">
      <c r="A21" s="1775" t="s">
        <v>2072</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5" t="s">
        <v>2461</v>
      </c>
      <c r="C8" s="1809">
        <f ca="1">ROUND(F8*F10*F9*(1-F11)/10000,0)</f>
        <v>0</v>
      </c>
      <c r="D8" s="1806" t="s">
        <v>2532</v>
      </c>
      <c r="E8" s="61" t="s">
        <v>637</v>
      </c>
      <c r="F8" s="785">
        <f ca="1">INDIRECT("'数据-取费表'!u"&amp;$G$1)</f>
        <v>0</v>
      </c>
      <c r="G8" s="1577"/>
      <c r="H8" s="2467" t="s">
        <v>1824</v>
      </c>
      <c r="I8" s="3465" t="s">
        <v>2461</v>
      </c>
      <c r="J8" s="783">
        <f ca="1">ROUND(M8*M10*M9*(1-M11)/10000,0)</f>
        <v>0</v>
      </c>
      <c r="K8" s="341" t="s">
        <v>2532</v>
      </c>
      <c r="L8" s="784" t="s">
        <v>1738</v>
      </c>
      <c r="M8" s="785">
        <f ca="1">INDIRECT("'数据-取费表'!z"&amp;$G$1)</f>
        <v>0</v>
      </c>
    </row>
    <row r="9" spans="1:25" ht="18" customHeight="1">
      <c r="A9" s="2463"/>
      <c r="B9" s="3466"/>
      <c r="C9" s="1810"/>
      <c r="D9" s="1807"/>
      <c r="E9" s="61" t="s">
        <v>638</v>
      </c>
      <c r="F9" s="785">
        <f ca="1">IF(INDIRECT("'数据-取费表'!ah"&amp;$G$1)="",INDIRECT("'数据-取费表'!k"&amp;$G$1),INDIRECT("'数据-取费表'!ah"&amp;$G$1))</f>
        <v>0</v>
      </c>
      <c r="G9" s="1577"/>
      <c r="H9" s="2452"/>
      <c r="I9" s="3466"/>
      <c r="J9" s="788"/>
      <c r="K9" s="789"/>
      <c r="L9" s="784" t="s">
        <v>1739</v>
      </c>
      <c r="M9" s="785">
        <f ca="1">F9</f>
        <v>0</v>
      </c>
    </row>
    <row r="10" spans="1:25" ht="18" customHeight="1">
      <c r="A10" s="2456"/>
      <c r="B10" s="3467"/>
      <c r="C10" s="1810"/>
      <c r="D10" s="1807"/>
      <c r="E10" s="61" t="s">
        <v>639</v>
      </c>
      <c r="F10" s="785">
        <f ca="1">INDIRECT("'数据-取费表'!ai"&amp;$G$1)</f>
        <v>0</v>
      </c>
      <c r="G10" s="1577"/>
      <c r="H10" s="2452"/>
      <c r="I10" s="3467"/>
      <c r="J10" s="788"/>
      <c r="K10" s="789"/>
      <c r="L10" s="784" t="s">
        <v>1740</v>
      </c>
      <c r="M10" s="785">
        <f ca="1">INDIRECT("'数据-取费表'!ai"&amp;$G$1)</f>
        <v>0</v>
      </c>
    </row>
    <row r="11" spans="1:25" ht="18" customHeight="1">
      <c r="A11" s="786"/>
      <c r="B11" s="3468"/>
      <c r="C11" s="1810"/>
      <c r="D11" s="1807"/>
      <c r="E11" s="61" t="s">
        <v>640</v>
      </c>
      <c r="F11" s="794">
        <f ca="1">INDIRECT("'数据-取费表'!w"&amp;$G$1)</f>
        <v>0</v>
      </c>
      <c r="G11" s="1577"/>
      <c r="H11" s="2468"/>
      <c r="I11" s="3467"/>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2962</v>
      </c>
      <c r="E12" s="2461" t="s">
        <v>2462</v>
      </c>
      <c r="F12" s="2584"/>
      <c r="G12" s="1577"/>
      <c r="H12" s="2524" t="s">
        <v>1825</v>
      </c>
      <c r="I12" s="2529" t="s">
        <v>2457</v>
      </c>
      <c r="J12" s="783">
        <f ca="1">ROUND(IF(M12="押一",J8/12*M13,IF(M12="押二",J8/12*2*M13,IF(M12="押三",J8/12*3*M13,J13*M13))),0)</f>
        <v>0</v>
      </c>
      <c r="K12" s="2464" t="s">
        <v>2962</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9</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9</v>
      </c>
      <c r="G36" s="2046"/>
      <c r="H36" s="2049"/>
      <c r="I36" s="3464"/>
      <c r="J36" s="2063"/>
      <c r="K36" s="2064"/>
      <c r="L36" s="2063"/>
      <c r="M36" s="2063"/>
    </row>
    <row r="37" spans="1:18" ht="18" customHeight="1">
      <c r="A37" s="815"/>
      <c r="B37" s="793"/>
      <c r="C37" s="69"/>
      <c r="D37" s="816"/>
      <c r="E37" s="784" t="s">
        <v>674</v>
      </c>
      <c r="F37" s="785">
        <f ca="1">INDIRECT("'数据-取费表'!r"&amp;$G$1)</f>
        <v>0</v>
      </c>
      <c r="G37" s="2046"/>
      <c r="H37" s="2049"/>
      <c r="I37" s="3464"/>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9" t="s">
        <v>2950</v>
      </c>
      <c r="F43" s="3070">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5">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1" t="s">
        <v>2953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3" t="str">
        <f ca="1">IF(M48="住宅",0,IF(L49&gt;J52,L61,J61))</f>
        <v>0</v>
      </c>
      <c r="O47" s="2357" t="s">
        <v>2408</v>
      </c>
      <c r="P47" s="1577"/>
      <c r="Q47" s="1588"/>
      <c r="R47" s="1577"/>
    </row>
    <row r="48" spans="1:18" s="2043" customFormat="1" ht="18" customHeight="1" thickBot="1">
      <c r="A48" s="2068"/>
      <c r="C48" s="2071"/>
      <c r="D48" s="2072"/>
      <c r="E48" s="2072"/>
      <c r="F48" s="2073"/>
      <c r="G48" s="2074"/>
      <c r="I48" s="3094" t="s">
        <v>2342</v>
      </c>
      <c r="J48" s="2344"/>
      <c r="K48" s="3100" t="s">
        <v>2347</v>
      </c>
      <c r="L48" s="3104">
        <f ca="1">INDIRECT("'数据-取费表'!d"&amp;$G$1)</f>
        <v>0</v>
      </c>
      <c r="M48" s="3068"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3" t="s">
        <v>2343</v>
      </c>
      <c r="J49" s="2345"/>
      <c r="K49" s="3101"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3" t="s">
        <v>2344</v>
      </c>
      <c r="J50" s="2346"/>
      <c r="K50" s="3102"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3" t="s">
        <v>2345</v>
      </c>
      <c r="J51" s="3098">
        <f>SUMPRODUCT((I64:I66=J48)*(J63:L63=J49)*(J64:L66))</f>
        <v>0</v>
      </c>
      <c r="K51" s="3102" t="s">
        <v>2351</v>
      </c>
      <c r="L51" s="2347"/>
      <c r="O51" s="2364" t="s">
        <v>2381</v>
      </c>
      <c r="P51" s="2362" t="s">
        <v>2405</v>
      </c>
      <c r="Q51" s="2363">
        <f ca="1">C31</f>
        <v>0</v>
      </c>
      <c r="R51" s="2362" t="s">
        <v>2378</v>
      </c>
    </row>
    <row r="52" spans="1:18" s="2043" customFormat="1" ht="18" customHeight="1" thickBot="1">
      <c r="A52" s="2080"/>
      <c r="F52" s="2069"/>
      <c r="I52" s="3095" t="s">
        <v>2346</v>
      </c>
      <c r="J52" s="3099">
        <f>IF(J50="",J51,J50+J51-YEAR('数据-取费表'!B3))</f>
        <v>0</v>
      </c>
      <c r="K52" s="3073" t="s">
        <v>2352</v>
      </c>
      <c r="L52" s="3105">
        <f ca="1">ROUND(-PV(INDIRECT("'数据-取费表'!h"&amp;$G$1),L49,(C40-C14*J36),0),0)</f>
        <v>0</v>
      </c>
      <c r="O52" s="2364" t="s">
        <v>2382</v>
      </c>
      <c r="P52" s="2362" t="s">
        <v>2383</v>
      </c>
      <c r="Q52" s="2365" t="e">
        <f ca="1">J59</f>
        <v>#VALUE!</v>
      </c>
      <c r="R52" s="2366"/>
    </row>
    <row r="53" spans="1:18" s="2043" customFormat="1" ht="18" customHeight="1" thickBot="1">
      <c r="A53" s="2080"/>
      <c r="F53" s="2069"/>
      <c r="I53" s="3096" t="s">
        <v>2419</v>
      </c>
      <c r="J53" s="2348"/>
      <c r="K53" s="3096" t="s">
        <v>2418</v>
      </c>
      <c r="L53" s="2348"/>
      <c r="O53" s="2364" t="s">
        <v>2384</v>
      </c>
      <c r="P53" s="2362" t="s">
        <v>2385</v>
      </c>
      <c r="Q53" s="2365">
        <f>J53</f>
        <v>0</v>
      </c>
      <c r="R53" s="2366"/>
    </row>
    <row r="54" spans="1:18" s="2043" customFormat="1" ht="31.8" thickBot="1">
      <c r="A54" s="2080"/>
      <c r="I54" s="3097" t="s">
        <v>2966</v>
      </c>
      <c r="J54" s="3176">
        <f ca="1">IF(M48="住宅",MAX(J52,L49-'数据-取费表'!B20),MIN(J52,L49-'数据-取费表'!B20))</f>
        <v>-2.5</v>
      </c>
      <c r="K54" s="3469"/>
      <c r="L54" s="3470"/>
      <c r="O54" s="2364" t="s">
        <v>2386</v>
      </c>
      <c r="P54" s="2362" t="s">
        <v>2387</v>
      </c>
      <c r="Q54" s="2363">
        <f ca="1">J54</f>
        <v>-2.5</v>
      </c>
      <c r="R54" s="2362" t="s">
        <v>2388</v>
      </c>
    </row>
    <row r="55" spans="1:18" s="2043" customFormat="1" ht="18" customHeight="1" thickBot="1">
      <c r="A55" s="2080"/>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1" t="s">
        <v>2389</v>
      </c>
      <c r="P55" s="2362" t="s">
        <v>2406</v>
      </c>
      <c r="Q55" s="2363">
        <f ca="1">Q49+Q50</f>
        <v>0</v>
      </c>
      <c r="R55" s="2366" t="s">
        <v>2390</v>
      </c>
    </row>
    <row r="56" spans="1:18" s="2043" customFormat="1" ht="16.2" thickBot="1">
      <c r="A56" s="2080"/>
      <c r="B56" s="2081"/>
      <c r="C56" s="2081"/>
      <c r="I56" s="3108" t="s">
        <v>2353</v>
      </c>
      <c r="J56" s="3048" t="e">
        <f ca="1">ROUND(IF(J48="钢混",J58/J51,1-(1-2%)*(J51-J58)/J51),3)</f>
        <v>#VALUE!</v>
      </c>
      <c r="K56" s="3109" t="s">
        <v>2354</v>
      </c>
      <c r="L56" s="2349"/>
      <c r="O56" s="2367" t="s">
        <v>2409</v>
      </c>
      <c r="P56" s="1577"/>
      <c r="Q56" s="1588"/>
      <c r="R56" s="1577"/>
    </row>
    <row r="57" spans="1:18" s="2043" customFormat="1" ht="47.4" thickBot="1">
      <c r="A57" s="2080"/>
      <c r="B57" s="2081"/>
      <c r="C57" s="2081"/>
      <c r="I57" s="3110" t="s">
        <v>2355</v>
      </c>
      <c r="J57" s="3120" t="s">
        <v>1678</v>
      </c>
      <c r="K57" s="3073" t="s">
        <v>2360</v>
      </c>
      <c r="L57" s="1892">
        <f ca="1">IF(L49&lt;J52,"——",L49-J52)</f>
        <v>0</v>
      </c>
      <c r="O57" s="2358" t="s">
        <v>2373</v>
      </c>
      <c r="P57" s="2359" t="s">
        <v>2374</v>
      </c>
      <c r="Q57" s="2360" t="s">
        <v>2375</v>
      </c>
      <c r="R57" s="2359" t="s">
        <v>2376</v>
      </c>
    </row>
    <row r="58" spans="1:18" s="2043" customFormat="1" ht="31.8" thickBot="1">
      <c r="A58" s="2080"/>
      <c r="B58" s="2081"/>
      <c r="C58" s="2081"/>
      <c r="I58" s="3111" t="s">
        <v>2356</v>
      </c>
      <c r="J58" s="3112" t="str">
        <f ca="1">IF(OR(M48="住宅",J52&lt;L49,J57="是"),"——",J52-L49)</f>
        <v>——</v>
      </c>
      <c r="K58" s="3073"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1" t="s">
        <v>2357</v>
      </c>
      <c r="J59" s="3049" t="e">
        <f ca="1">IF(J56&lt;0.4,0.4,J56)</f>
        <v>#VALUE!</v>
      </c>
      <c r="K59" s="3073"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1" t="s">
        <v>2358</v>
      </c>
      <c r="J60" s="3112" t="str">
        <f ca="1">IF(OR(M48="住宅",J52&lt;L49,J57="是"),"——",ROUND(C30*J59,0))</f>
        <v>——</v>
      </c>
      <c r="K60" s="3073"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3" t="s">
        <v>2359</v>
      </c>
      <c r="J61" s="3114" t="str">
        <f ca="1">IF(OR(M48="住宅",J52&lt;L49,J57="是"),"0",ROUND(J60/(1+J53)^J54,0))</f>
        <v>0</v>
      </c>
      <c r="K61" s="3115" t="s">
        <v>2364</v>
      </c>
      <c r="L61" s="3114"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6" t="s">
        <v>2365</v>
      </c>
      <c r="J63" s="3117" t="s">
        <v>2366</v>
      </c>
      <c r="K63" s="3117" t="s">
        <v>2367</v>
      </c>
      <c r="L63" s="3117" t="s">
        <v>2348</v>
      </c>
      <c r="M63" s="3118" t="s">
        <v>2931</v>
      </c>
      <c r="O63" s="2364" t="s">
        <v>2386</v>
      </c>
      <c r="P63" s="2362" t="s">
        <v>2394</v>
      </c>
      <c r="Q63" s="2363">
        <f ca="1">L60</f>
        <v>0</v>
      </c>
      <c r="R63" s="2366" t="s">
        <v>2395</v>
      </c>
    </row>
    <row r="64" spans="1:18" s="2043" customFormat="1" ht="16.2" thickBot="1">
      <c r="A64" s="2080"/>
      <c r="B64" s="2081"/>
      <c r="C64" s="2081"/>
      <c r="I64" s="3116" t="s">
        <v>2368</v>
      </c>
      <c r="J64" s="3117">
        <v>70</v>
      </c>
      <c r="K64" s="3117">
        <v>50</v>
      </c>
      <c r="L64" s="3117">
        <v>80</v>
      </c>
      <c r="M64" s="3119">
        <v>0.02</v>
      </c>
      <c r="O64" s="2361" t="s">
        <v>2389</v>
      </c>
      <c r="P64" s="2362" t="s">
        <v>2406</v>
      </c>
      <c r="Q64" s="2363" t="e">
        <f ca="1">Q58+Q59</f>
        <v>#DIV/0!</v>
      </c>
      <c r="R64" s="2366" t="s">
        <v>2390</v>
      </c>
    </row>
    <row r="65" spans="1:18" s="2043" customFormat="1" ht="16.2" thickBot="1">
      <c r="A65" s="2080"/>
      <c r="B65" s="2081"/>
      <c r="C65" s="2081"/>
      <c r="I65" s="3116" t="s">
        <v>2369</v>
      </c>
      <c r="J65" s="3117">
        <v>50</v>
      </c>
      <c r="K65" s="3117">
        <v>35</v>
      </c>
      <c r="L65" s="3117">
        <v>60</v>
      </c>
      <c r="M65" s="846">
        <v>0</v>
      </c>
      <c r="O65" s="2367" t="s">
        <v>2413</v>
      </c>
      <c r="P65" s="1577"/>
      <c r="Q65" s="1588"/>
      <c r="R65" s="1577"/>
    </row>
    <row r="66" spans="1:18" s="2043" customFormat="1" ht="16.2" thickBot="1">
      <c r="A66" s="2080"/>
      <c r="B66" s="2081"/>
      <c r="C66" s="2081"/>
      <c r="I66" s="3116" t="s">
        <v>2370</v>
      </c>
      <c r="J66" s="3117">
        <v>40</v>
      </c>
      <c r="K66" s="3117">
        <v>30</v>
      </c>
      <c r="L66" s="3117">
        <v>50</v>
      </c>
      <c r="M66" s="3119">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5.44140625" style="1333" customWidth="1"/>
    <col min="6" max="6" width="12.21875" style="1333" customWidth="1"/>
    <col min="7" max="7" width="15.44140625" style="1333" customWidth="1"/>
    <col min="8" max="8" width="12.21875" style="1333" customWidth="1"/>
    <col min="9" max="9" width="15.5546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t="s">
        <v>923</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226533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11391</v>
      </c>
      <c r="C3" s="852" t="s">
        <v>722</v>
      </c>
      <c r="D3" s="851">
        <f>SUMIF('数据-汇总表'!$C19:$C33,D1,'数据-汇总表'!$E19:$E33)</f>
        <v>198870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83" t="s">
        <v>522</v>
      </c>
      <c r="D4" s="3384"/>
      <c r="E4" s="3418" t="s">
        <v>523</v>
      </c>
      <c r="F4" s="3419"/>
      <c r="G4" s="3383" t="s">
        <v>524</v>
      </c>
      <c r="H4" s="3384"/>
      <c r="I4" s="3383" t="s">
        <v>525</v>
      </c>
      <c r="J4" s="3384"/>
      <c r="K4" s="853"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80" t="s">
        <v>524</v>
      </c>
      <c r="AC4" s="3380" t="s">
        <v>525</v>
      </c>
    </row>
    <row r="5" spans="1:29" ht="14.4" thickBot="1">
      <c r="A5" s="515"/>
      <c r="B5" s="516"/>
      <c r="C5" s="3401" t="s">
        <v>2918</v>
      </c>
      <c r="D5" s="3400"/>
      <c r="E5" s="3474" t="s">
        <v>3292</v>
      </c>
      <c r="F5" s="3421"/>
      <c r="G5" s="3399" t="s">
        <v>3293</v>
      </c>
      <c r="H5" s="3400"/>
      <c r="I5" s="3399" t="s">
        <v>3294</v>
      </c>
      <c r="J5" s="3400"/>
      <c r="K5" s="854"/>
      <c r="L5" s="2117"/>
      <c r="M5" s="2118"/>
      <c r="N5" s="2118"/>
      <c r="O5" s="2118"/>
      <c r="P5" s="3387"/>
      <c r="Q5" s="3388"/>
      <c r="R5" s="3393"/>
      <c r="S5" s="3394"/>
      <c r="T5" s="3393"/>
      <c r="U5" s="3394"/>
      <c r="V5" s="3378"/>
      <c r="W5" s="3378"/>
      <c r="X5" s="1552"/>
      <c r="Y5" s="3393"/>
      <c r="Z5" s="3394"/>
      <c r="AA5" s="3381"/>
      <c r="AB5" s="3381"/>
      <c r="AC5" s="3381"/>
    </row>
    <row r="6" spans="1:29" ht="15" hidden="1" thickBot="1">
      <c r="A6" s="517"/>
      <c r="B6" s="518"/>
      <c r="C6" s="3397"/>
      <c r="D6" s="3398"/>
      <c r="E6" s="3416"/>
      <c r="F6" s="3417"/>
      <c r="G6" s="3397"/>
      <c r="H6" s="3398"/>
      <c r="I6" s="3397"/>
      <c r="J6" s="3398"/>
      <c r="K6" s="854" t="s">
        <v>528</v>
      </c>
      <c r="L6" s="2117"/>
      <c r="M6" s="2118"/>
      <c r="N6" s="2118"/>
      <c r="O6" s="2118"/>
      <c r="P6" s="3389"/>
      <c r="Q6" s="3390"/>
      <c r="R6" s="3393"/>
      <c r="S6" s="3394"/>
      <c r="T6" s="3395"/>
      <c r="U6" s="3396"/>
      <c r="V6" s="3378"/>
      <c r="W6" s="3378"/>
      <c r="X6" s="1552"/>
      <c r="Y6" s="3395"/>
      <c r="Z6" s="3396"/>
      <c r="AA6" s="3382"/>
      <c r="AB6" s="3382"/>
      <c r="AC6" s="3382"/>
    </row>
    <row r="7" spans="1:29" s="1216" customFormat="1" ht="1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409" t="s">
        <v>530</v>
      </c>
      <c r="Q7" s="3411"/>
      <c r="R7" s="1553" t="s">
        <v>13</v>
      </c>
      <c r="S7" s="1554">
        <f t="shared" ref="S7:S15" si="0">F7</f>
        <v>100</v>
      </c>
      <c r="T7" s="1553" t="s">
        <v>13</v>
      </c>
      <c r="U7" s="1554">
        <f t="shared" ref="U7:U15" si="1">H7</f>
        <v>100</v>
      </c>
      <c r="V7" s="1553" t="s">
        <v>13</v>
      </c>
      <c r="W7" s="1554">
        <f t="shared" ref="W7:W15" si="2">J7</f>
        <v>100</v>
      </c>
      <c r="X7" s="1555"/>
      <c r="Y7" s="3409" t="s">
        <v>530</v>
      </c>
      <c r="Z7" s="3410"/>
      <c r="AA7" s="1556">
        <f>D7/F7</f>
        <v>1</v>
      </c>
      <c r="AB7" s="1556">
        <f>D7/H7</f>
        <v>1</v>
      </c>
      <c r="AC7" s="1556">
        <f>D7/J7</f>
        <v>1</v>
      </c>
    </row>
    <row r="8" spans="1:29" s="1216" customFormat="1" ht="1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409" t="s">
        <v>533</v>
      </c>
      <c r="Q8" s="3410"/>
      <c r="R8" s="1553" t="s">
        <v>13</v>
      </c>
      <c r="S8" s="1554">
        <f t="shared" si="0"/>
        <v>100</v>
      </c>
      <c r="T8" s="1553" t="s">
        <v>13</v>
      </c>
      <c r="U8" s="1554">
        <f t="shared" si="1"/>
        <v>100</v>
      </c>
      <c r="V8" s="1553" t="s">
        <v>13</v>
      </c>
      <c r="W8" s="1554">
        <f t="shared" si="2"/>
        <v>100</v>
      </c>
      <c r="X8" s="1555"/>
      <c r="Y8" s="3409" t="s">
        <v>533</v>
      </c>
      <c r="Z8" s="3410"/>
      <c r="AA8" s="1556">
        <f t="shared" ref="AA8:AA46" si="3">D8/F8</f>
        <v>1</v>
      </c>
      <c r="AB8" s="1556">
        <f t="shared" ref="AB8:AB46" si="4">D8/H8</f>
        <v>1</v>
      </c>
      <c r="AC8" s="1556">
        <f t="shared" ref="AC8:AC46" si="5">D8/J8</f>
        <v>1</v>
      </c>
    </row>
    <row r="9" spans="1:29" s="1216" customFormat="1" ht="14.4">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77" t="s">
        <v>535</v>
      </c>
      <c r="Q9" s="1147" t="str">
        <f t="shared" ref="Q9:Q15" si="6">B9</f>
        <v>用途</v>
      </c>
      <c r="R9" s="1553" t="s">
        <v>8</v>
      </c>
      <c r="S9" s="1554">
        <f t="shared" si="0"/>
        <v>100</v>
      </c>
      <c r="T9" s="1553" t="s">
        <v>8</v>
      </c>
      <c r="U9" s="1554">
        <f t="shared" si="1"/>
        <v>100</v>
      </c>
      <c r="V9" s="1553" t="s">
        <v>8</v>
      </c>
      <c r="W9" s="1554">
        <f t="shared" si="2"/>
        <v>100</v>
      </c>
      <c r="X9" s="1555"/>
      <c r="Y9" s="3323" t="s">
        <v>536</v>
      </c>
      <c r="Z9" s="1146" t="str">
        <f t="shared" ref="Z9:Z15" si="7">Q9</f>
        <v>用途</v>
      </c>
      <c r="AA9" s="1556">
        <f t="shared" si="3"/>
        <v>1</v>
      </c>
      <c r="AB9" s="1556">
        <f t="shared" si="4"/>
        <v>1</v>
      </c>
      <c r="AC9" s="1556">
        <f t="shared" si="5"/>
        <v>1</v>
      </c>
    </row>
    <row r="10" spans="1:29" s="1334" customFormat="1" ht="28.8">
      <c r="A10" s="2869"/>
      <c r="B10" s="2874" t="s">
        <v>2754</v>
      </c>
      <c r="C10" s="861" t="s">
        <v>3251</v>
      </c>
      <c r="D10" s="255">
        <v>100</v>
      </c>
      <c r="E10" s="862" t="s">
        <v>3250</v>
      </c>
      <c r="F10" s="863">
        <f>SUMIF(65:65,E10,66:66)-SUMIF(65:65,C10,66:66)+100</f>
        <v>101</v>
      </c>
      <c r="G10" s="861" t="s">
        <v>3250</v>
      </c>
      <c r="H10" s="255">
        <f>SUMIF(65:65,G10,66:66)-SUMIF(65:65,C10,66:66)+100</f>
        <v>101</v>
      </c>
      <c r="I10" s="861" t="s">
        <v>3250</v>
      </c>
      <c r="J10" s="255">
        <f>SUMIF(65:65,I10,66:66)-SUMIF(65:65,C10,66:66)+100</f>
        <v>101</v>
      </c>
      <c r="K10" s="864">
        <v>1</v>
      </c>
      <c r="L10" s="2122"/>
      <c r="M10" s="2162"/>
      <c r="N10" s="2162"/>
      <c r="O10" s="2123"/>
      <c r="P10" s="3377"/>
      <c r="Q10" s="1147" t="str">
        <f t="shared" si="6"/>
        <v>土地使用年限（年）</v>
      </c>
      <c r="R10" s="1553" t="s">
        <v>8</v>
      </c>
      <c r="S10" s="1554">
        <f t="shared" si="0"/>
        <v>101</v>
      </c>
      <c r="T10" s="1553" t="s">
        <v>8</v>
      </c>
      <c r="U10" s="1554">
        <f t="shared" si="1"/>
        <v>101</v>
      </c>
      <c r="V10" s="1553" t="s">
        <v>8</v>
      </c>
      <c r="W10" s="1554">
        <f t="shared" si="2"/>
        <v>101</v>
      </c>
      <c r="X10" s="1555"/>
      <c r="Y10" s="3323"/>
      <c r="Z10" s="1146" t="str">
        <f t="shared" si="7"/>
        <v>土地使用年限（年）</v>
      </c>
      <c r="AA10" s="1556">
        <f t="shared" si="3"/>
        <v>0.99009900990099009</v>
      </c>
      <c r="AB10" s="1556">
        <f t="shared" si="4"/>
        <v>0.99009900990099009</v>
      </c>
      <c r="AC10" s="1556">
        <f t="shared" si="5"/>
        <v>0.99009900990099009</v>
      </c>
    </row>
    <row r="11" spans="1:29" ht="15.6" thickBot="1">
      <c r="A11" s="2870"/>
      <c r="B11" s="2874" t="s">
        <v>2755</v>
      </c>
      <c r="C11" s="533">
        <f>'数据-汇总表'!I6</f>
        <v>4.1900000000000004</v>
      </c>
      <c r="D11" s="255">
        <v>100</v>
      </c>
      <c r="E11" s="534">
        <v>3.03</v>
      </c>
      <c r="F11" s="863">
        <f>LOOKUP(E11,68:68,69:69)-LOOKUP(C11,68:68,69:69)+100</f>
        <v>102</v>
      </c>
      <c r="G11" s="533">
        <v>1.8</v>
      </c>
      <c r="H11" s="255">
        <f>LOOKUP(G11,68:68,69:69)-LOOKUP(C11,68:68,69:69)+100</f>
        <v>106</v>
      </c>
      <c r="I11" s="533">
        <v>1.8</v>
      </c>
      <c r="J11" s="255">
        <f>LOOKUP(I11,68:68,69:69)-LOOKUP(C11,68:68,69:69)+100</f>
        <v>106</v>
      </c>
      <c r="K11" s="864">
        <v>2</v>
      </c>
      <c r="L11" s="2124"/>
      <c r="M11" s="2118"/>
      <c r="N11" s="2118"/>
      <c r="O11" s="2125"/>
      <c r="P11" s="3377"/>
      <c r="Q11" s="1147" t="str">
        <f t="shared" si="6"/>
        <v>容积率</v>
      </c>
      <c r="R11" s="1553" t="s">
        <v>11</v>
      </c>
      <c r="S11" s="1554">
        <f t="shared" si="0"/>
        <v>102</v>
      </c>
      <c r="T11" s="1553" t="s">
        <v>11</v>
      </c>
      <c r="U11" s="1554">
        <f t="shared" si="1"/>
        <v>106</v>
      </c>
      <c r="V11" s="1553" t="s">
        <v>11</v>
      </c>
      <c r="W11" s="1554">
        <f t="shared" si="2"/>
        <v>106</v>
      </c>
      <c r="X11" s="1555"/>
      <c r="Y11" s="3323"/>
      <c r="Z11" s="1146" t="str">
        <f t="shared" si="7"/>
        <v>容积率</v>
      </c>
      <c r="AA11" s="1556">
        <f t="shared" si="3"/>
        <v>0.98039215686274506</v>
      </c>
      <c r="AB11" s="1556">
        <f t="shared" si="4"/>
        <v>0.94339622641509435</v>
      </c>
      <c r="AC11" s="1556">
        <f t="shared" si="5"/>
        <v>0.94339622641509435</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7"/>
      <c r="Q12" s="1147">
        <f t="shared" si="6"/>
        <v>111</v>
      </c>
      <c r="R12" s="1553" t="s">
        <v>11</v>
      </c>
      <c r="S12" s="1554">
        <f t="shared" si="0"/>
        <v>100</v>
      </c>
      <c r="T12" s="1553" t="s">
        <v>11</v>
      </c>
      <c r="U12" s="1554">
        <f t="shared" si="1"/>
        <v>100</v>
      </c>
      <c r="V12" s="1553" t="s">
        <v>11</v>
      </c>
      <c r="W12" s="1554">
        <f t="shared" si="2"/>
        <v>100</v>
      </c>
      <c r="X12" s="1555"/>
      <c r="Y12" s="3323"/>
      <c r="Z12" s="1146">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7"/>
      <c r="Q13" s="1147">
        <f t="shared" si="6"/>
        <v>111</v>
      </c>
      <c r="R13" s="1553" t="s">
        <v>11</v>
      </c>
      <c r="S13" s="1554">
        <f t="shared" si="0"/>
        <v>100</v>
      </c>
      <c r="T13" s="1553" t="s">
        <v>11</v>
      </c>
      <c r="U13" s="1554">
        <f t="shared" si="1"/>
        <v>100</v>
      </c>
      <c r="V13" s="1553" t="s">
        <v>11</v>
      </c>
      <c r="W13" s="1554">
        <f t="shared" si="2"/>
        <v>100</v>
      </c>
      <c r="X13" s="1555"/>
      <c r="Y13" s="3323"/>
      <c r="Z13" s="114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7"/>
      <c r="Q14" s="1147">
        <f t="shared" si="6"/>
        <v>111</v>
      </c>
      <c r="R14" s="1553" t="s">
        <v>11</v>
      </c>
      <c r="S14" s="1554">
        <f t="shared" si="0"/>
        <v>100</v>
      </c>
      <c r="T14" s="1553" t="s">
        <v>11</v>
      </c>
      <c r="U14" s="1554">
        <f t="shared" si="1"/>
        <v>100</v>
      </c>
      <c r="V14" s="1553" t="s">
        <v>11</v>
      </c>
      <c r="W14" s="1554">
        <f t="shared" si="2"/>
        <v>100</v>
      </c>
      <c r="X14" s="1555"/>
      <c r="Y14" s="3323"/>
      <c r="Z14" s="1146">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104</v>
      </c>
      <c r="G15" s="552"/>
      <c r="H15" s="549">
        <f>SUMIF(76:76,G16,77:77)-SUMIF(76:76,C16,77:77)+100</f>
        <v>96</v>
      </c>
      <c r="I15" s="550"/>
      <c r="J15" s="549">
        <f>SUMIF(76:76,I16,77:77)-SUMIF(76:76,C16,77:77)+100</f>
        <v>100</v>
      </c>
      <c r="K15" s="868">
        <v>4</v>
      </c>
      <c r="L15" s="2126"/>
      <c r="M15" s="2118"/>
      <c r="N15" s="2118"/>
      <c r="O15" s="2125"/>
      <c r="P15" s="3412" t="s">
        <v>540</v>
      </c>
      <c r="Q15" s="1557" t="str">
        <f t="shared" si="6"/>
        <v>居住社区成熟度</v>
      </c>
      <c r="R15" s="1558" t="s">
        <v>11</v>
      </c>
      <c r="S15" s="1559">
        <f t="shared" si="0"/>
        <v>104</v>
      </c>
      <c r="T15" s="1558" t="s">
        <v>11</v>
      </c>
      <c r="U15" s="1559">
        <f t="shared" si="1"/>
        <v>96</v>
      </c>
      <c r="V15" s="1558" t="s">
        <v>11</v>
      </c>
      <c r="W15" s="1559">
        <f t="shared" si="2"/>
        <v>100</v>
      </c>
      <c r="X15" s="1552"/>
      <c r="Y15" s="3412" t="s">
        <v>540</v>
      </c>
      <c r="Z15" s="1560" t="str">
        <f t="shared" si="7"/>
        <v>居住社区成熟度</v>
      </c>
      <c r="AA15" s="1561">
        <f t="shared" si="3"/>
        <v>0.96153846153846156</v>
      </c>
      <c r="AB15" s="1561">
        <f t="shared" si="4"/>
        <v>1.0416666666666667</v>
      </c>
      <c r="AC15" s="1561">
        <f t="shared" si="5"/>
        <v>1</v>
      </c>
    </row>
    <row r="16" spans="1:29" ht="15">
      <c r="A16" s="532"/>
      <c r="B16" s="869"/>
      <c r="C16" s="576" t="s">
        <v>3241</v>
      </c>
      <c r="D16" s="555"/>
      <c r="E16" s="556" t="s">
        <v>3242</v>
      </c>
      <c r="F16" s="557"/>
      <c r="G16" s="558" t="s">
        <v>3279</v>
      </c>
      <c r="H16" s="559"/>
      <c r="I16" s="556" t="s">
        <v>3241</v>
      </c>
      <c r="J16" s="555"/>
      <c r="K16" s="870"/>
      <c r="L16" s="2126"/>
      <c r="M16" s="2118"/>
      <c r="N16" s="2118"/>
      <c r="O16" s="2125"/>
      <c r="P16" s="3413"/>
      <c r="Q16" s="1557"/>
      <c r="R16" s="1558"/>
      <c r="S16" s="1559"/>
      <c r="T16" s="1558"/>
      <c r="U16" s="1559"/>
      <c r="V16" s="1558"/>
      <c r="W16" s="1559"/>
      <c r="X16" s="1552"/>
      <c r="Y16" s="3413"/>
      <c r="Z16" s="1560"/>
      <c r="AA16" s="1561">
        <v>1</v>
      </c>
      <c r="AB16" s="1561">
        <v>1</v>
      </c>
      <c r="AC16" s="1561">
        <v>1</v>
      </c>
    </row>
    <row r="17" spans="1:29" ht="15">
      <c r="A17" s="532"/>
      <c r="B17" s="871" t="s">
        <v>296</v>
      </c>
      <c r="C17" s="872">
        <f>估价对象房地状况!C6</f>
        <v>0</v>
      </c>
      <c r="D17" s="559">
        <v>100</v>
      </c>
      <c r="E17" s="562"/>
      <c r="F17" s="563">
        <f>SUMIF(78:78,E18,79:79)-SUMIF(78:78,C18,79:79)+100</f>
        <v>104</v>
      </c>
      <c r="G17" s="564"/>
      <c r="H17" s="565">
        <f>SUMIF(78:78,G18,79:79)-SUMIF(78:78,C18,79:79)+100</f>
        <v>100</v>
      </c>
      <c r="I17" s="562"/>
      <c r="J17" s="565">
        <f>SUMIF(78:78,I18,79:79)-SUMIF(78:78,C18,79:79)+100</f>
        <v>100</v>
      </c>
      <c r="K17" s="868">
        <v>4</v>
      </c>
      <c r="L17" s="2126"/>
      <c r="M17" s="2118"/>
      <c r="N17" s="2118"/>
      <c r="O17" s="2125"/>
      <c r="P17" s="3413"/>
      <c r="Q17" s="1557" t="str">
        <f>B17</f>
        <v>交通便捷度</v>
      </c>
      <c r="R17" s="1558" t="s">
        <v>11</v>
      </c>
      <c r="S17" s="1559">
        <f>F17</f>
        <v>104</v>
      </c>
      <c r="T17" s="1558" t="s">
        <v>11</v>
      </c>
      <c r="U17" s="1559">
        <f>H17</f>
        <v>100</v>
      </c>
      <c r="V17" s="1558" t="s">
        <v>11</v>
      </c>
      <c r="W17" s="1559">
        <f>J17</f>
        <v>100</v>
      </c>
      <c r="X17" s="1552"/>
      <c r="Y17" s="3413"/>
      <c r="Z17" s="1560" t="str">
        <f>Q17</f>
        <v>交通便捷度</v>
      </c>
      <c r="AA17" s="1561">
        <f t="shared" si="3"/>
        <v>0.96153846153846156</v>
      </c>
      <c r="AB17" s="1561">
        <f t="shared" si="4"/>
        <v>1</v>
      </c>
      <c r="AC17" s="1561">
        <f t="shared" si="5"/>
        <v>1</v>
      </c>
    </row>
    <row r="18" spans="1:29" ht="15">
      <c r="A18" s="532"/>
      <c r="B18" s="595"/>
      <c r="C18" s="873" t="s">
        <v>3241</v>
      </c>
      <c r="D18" s="559"/>
      <c r="E18" s="568" t="s">
        <v>3242</v>
      </c>
      <c r="F18" s="563"/>
      <c r="G18" s="569" t="s">
        <v>3241</v>
      </c>
      <c r="H18" s="555"/>
      <c r="I18" s="568" t="s">
        <v>3241</v>
      </c>
      <c r="J18" s="555"/>
      <c r="K18" s="870"/>
      <c r="L18" s="2126"/>
      <c r="M18" s="2118"/>
      <c r="N18" s="2118"/>
      <c r="O18" s="2125"/>
      <c r="P18" s="3413"/>
      <c r="Q18" s="1557"/>
      <c r="R18" s="1558"/>
      <c r="S18" s="1559"/>
      <c r="T18" s="1558"/>
      <c r="U18" s="1559"/>
      <c r="V18" s="1558"/>
      <c r="W18" s="1559"/>
      <c r="X18" s="1552"/>
      <c r="Y18" s="3413"/>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4</v>
      </c>
      <c r="L19" s="2126"/>
      <c r="M19" s="2118"/>
      <c r="N19" s="2118"/>
      <c r="O19" s="2125"/>
      <c r="P19" s="3413"/>
      <c r="Q19" s="1557" t="str">
        <f>B19</f>
        <v>公共配套设施</v>
      </c>
      <c r="R19" s="1558" t="s">
        <v>11</v>
      </c>
      <c r="S19" s="1559">
        <f>F19</f>
        <v>100</v>
      </c>
      <c r="T19" s="1558" t="s">
        <v>11</v>
      </c>
      <c r="U19" s="1559">
        <f>H19</f>
        <v>100</v>
      </c>
      <c r="V19" s="1558" t="s">
        <v>11</v>
      </c>
      <c r="W19" s="1559">
        <f>J19</f>
        <v>100</v>
      </c>
      <c r="X19" s="1552"/>
      <c r="Y19" s="3413"/>
      <c r="Z19" s="1560" t="str">
        <f>Q19</f>
        <v>公共配套设施</v>
      </c>
      <c r="AA19" s="1561">
        <f t="shared" si="3"/>
        <v>1</v>
      </c>
      <c r="AB19" s="1561">
        <f t="shared" si="4"/>
        <v>1</v>
      </c>
      <c r="AC19" s="1561">
        <f t="shared" si="5"/>
        <v>1</v>
      </c>
    </row>
    <row r="20" spans="1:29" ht="15">
      <c r="A20" s="532"/>
      <c r="B20" s="595"/>
      <c r="C20" s="576" t="s">
        <v>3241</v>
      </c>
      <c r="D20" s="555"/>
      <c r="E20" s="556" t="s">
        <v>3241</v>
      </c>
      <c r="F20" s="557"/>
      <c r="G20" s="558" t="s">
        <v>3241</v>
      </c>
      <c r="H20" s="555"/>
      <c r="I20" s="556" t="s">
        <v>3241</v>
      </c>
      <c r="J20" s="555"/>
      <c r="K20" s="870"/>
      <c r="L20" s="2126"/>
      <c r="M20" s="2118"/>
      <c r="N20" s="2118"/>
      <c r="O20" s="2125"/>
      <c r="P20" s="3413"/>
      <c r="Q20" s="1557"/>
      <c r="R20" s="1558"/>
      <c r="S20" s="1559"/>
      <c r="T20" s="1558"/>
      <c r="U20" s="1559"/>
      <c r="V20" s="1558"/>
      <c r="W20" s="1559"/>
      <c r="X20" s="1552"/>
      <c r="Y20" s="3413"/>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3"/>
      <c r="Q21" s="2542" t="str">
        <f>B21</f>
        <v>基础设施水平</v>
      </c>
      <c r="R21" s="1558" t="s">
        <v>11</v>
      </c>
      <c r="S21" s="1559">
        <f>F21</f>
        <v>100</v>
      </c>
      <c r="T21" s="1558" t="s">
        <v>11</v>
      </c>
      <c r="U21" s="1559">
        <f>H21</f>
        <v>100</v>
      </c>
      <c r="V21" s="1558" t="s">
        <v>11</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413"/>
      <c r="Q22" s="2542"/>
      <c r="R22" s="1558"/>
      <c r="S22" s="1559"/>
      <c r="T22" s="1558"/>
      <c r="U22" s="1559"/>
      <c r="V22" s="1558"/>
      <c r="W22" s="1559"/>
      <c r="X22" s="2544"/>
      <c r="Y22" s="3413"/>
      <c r="Z22" s="2543"/>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96</v>
      </c>
      <c r="I23" s="562"/>
      <c r="J23" s="559">
        <f>SUMIF(84:84,I24,85:85)-SUMIF(84:84,C24,85:85)+100</f>
        <v>104</v>
      </c>
      <c r="K23" s="868">
        <v>4</v>
      </c>
      <c r="L23" s="2126"/>
      <c r="M23" s="2118"/>
      <c r="N23" s="2118"/>
      <c r="O23" s="2125"/>
      <c r="P23" s="3413"/>
      <c r="Q23" s="1557" t="str">
        <f>B23</f>
        <v>自然及人文环境</v>
      </c>
      <c r="R23" s="1558" t="s">
        <v>11</v>
      </c>
      <c r="S23" s="1559">
        <f>F23</f>
        <v>100</v>
      </c>
      <c r="T23" s="1558" t="s">
        <v>11</v>
      </c>
      <c r="U23" s="1559">
        <f>H23</f>
        <v>96</v>
      </c>
      <c r="V23" s="1558" t="s">
        <v>11</v>
      </c>
      <c r="W23" s="1559">
        <f>J23</f>
        <v>104</v>
      </c>
      <c r="X23" s="1552"/>
      <c r="Y23" s="3413"/>
      <c r="Z23" s="1560" t="str">
        <f>Q23</f>
        <v>自然及人文环境</v>
      </c>
      <c r="AA23" s="1561">
        <f t="shared" si="3"/>
        <v>1</v>
      </c>
      <c r="AB23" s="1561">
        <f t="shared" si="4"/>
        <v>1.0416666666666667</v>
      </c>
      <c r="AC23" s="1561">
        <f t="shared" si="5"/>
        <v>0.96153846153846156</v>
      </c>
    </row>
    <row r="24" spans="1:29" ht="15.6" thickBot="1">
      <c r="A24" s="532"/>
      <c r="B24" s="595"/>
      <c r="C24" s="576" t="s">
        <v>3241</v>
      </c>
      <c r="D24" s="555"/>
      <c r="E24" s="556" t="s">
        <v>3241</v>
      </c>
      <c r="F24" s="557"/>
      <c r="G24" s="558" t="s">
        <v>3279</v>
      </c>
      <c r="H24" s="555"/>
      <c r="I24" s="556" t="s">
        <v>3242</v>
      </c>
      <c r="J24" s="555"/>
      <c r="K24" s="870"/>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hidden="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3"/>
      <c r="Q25" s="1557" t="str">
        <f t="shared" ref="Q25:Q46" si="11">B25</f>
        <v>楼层-1</v>
      </c>
      <c r="R25" s="1558" t="s">
        <v>11</v>
      </c>
      <c r="S25" s="1559">
        <f>F25</f>
        <v>100</v>
      </c>
      <c r="T25" s="1558" t="s">
        <v>11</v>
      </c>
      <c r="U25" s="1559">
        <f>H25</f>
        <v>100</v>
      </c>
      <c r="V25" s="1558" t="s">
        <v>11</v>
      </c>
      <c r="W25" s="1559">
        <f>J25</f>
        <v>100</v>
      </c>
      <c r="X25" s="1552"/>
      <c r="Y25" s="3413"/>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3"/>
      <c r="Q26" s="1557" t="str">
        <f t="shared" si="11"/>
        <v>朝向</v>
      </c>
      <c r="R26" s="1558" t="s">
        <v>11</v>
      </c>
      <c r="S26" s="1559">
        <f>F26</f>
        <v>100</v>
      </c>
      <c r="T26" s="1558" t="s">
        <v>11</v>
      </c>
      <c r="U26" s="1559">
        <f>H26</f>
        <v>100</v>
      </c>
      <c r="V26" s="1558" t="s">
        <v>11</v>
      </c>
      <c r="W26" s="1559">
        <f>J26</f>
        <v>100</v>
      </c>
      <c r="X26" s="1552"/>
      <c r="Y26" s="3413"/>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3"/>
      <c r="Q27" s="1147" t="str">
        <f t="shared" si="11"/>
        <v>道路级别</v>
      </c>
      <c r="R27" s="1553" t="s">
        <v>11</v>
      </c>
      <c r="S27" s="1554">
        <f>F27</f>
        <v>100</v>
      </c>
      <c r="T27" s="1553" t="s">
        <v>11</v>
      </c>
      <c r="U27" s="1554">
        <f>H27</f>
        <v>100</v>
      </c>
      <c r="V27" s="1553" t="s">
        <v>11</v>
      </c>
      <c r="W27" s="1554">
        <f>J27</f>
        <v>100</v>
      </c>
      <c r="X27" s="1555"/>
      <c r="Y27" s="3413"/>
      <c r="Z27" s="1146"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3"/>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3"/>
      <c r="Q29" s="1557">
        <f t="shared" si="11"/>
        <v>111</v>
      </c>
      <c r="R29" s="1558" t="s">
        <v>11</v>
      </c>
      <c r="S29" s="1559">
        <f t="shared" si="12"/>
        <v>100</v>
      </c>
      <c r="T29" s="1558" t="s">
        <v>11</v>
      </c>
      <c r="U29" s="1559">
        <f t="shared" si="13"/>
        <v>100</v>
      </c>
      <c r="V29" s="1558" t="s">
        <v>11</v>
      </c>
      <c r="W29" s="1559">
        <f t="shared" si="14"/>
        <v>100</v>
      </c>
      <c r="X29" s="1552"/>
      <c r="Y29" s="3413"/>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3"/>
      <c r="Q30" s="1557">
        <f t="shared" si="11"/>
        <v>111</v>
      </c>
      <c r="R30" s="1558" t="s">
        <v>11</v>
      </c>
      <c r="S30" s="1559">
        <f t="shared" si="12"/>
        <v>100</v>
      </c>
      <c r="T30" s="1558" t="s">
        <v>11</v>
      </c>
      <c r="U30" s="1559">
        <f t="shared" si="13"/>
        <v>100</v>
      </c>
      <c r="V30" s="1558" t="s">
        <v>11</v>
      </c>
      <c r="W30" s="1559">
        <f t="shared" si="14"/>
        <v>100</v>
      </c>
      <c r="X30" s="1552"/>
      <c r="Y30" s="3413"/>
      <c r="Z30" s="1560">
        <f t="shared" si="15"/>
        <v>111</v>
      </c>
      <c r="AA30" s="1561">
        <f t="shared" si="3"/>
        <v>1</v>
      </c>
      <c r="AB30" s="1561">
        <f t="shared" si="4"/>
        <v>1</v>
      </c>
      <c r="AC30" s="156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3"/>
      <c r="Q31" s="1557">
        <f t="shared" si="11"/>
        <v>111</v>
      </c>
      <c r="R31" s="1558" t="s">
        <v>11</v>
      </c>
      <c r="S31" s="1559">
        <f t="shared" si="12"/>
        <v>100</v>
      </c>
      <c r="T31" s="1558" t="s">
        <v>11</v>
      </c>
      <c r="U31" s="1559">
        <f t="shared" si="13"/>
        <v>100</v>
      </c>
      <c r="V31" s="1558" t="s">
        <v>11</v>
      </c>
      <c r="W31" s="1559">
        <f t="shared" si="14"/>
        <v>100</v>
      </c>
      <c r="X31" s="1552"/>
      <c r="Y31" s="3413"/>
      <c r="Z31" s="1560">
        <f t="shared" si="15"/>
        <v>111</v>
      </c>
      <c r="AA31" s="1561">
        <f t="shared" si="3"/>
        <v>1</v>
      </c>
      <c r="AB31" s="1561">
        <f t="shared" si="4"/>
        <v>1</v>
      </c>
      <c r="AC31" s="1561">
        <f t="shared" si="5"/>
        <v>1</v>
      </c>
    </row>
    <row r="32" spans="1:29" ht="15">
      <c r="A32" s="2861" t="s">
        <v>2752</v>
      </c>
      <c r="B32" s="172" t="s">
        <v>725</v>
      </c>
      <c r="C32" s="878" t="s">
        <v>3255</v>
      </c>
      <c r="D32" s="597">
        <v>100</v>
      </c>
      <c r="E32" s="879" t="s">
        <v>3255</v>
      </c>
      <c r="F32" s="575">
        <f>SUMIF(100:100,E32,101:101)-SUMIF(100:100,C32,101:101)+100</f>
        <v>100</v>
      </c>
      <c r="G32" s="879" t="s">
        <v>3277</v>
      </c>
      <c r="H32" s="597">
        <f>SUMIF(100:100,G32,101:101)-SUMIF(100:100,C32,101:101)+100</f>
        <v>105</v>
      </c>
      <c r="I32" s="879" t="s">
        <v>3277</v>
      </c>
      <c r="J32" s="540">
        <f>SUMIF(100:100,I32,101:101)-SUMIF(100:100,C32,101:101)+100</f>
        <v>105</v>
      </c>
      <c r="K32" s="864">
        <v>5</v>
      </c>
      <c r="L32" s="2126"/>
      <c r="M32" s="2118"/>
      <c r="N32" s="2118"/>
      <c r="O32" s="2125"/>
      <c r="P32" s="3414" t="s">
        <v>550</v>
      </c>
      <c r="Q32" s="1557" t="str">
        <f t="shared" si="11"/>
        <v>建筑类型</v>
      </c>
      <c r="R32" s="1558" t="s">
        <v>11</v>
      </c>
      <c r="S32" s="1559">
        <f t="shared" si="12"/>
        <v>100</v>
      </c>
      <c r="T32" s="1558" t="s">
        <v>11</v>
      </c>
      <c r="U32" s="1559">
        <f t="shared" si="13"/>
        <v>105</v>
      </c>
      <c r="V32" s="1558" t="s">
        <v>11</v>
      </c>
      <c r="W32" s="1559">
        <f t="shared" si="14"/>
        <v>105</v>
      </c>
      <c r="X32" s="1552"/>
      <c r="Y32" s="3415" t="s">
        <v>550</v>
      </c>
      <c r="Z32" s="1560" t="str">
        <f t="shared" si="15"/>
        <v>建筑类型</v>
      </c>
      <c r="AA32" s="1561">
        <f t="shared" si="3"/>
        <v>1</v>
      </c>
      <c r="AB32" s="1561">
        <f t="shared" si="4"/>
        <v>0.95238095238095233</v>
      </c>
      <c r="AC32" s="1561">
        <f t="shared" si="5"/>
        <v>0.95238095238095233</v>
      </c>
    </row>
    <row r="33" spans="1:29" s="1335" customFormat="1" ht="15">
      <c r="A33" s="603"/>
      <c r="B33" s="527" t="s">
        <v>726</v>
      </c>
      <c r="C33" s="880">
        <f>'数据-汇总表'!F27</f>
        <v>222013</v>
      </c>
      <c r="D33" s="255">
        <v>100</v>
      </c>
      <c r="E33" s="534">
        <v>880000</v>
      </c>
      <c r="F33" s="863">
        <f>LOOKUP(E33,103:103,104:104)-LOOKUP(C33,103:103,104:104)+100</f>
        <v>100</v>
      </c>
      <c r="G33" s="534">
        <v>32000</v>
      </c>
      <c r="H33" s="255">
        <f>LOOKUP(G33,103:103,104:104)-LOOKUP(C33,103:103,104:104)+100</f>
        <v>100</v>
      </c>
      <c r="I33" s="534">
        <v>107000</v>
      </c>
      <c r="J33" s="255">
        <f>LOOKUP(I33,103:103,104:104)-LOOKUP(C33,103:103,104:104)+100</f>
        <v>100</v>
      </c>
      <c r="K33" s="865"/>
      <c r="L33" s="2124"/>
      <c r="M33" s="2155"/>
      <c r="N33" s="2155"/>
      <c r="O33" s="2127"/>
      <c r="P33" s="3415"/>
      <c r="Q33" s="1589" t="str">
        <f t="shared" si="11"/>
        <v>项目建筑规模</v>
      </c>
      <c r="R33" s="1562" t="s">
        <v>11</v>
      </c>
      <c r="S33" s="1563">
        <f t="shared" si="12"/>
        <v>100</v>
      </c>
      <c r="T33" s="1562" t="s">
        <v>11</v>
      </c>
      <c r="U33" s="1563">
        <f t="shared" si="13"/>
        <v>100</v>
      </c>
      <c r="V33" s="1562" t="s">
        <v>11</v>
      </c>
      <c r="W33" s="1563">
        <f t="shared" si="14"/>
        <v>100</v>
      </c>
      <c r="X33" s="1564"/>
      <c r="Y33" s="3415"/>
      <c r="Z33" s="1565" t="str">
        <f t="shared" si="15"/>
        <v>项目建筑规模</v>
      </c>
      <c r="AA33" s="1561">
        <f t="shared" si="3"/>
        <v>1</v>
      </c>
      <c r="AB33" s="1561">
        <f t="shared" si="4"/>
        <v>1</v>
      </c>
      <c r="AC33" s="1561">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15"/>
      <c r="Q34" s="1557" t="str">
        <f t="shared" si="11"/>
        <v>建筑结构</v>
      </c>
      <c r="R34" s="1558" t="s">
        <v>11</v>
      </c>
      <c r="S34" s="1559">
        <f t="shared" si="12"/>
        <v>100</v>
      </c>
      <c r="T34" s="1558" t="s">
        <v>11</v>
      </c>
      <c r="U34" s="1559">
        <f t="shared" si="13"/>
        <v>100</v>
      </c>
      <c r="V34" s="1558" t="s">
        <v>11</v>
      </c>
      <c r="W34" s="1559">
        <f t="shared" si="14"/>
        <v>100</v>
      </c>
      <c r="X34" s="1552"/>
      <c r="Y34" s="3415"/>
      <c r="Z34" s="1560" t="str">
        <f t="shared" si="15"/>
        <v>建筑结构</v>
      </c>
      <c r="AA34" s="1561">
        <f t="shared" si="3"/>
        <v>1</v>
      </c>
      <c r="AB34" s="1561">
        <f t="shared" si="4"/>
        <v>1</v>
      </c>
      <c r="AC34" s="1561">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15"/>
      <c r="Q35" s="1557" t="str">
        <f t="shared" si="11"/>
        <v>建筑品质</v>
      </c>
      <c r="R35" s="1558" t="s">
        <v>11</v>
      </c>
      <c r="S35" s="1559">
        <f t="shared" si="12"/>
        <v>100</v>
      </c>
      <c r="T35" s="1558" t="s">
        <v>11</v>
      </c>
      <c r="U35" s="1559">
        <f t="shared" si="13"/>
        <v>100</v>
      </c>
      <c r="V35" s="1558" t="s">
        <v>11</v>
      </c>
      <c r="W35" s="1559">
        <f t="shared" si="14"/>
        <v>100</v>
      </c>
      <c r="X35" s="1552"/>
      <c r="Y35" s="3415"/>
      <c r="Z35" s="1560" t="str">
        <f t="shared" si="15"/>
        <v>建筑品质</v>
      </c>
      <c r="AA35" s="1561">
        <f t="shared" si="3"/>
        <v>1</v>
      </c>
      <c r="AB35" s="1561">
        <f t="shared" si="4"/>
        <v>1</v>
      </c>
      <c r="AC35" s="1561">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15"/>
      <c r="Q36" s="1557" t="str">
        <f t="shared" si="11"/>
        <v>公共部分装修</v>
      </c>
      <c r="R36" s="1558" t="s">
        <v>11</v>
      </c>
      <c r="S36" s="1559">
        <f t="shared" si="12"/>
        <v>100</v>
      </c>
      <c r="T36" s="1558" t="s">
        <v>11</v>
      </c>
      <c r="U36" s="1559">
        <f t="shared" si="13"/>
        <v>100</v>
      </c>
      <c r="V36" s="1558" t="s">
        <v>11</v>
      </c>
      <c r="W36" s="1559">
        <f t="shared" si="14"/>
        <v>100</v>
      </c>
      <c r="X36" s="1552"/>
      <c r="Y36" s="3415"/>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15"/>
      <c r="Q37" s="1147" t="str">
        <f t="shared" si="11"/>
        <v>成新度</v>
      </c>
      <c r="R37" s="1553" t="s">
        <v>11</v>
      </c>
      <c r="S37" s="1554">
        <f t="shared" si="12"/>
        <v>100</v>
      </c>
      <c r="T37" s="1553" t="s">
        <v>11</v>
      </c>
      <c r="U37" s="1554">
        <f t="shared" si="13"/>
        <v>100</v>
      </c>
      <c r="V37" s="1553" t="s">
        <v>11</v>
      </c>
      <c r="W37" s="1554">
        <f t="shared" si="14"/>
        <v>100</v>
      </c>
      <c r="X37" s="1555"/>
      <c r="Y37" s="3415"/>
      <c r="Z37" s="1146"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15" t="s">
        <v>550</v>
      </c>
      <c r="Q38" s="1557" t="str">
        <f t="shared" si="11"/>
        <v>物业管理</v>
      </c>
      <c r="R38" s="1558" t="s">
        <v>11</v>
      </c>
      <c r="S38" s="1559">
        <f t="shared" si="12"/>
        <v>100</v>
      </c>
      <c r="T38" s="1558" t="s">
        <v>11</v>
      </c>
      <c r="U38" s="1559">
        <f t="shared" si="13"/>
        <v>100</v>
      </c>
      <c r="V38" s="1558" t="s">
        <v>11</v>
      </c>
      <c r="W38" s="1559">
        <f t="shared" si="14"/>
        <v>100</v>
      </c>
      <c r="X38" s="1552"/>
      <c r="Y38" s="3415" t="s">
        <v>550</v>
      </c>
      <c r="Z38" s="1560" t="str">
        <f t="shared" si="15"/>
        <v>物业管理</v>
      </c>
      <c r="AA38" s="1561">
        <f t="shared" si="3"/>
        <v>1</v>
      </c>
      <c r="AB38" s="1561">
        <f t="shared" si="4"/>
        <v>1</v>
      </c>
      <c r="AC38" s="1561">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15"/>
      <c r="Q39" s="1557" t="str">
        <f t="shared" si="11"/>
        <v>市政基础设施</v>
      </c>
      <c r="R39" s="1558" t="s">
        <v>11</v>
      </c>
      <c r="S39" s="1559">
        <f t="shared" si="12"/>
        <v>100</v>
      </c>
      <c r="T39" s="1558" t="s">
        <v>11</v>
      </c>
      <c r="U39" s="1559">
        <f t="shared" si="13"/>
        <v>100</v>
      </c>
      <c r="V39" s="1558" t="s">
        <v>11</v>
      </c>
      <c r="W39" s="1559">
        <f t="shared" si="14"/>
        <v>100</v>
      </c>
      <c r="X39" s="1552"/>
      <c r="Y39" s="3415"/>
      <c r="Z39" s="1560" t="str">
        <f t="shared" si="15"/>
        <v>市政基础设施</v>
      </c>
      <c r="AA39" s="1561">
        <f t="shared" si="3"/>
        <v>1</v>
      </c>
      <c r="AB39" s="1561">
        <f t="shared" si="4"/>
        <v>1</v>
      </c>
      <c r="AC39" s="1561">
        <f t="shared" si="5"/>
        <v>1</v>
      </c>
    </row>
    <row r="40" spans="1:29" ht="15">
      <c r="A40" s="594"/>
      <c r="B40" s="527" t="s">
        <v>732</v>
      </c>
      <c r="C40" s="599" t="s">
        <v>3268</v>
      </c>
      <c r="D40" s="540">
        <v>100</v>
      </c>
      <c r="E40" s="874" t="s">
        <v>3268</v>
      </c>
      <c r="F40" s="575">
        <f>SUMIF(118:118,E40,119:119)-SUMIF(118:118,C40,119:119)+100</f>
        <v>100</v>
      </c>
      <c r="G40" s="874" t="s">
        <v>3268</v>
      </c>
      <c r="H40" s="540">
        <f>SUMIF(118:118,G40,119:119)-SUMIF(118:118,C40,119:119)+100</f>
        <v>100</v>
      </c>
      <c r="I40" s="874" t="s">
        <v>3268</v>
      </c>
      <c r="J40" s="540">
        <f>SUMIF(118:118,I40,119:119)-SUMIF(118:118,C40,119:119)+100</f>
        <v>100</v>
      </c>
      <c r="K40" s="864">
        <v>5</v>
      </c>
      <c r="L40" s="2126"/>
      <c r="M40" s="2118"/>
      <c r="N40" s="2118"/>
      <c r="O40" s="2125"/>
      <c r="P40" s="3415"/>
      <c r="Q40" s="1557" t="str">
        <f t="shared" si="11"/>
        <v>房型</v>
      </c>
      <c r="R40" s="1558" t="s">
        <v>11</v>
      </c>
      <c r="S40" s="1559">
        <f t="shared" si="12"/>
        <v>100</v>
      </c>
      <c r="T40" s="1558" t="s">
        <v>11</v>
      </c>
      <c r="U40" s="1559">
        <f t="shared" si="13"/>
        <v>100</v>
      </c>
      <c r="V40" s="1558" t="s">
        <v>11</v>
      </c>
      <c r="W40" s="1559">
        <f t="shared" si="14"/>
        <v>100</v>
      </c>
      <c r="X40" s="1552"/>
      <c r="Y40" s="3415"/>
      <c r="Z40" s="1560" t="str">
        <f t="shared" si="15"/>
        <v>房型</v>
      </c>
      <c r="AA40" s="1561">
        <f t="shared" si="3"/>
        <v>1</v>
      </c>
      <c r="AB40" s="1561">
        <f t="shared" si="4"/>
        <v>1</v>
      </c>
      <c r="AC40" s="1561">
        <f t="shared" si="5"/>
        <v>1</v>
      </c>
    </row>
    <row r="41" spans="1:29" s="1335" customFormat="1" ht="28.8"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15"/>
      <c r="Q41" s="1589" t="str">
        <f t="shared" si="11"/>
        <v>单套/主力户型建筑面积</v>
      </c>
      <c r="R41" s="1562" t="s">
        <v>11</v>
      </c>
      <c r="S41" s="1563">
        <f t="shared" si="12"/>
        <v>100</v>
      </c>
      <c r="T41" s="1562" t="s">
        <v>11</v>
      </c>
      <c r="U41" s="1563">
        <f t="shared" si="13"/>
        <v>100</v>
      </c>
      <c r="V41" s="1562" t="s">
        <v>11</v>
      </c>
      <c r="W41" s="1563">
        <f t="shared" si="14"/>
        <v>100</v>
      </c>
      <c r="X41" s="1564"/>
      <c r="Y41" s="3415"/>
      <c r="Z41" s="1565" t="str">
        <f t="shared" si="15"/>
        <v>单套/主力户型建筑面积</v>
      </c>
      <c r="AA41" s="1561">
        <f t="shared" si="3"/>
        <v>1</v>
      </c>
      <c r="AB41" s="1561">
        <f t="shared" si="4"/>
        <v>1</v>
      </c>
      <c r="AC41" s="1561">
        <f t="shared" si="5"/>
        <v>1</v>
      </c>
    </row>
    <row r="42" spans="1:29" ht="15.6" thickBot="1">
      <c r="A42" s="594"/>
      <c r="B42" s="527" t="s">
        <v>734</v>
      </c>
      <c r="C42" s="599" t="s">
        <v>3272</v>
      </c>
      <c r="D42" s="540">
        <v>100</v>
      </c>
      <c r="E42" s="874" t="s">
        <v>3272</v>
      </c>
      <c r="F42" s="575">
        <f>SUMIF(122:122,E42,123:123)-SUMIF(122:122,C42,123:123)+100</f>
        <v>100</v>
      </c>
      <c r="G42" s="874" t="s">
        <v>3272</v>
      </c>
      <c r="H42" s="540">
        <f>SUMIF(122:122,G42,123:123)-SUMIF(122:122,C42,123:123)+100</f>
        <v>100</v>
      </c>
      <c r="I42" s="874" t="s">
        <v>3272</v>
      </c>
      <c r="J42" s="540">
        <f>SUMIF(122:122,I42,123:123)-SUMIF(122:122,C42,123:123)+100</f>
        <v>100</v>
      </c>
      <c r="K42" s="864">
        <v>2</v>
      </c>
      <c r="L42" s="2126"/>
      <c r="M42" s="2118"/>
      <c r="N42" s="2118"/>
      <c r="O42" s="2125"/>
      <c r="P42" s="3415"/>
      <c r="Q42" s="1557" t="str">
        <f t="shared" si="11"/>
        <v>内部装修</v>
      </c>
      <c r="R42" s="1558" t="s">
        <v>11</v>
      </c>
      <c r="S42" s="1559">
        <f t="shared" si="12"/>
        <v>100</v>
      </c>
      <c r="T42" s="1558" t="s">
        <v>11</v>
      </c>
      <c r="U42" s="1559">
        <f t="shared" si="13"/>
        <v>100</v>
      </c>
      <c r="V42" s="1558" t="s">
        <v>11</v>
      </c>
      <c r="W42" s="1559">
        <f t="shared" si="14"/>
        <v>100</v>
      </c>
      <c r="X42" s="1552"/>
      <c r="Y42" s="3415"/>
      <c r="Z42" s="1560" t="str">
        <f t="shared" si="15"/>
        <v>内部装修</v>
      </c>
      <c r="AA42" s="1561">
        <f t="shared" si="3"/>
        <v>1</v>
      </c>
      <c r="AB42" s="1561">
        <f t="shared" si="4"/>
        <v>1</v>
      </c>
      <c r="AC42" s="1561">
        <f t="shared" si="5"/>
        <v>1</v>
      </c>
    </row>
    <row r="43" spans="1:29" ht="29.4"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5"/>
      <c r="Q43" s="1557" t="str">
        <f t="shared" si="11"/>
        <v>内部装修维护情况</v>
      </c>
      <c r="R43" s="1558" t="s">
        <v>11</v>
      </c>
      <c r="S43" s="1559">
        <f t="shared" si="12"/>
        <v>100</v>
      </c>
      <c r="T43" s="1558" t="s">
        <v>11</v>
      </c>
      <c r="U43" s="1559">
        <f t="shared" si="13"/>
        <v>100</v>
      </c>
      <c r="V43" s="1558" t="s">
        <v>11</v>
      </c>
      <c r="W43" s="1559">
        <f t="shared" si="14"/>
        <v>100</v>
      </c>
      <c r="X43" s="1552"/>
      <c r="Y43" s="3415"/>
      <c r="Z43" s="1560" t="str">
        <f t="shared" si="15"/>
        <v>内部装修维护情况</v>
      </c>
      <c r="AA43" s="1561">
        <f t="shared" si="3"/>
        <v>1</v>
      </c>
      <c r="AB43" s="1561">
        <f t="shared" si="4"/>
        <v>1</v>
      </c>
      <c r="AC43" s="1561">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5"/>
      <c r="Q44" s="1147">
        <f t="shared" si="11"/>
        <v>111</v>
      </c>
      <c r="R44" s="1553" t="s">
        <v>11</v>
      </c>
      <c r="S44" s="1554">
        <f t="shared" si="12"/>
        <v>100</v>
      </c>
      <c r="T44" s="1553" t="s">
        <v>11</v>
      </c>
      <c r="U44" s="1554">
        <f t="shared" si="13"/>
        <v>100</v>
      </c>
      <c r="V44" s="1553" t="s">
        <v>11</v>
      </c>
      <c r="W44" s="1554">
        <f t="shared" si="14"/>
        <v>100</v>
      </c>
      <c r="X44" s="1555"/>
      <c r="Y44" s="3415"/>
      <c r="Z44" s="1146">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5"/>
      <c r="Q45" s="1557">
        <f t="shared" si="11"/>
        <v>111</v>
      </c>
      <c r="R45" s="1558" t="s">
        <v>11</v>
      </c>
      <c r="S45" s="1559">
        <f t="shared" si="12"/>
        <v>100</v>
      </c>
      <c r="T45" s="1558" t="s">
        <v>11</v>
      </c>
      <c r="U45" s="1559">
        <f t="shared" si="13"/>
        <v>100</v>
      </c>
      <c r="V45" s="1558" t="s">
        <v>11</v>
      </c>
      <c r="W45" s="1559">
        <f t="shared" si="14"/>
        <v>100</v>
      </c>
      <c r="X45" s="1552"/>
      <c r="Y45" s="3415"/>
      <c r="Z45" s="1560">
        <f t="shared" si="15"/>
        <v>111</v>
      </c>
      <c r="AA45" s="1561">
        <f t="shared" si="3"/>
        <v>1</v>
      </c>
      <c r="AB45" s="1561">
        <f t="shared" si="4"/>
        <v>1</v>
      </c>
      <c r="AC45" s="1561">
        <f t="shared" si="5"/>
        <v>1</v>
      </c>
    </row>
    <row r="46" spans="1:29" ht="15.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3"/>
      <c r="Q46" s="1557">
        <f t="shared" si="11"/>
        <v>111</v>
      </c>
      <c r="R46" s="1558" t="s">
        <v>10</v>
      </c>
      <c r="S46" s="1559">
        <f t="shared" si="12"/>
        <v>100</v>
      </c>
      <c r="T46" s="1558" t="s">
        <v>10</v>
      </c>
      <c r="U46" s="1559">
        <f t="shared" si="13"/>
        <v>100</v>
      </c>
      <c r="V46" s="1558" t="s">
        <v>10</v>
      </c>
      <c r="W46" s="1559">
        <f t="shared" si="14"/>
        <v>100</v>
      </c>
      <c r="X46" s="1552"/>
      <c r="Y46" s="3473"/>
      <c r="Z46" s="1560">
        <f t="shared" si="15"/>
        <v>111</v>
      </c>
      <c r="AA46" s="1561">
        <f t="shared" si="3"/>
        <v>1</v>
      </c>
      <c r="AB46" s="1561">
        <f t="shared" si="4"/>
        <v>1</v>
      </c>
      <c r="AC46" s="1561">
        <f t="shared" si="5"/>
        <v>1</v>
      </c>
    </row>
    <row r="47" spans="1:29" ht="14.4">
      <c r="A47" s="607" t="s">
        <v>736</v>
      </c>
      <c r="B47" s="887"/>
      <c r="C47" s="2590" t="s">
        <v>9</v>
      </c>
      <c r="D47" s="2591"/>
      <c r="E47" s="2592">
        <v>13200</v>
      </c>
      <c r="F47" s="2593"/>
      <c r="G47" s="2594">
        <v>11241</v>
      </c>
      <c r="H47" s="2595"/>
      <c r="I47" s="2592">
        <v>13418</v>
      </c>
      <c r="J47" s="2595"/>
      <c r="K47" s="1590"/>
      <c r="L47" s="2128"/>
      <c r="M47" s="2129"/>
      <c r="N47" s="2118"/>
      <c r="O47" s="2129"/>
      <c r="P47" s="3377" t="str">
        <f>A47</f>
        <v>成交单价（元/平方米）</v>
      </c>
      <c r="Q47" s="3377"/>
      <c r="R47" s="3472">
        <f>E47</f>
        <v>13200</v>
      </c>
      <c r="S47" s="3472"/>
      <c r="T47" s="3472">
        <f>G47</f>
        <v>11241</v>
      </c>
      <c r="U47" s="3472"/>
      <c r="V47" s="3472">
        <f>I47</f>
        <v>13418</v>
      </c>
      <c r="W47" s="3472"/>
      <c r="X47" s="1544"/>
      <c r="Y47" s="1566"/>
      <c r="Z47" s="1544"/>
      <c r="AA47" s="1544"/>
      <c r="AB47" s="1544"/>
      <c r="AC47" s="1544"/>
    </row>
    <row r="48" spans="1:29" ht="15" thickBot="1">
      <c r="A48" s="615" t="s">
        <v>2757</v>
      </c>
      <c r="B48" s="888"/>
      <c r="C48" s="2596">
        <f>R49</f>
        <v>11391</v>
      </c>
      <c r="D48" s="2597"/>
      <c r="E48" s="2598">
        <f>R48</f>
        <v>11846</v>
      </c>
      <c r="F48" s="2598"/>
      <c r="G48" s="2596">
        <f>T48</f>
        <v>10850</v>
      </c>
      <c r="H48" s="2597"/>
      <c r="I48" s="2598">
        <f>V48</f>
        <v>11477</v>
      </c>
      <c r="J48" s="2597"/>
      <c r="K48" s="1591"/>
      <c r="L48" s="2128"/>
      <c r="M48" s="2129"/>
      <c r="N48" s="2129"/>
      <c r="O48" s="2129"/>
      <c r="P48" s="3377" t="str">
        <f>A48</f>
        <v>比较价格（元/平方米）</v>
      </c>
      <c r="Q48" s="3377"/>
      <c r="R48" s="3472">
        <f>IF(F1="售价",ROUND(PRODUCT(R47,AA7:AA46),0),ROUND(PRODUCT(R47,AA7:AA46),1))</f>
        <v>11846</v>
      </c>
      <c r="S48" s="3472"/>
      <c r="T48" s="3472">
        <f>IF(F1="售价",ROUND(PRODUCT(T47,AB7:AB46),0),ROUND(PRODUCT(T47,AB7:AB46),1))</f>
        <v>10850</v>
      </c>
      <c r="U48" s="3472"/>
      <c r="V48" s="3472">
        <f>IF(F1="售价",ROUND(PRODUCT(V47,AC7:AC46),0),ROUND(PRODUCT(V47,AC7:AC46),1))</f>
        <v>11477</v>
      </c>
      <c r="W48" s="3472"/>
      <c r="X48" s="1544"/>
      <c r="Y48" s="1544"/>
      <c r="Z48" s="1544"/>
      <c r="AA48" s="1544"/>
      <c r="AB48" s="1544"/>
      <c r="AC48" s="1544"/>
    </row>
    <row r="49" spans="1:29" ht="15" thickBot="1">
      <c r="A49" s="621" t="s">
        <v>2924</v>
      </c>
      <c r="B49" s="622"/>
      <c r="C49" s="2599">
        <f>R49</f>
        <v>11391</v>
      </c>
      <c r="D49" s="2599"/>
      <c r="E49" s="2599"/>
      <c r="F49" s="2599"/>
      <c r="G49" s="2599"/>
      <c r="H49" s="2599"/>
      <c r="I49" s="2599"/>
      <c r="J49" s="2599"/>
      <c r="K49" s="1592"/>
      <c r="L49" s="2128"/>
      <c r="M49" s="2129"/>
      <c r="N49" s="2129"/>
      <c r="O49" s="2129"/>
      <c r="P49" s="3374" t="str">
        <f>A49</f>
        <v>估价对象XX用房的比较价格（楼面单价，元/平方米）</v>
      </c>
      <c r="Q49" s="3375"/>
      <c r="R49" s="3471">
        <f>IF(F1="售价",ROUND(AVERAGE(R48:V48),0),ROUND(AVERAGE(R48:V48),1))</f>
        <v>11391</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0.11430018571669764</v>
      </c>
      <c r="F52" s="627" t="str">
        <f>IF(OR(E52&gt;=0.3,E52&lt;=-0.3),"超过30%","")</f>
        <v/>
      </c>
      <c r="G52" s="626">
        <f>IF(G47&lt;G48,G48/G47-1,G47/G48-1)</f>
        <v>3.6036866359447028E-2</v>
      </c>
      <c r="H52" s="627" t="str">
        <f>IF(OR(G52&gt;=0.3,G52&lt;=-0.3),"超过30%","")</f>
        <v/>
      </c>
      <c r="I52" s="626">
        <f>IF(I47&lt;I48,I48/I47-1,I47/I48-1)</f>
        <v>0.16912085039644498</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9.1797235023041379E-2</v>
      </c>
      <c r="F53" s="627" t="str">
        <f>IF(OR(E53&gt;=0.2,E53&lt;=-0.2),"超过20%","")</f>
        <v/>
      </c>
      <c r="G53" s="626">
        <f>IF(G48&lt;I48,I48/G48-1,G48/I48-1)</f>
        <v>5.7788018433179822E-2</v>
      </c>
      <c r="H53" s="627" t="str">
        <f>IF(OR(G53&gt;=0.2,G53&lt;=-0.2),"超过20%","")</f>
        <v/>
      </c>
      <c r="I53" s="626">
        <f>IF(I48&lt;E48,E48/I48-1,I48/E48-1)</f>
        <v>3.2151259039818747E-2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0.17427275153456101</v>
      </c>
      <c r="F54" s="627" t="str">
        <f>IF(OR(E54&gt;=0.3,E54&lt;=-0.3),"超过30%","")</f>
        <v/>
      </c>
      <c r="G54" s="626">
        <f>IF(G47&lt;I47,I47/G47-1,G47/I47-1)</f>
        <v>0.19366604394626807</v>
      </c>
      <c r="H54" s="627" t="str">
        <f>IF(OR(G54&gt;=0.3,G54&lt;=-0.3),"超过30%","")</f>
        <v/>
      </c>
      <c r="I54" s="626">
        <f>IF(I47&lt;E47,E47/I47-1,I47/E47-1)</f>
        <v>1.6515151515151594E-2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9" t="s">
        <v>3278</v>
      </c>
      <c r="D100" s="3189" t="s">
        <v>3256</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(含)-100</v>
      </c>
      <c r="I102" s="708" t="str">
        <f t="shared" si="23"/>
        <v>100(含)-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v>100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3269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zoomScale="80" zoomScaleNormal="80" workbookViewId="0">
      <selection activeCell="M3" sqref="M3"/>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5.5546875" style="1333" customWidth="1"/>
    <col min="6" max="6" width="12.21875" style="1333" customWidth="1"/>
    <col min="7" max="7" width="15.88671875" style="1333" customWidth="1"/>
    <col min="8" max="8" width="12.21875" style="1333" customWidth="1"/>
    <col min="9" max="9" width="15.1093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t="s">
        <v>2999</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16077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7684</v>
      </c>
      <c r="C3" s="852" t="s">
        <v>722</v>
      </c>
      <c r="D3" s="851">
        <f>SUMIF('数据-汇总表'!$C19:$C33,D1,'数据-汇总表'!$E19:$E33)</f>
        <v>20923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83" t="s">
        <v>522</v>
      </c>
      <c r="D4" s="3384"/>
      <c r="E4" s="3418" t="s">
        <v>523</v>
      </c>
      <c r="F4" s="3419"/>
      <c r="G4" s="3383" t="s">
        <v>524</v>
      </c>
      <c r="H4" s="3384"/>
      <c r="I4" s="3383" t="s">
        <v>525</v>
      </c>
      <c r="J4" s="3384"/>
      <c r="K4" s="853" t="s">
        <v>526</v>
      </c>
      <c r="L4" s="2117"/>
      <c r="M4" s="2118"/>
      <c r="N4" s="2118"/>
      <c r="O4" s="2118"/>
      <c r="P4" s="3385" t="s">
        <v>527</v>
      </c>
      <c r="Q4" s="3386"/>
      <c r="R4" s="3391" t="s">
        <v>523</v>
      </c>
      <c r="S4" s="3392"/>
      <c r="T4" s="3391" t="s">
        <v>524</v>
      </c>
      <c r="U4" s="3392"/>
      <c r="V4" s="3378" t="s">
        <v>525</v>
      </c>
      <c r="W4" s="3378"/>
      <c r="X4" s="3204"/>
      <c r="Y4" s="3391" t="s">
        <v>527</v>
      </c>
      <c r="Z4" s="3392"/>
      <c r="AA4" s="3380" t="s">
        <v>523</v>
      </c>
      <c r="AB4" s="3380" t="s">
        <v>524</v>
      </c>
      <c r="AC4" s="3380" t="s">
        <v>525</v>
      </c>
    </row>
    <row r="5" spans="1:29" ht="14.4" thickBot="1">
      <c r="A5" s="515"/>
      <c r="B5" s="516"/>
      <c r="C5" s="3401" t="s">
        <v>2918</v>
      </c>
      <c r="D5" s="3400"/>
      <c r="E5" s="3474" t="s">
        <v>3295</v>
      </c>
      <c r="F5" s="3421"/>
      <c r="G5" s="3399" t="s">
        <v>3296</v>
      </c>
      <c r="H5" s="3400"/>
      <c r="I5" s="3399" t="s">
        <v>3297</v>
      </c>
      <c r="J5" s="3400"/>
      <c r="K5" s="854"/>
      <c r="L5" s="2117"/>
      <c r="M5" s="2118"/>
      <c r="N5" s="2118"/>
      <c r="O5" s="2118"/>
      <c r="P5" s="3387"/>
      <c r="Q5" s="3388"/>
      <c r="R5" s="3393"/>
      <c r="S5" s="3394"/>
      <c r="T5" s="3393"/>
      <c r="U5" s="3394"/>
      <c r="V5" s="3378"/>
      <c r="W5" s="3378"/>
      <c r="X5" s="3204"/>
      <c r="Y5" s="3393"/>
      <c r="Z5" s="3394"/>
      <c r="AA5" s="3381"/>
      <c r="AB5" s="3381"/>
      <c r="AC5" s="3381"/>
    </row>
    <row r="6" spans="1:29" ht="15" hidden="1" thickBot="1">
      <c r="A6" s="517"/>
      <c r="B6" s="518"/>
      <c r="C6" s="3397"/>
      <c r="D6" s="3398"/>
      <c r="E6" s="3416"/>
      <c r="F6" s="3417"/>
      <c r="G6" s="3397"/>
      <c r="H6" s="3398"/>
      <c r="I6" s="3397"/>
      <c r="J6" s="3398"/>
      <c r="K6" s="854" t="s">
        <v>528</v>
      </c>
      <c r="L6" s="2117"/>
      <c r="M6" s="2118"/>
      <c r="N6" s="2118"/>
      <c r="O6" s="2118"/>
      <c r="P6" s="3389"/>
      <c r="Q6" s="3390"/>
      <c r="R6" s="3393"/>
      <c r="S6" s="3394"/>
      <c r="T6" s="3395"/>
      <c r="U6" s="3396"/>
      <c r="V6" s="3378"/>
      <c r="W6" s="3378"/>
      <c r="X6" s="3204"/>
      <c r="Y6" s="3395"/>
      <c r="Z6" s="3396"/>
      <c r="AA6" s="3382"/>
      <c r="AB6" s="3382"/>
      <c r="AC6" s="3382"/>
    </row>
    <row r="7" spans="1:29" s="1216" customFormat="1" ht="15" thickBot="1">
      <c r="A7" s="2866"/>
      <c r="B7" s="2873"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409" t="s">
        <v>530</v>
      </c>
      <c r="Q7" s="3411"/>
      <c r="R7" s="1553" t="s">
        <v>13</v>
      </c>
      <c r="S7" s="1554">
        <f t="shared" ref="S7:S15" si="0">F7</f>
        <v>100</v>
      </c>
      <c r="T7" s="1553" t="s">
        <v>13</v>
      </c>
      <c r="U7" s="1554">
        <f t="shared" ref="U7:U15" si="1">H7</f>
        <v>100</v>
      </c>
      <c r="V7" s="1553" t="s">
        <v>13</v>
      </c>
      <c r="W7" s="1554">
        <f t="shared" ref="W7:W15" si="2">J7</f>
        <v>100</v>
      </c>
      <c r="X7" s="1555"/>
      <c r="Y7" s="3409" t="s">
        <v>530</v>
      </c>
      <c r="Z7" s="3410"/>
      <c r="AA7" s="1556">
        <f>D7/F7</f>
        <v>1</v>
      </c>
      <c r="AB7" s="1556">
        <f>D7/H7</f>
        <v>1</v>
      </c>
      <c r="AC7" s="1556">
        <f>D7/J7</f>
        <v>1</v>
      </c>
    </row>
    <row r="8" spans="1:29" s="1216" customFormat="1" ht="1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409" t="s">
        <v>533</v>
      </c>
      <c r="Q8" s="3410"/>
      <c r="R8" s="1553" t="s">
        <v>13</v>
      </c>
      <c r="S8" s="1554">
        <f t="shared" si="0"/>
        <v>100</v>
      </c>
      <c r="T8" s="1553" t="s">
        <v>13</v>
      </c>
      <c r="U8" s="1554">
        <f t="shared" si="1"/>
        <v>100</v>
      </c>
      <c r="V8" s="1553" t="s">
        <v>13</v>
      </c>
      <c r="W8" s="1554">
        <f t="shared" si="2"/>
        <v>100</v>
      </c>
      <c r="X8" s="1555"/>
      <c r="Y8" s="3409" t="s">
        <v>533</v>
      </c>
      <c r="Z8" s="3410"/>
      <c r="AA8" s="1556">
        <f t="shared" ref="AA8:AA46" si="3">D8/F8</f>
        <v>1</v>
      </c>
      <c r="AB8" s="1556">
        <f t="shared" ref="AB8:AB46" si="4">D8/H8</f>
        <v>1</v>
      </c>
      <c r="AC8" s="1556">
        <f t="shared" ref="AC8:AC46" si="5">D8/J8</f>
        <v>1</v>
      </c>
    </row>
    <row r="9" spans="1:29" s="1216" customFormat="1" ht="14.4">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77" t="s">
        <v>535</v>
      </c>
      <c r="Q9" s="3200" t="str">
        <f t="shared" ref="Q9:Q15" si="6">B9</f>
        <v>用途</v>
      </c>
      <c r="R9" s="1553" t="s">
        <v>8</v>
      </c>
      <c r="S9" s="1554">
        <f t="shared" si="0"/>
        <v>100</v>
      </c>
      <c r="T9" s="1553" t="s">
        <v>8</v>
      </c>
      <c r="U9" s="1554">
        <f t="shared" si="1"/>
        <v>100</v>
      </c>
      <c r="V9" s="1553" t="s">
        <v>8</v>
      </c>
      <c r="W9" s="1554">
        <f t="shared" si="2"/>
        <v>100</v>
      </c>
      <c r="X9" s="1555"/>
      <c r="Y9" s="3323" t="s">
        <v>536</v>
      </c>
      <c r="Z9" s="3195" t="str">
        <f t="shared" ref="Z9:Z15" si="7">Q9</f>
        <v>用途</v>
      </c>
      <c r="AA9" s="1556">
        <f t="shared" si="3"/>
        <v>1</v>
      </c>
      <c r="AB9" s="1556">
        <f t="shared" si="4"/>
        <v>1</v>
      </c>
      <c r="AC9" s="1556">
        <f t="shared" si="5"/>
        <v>1</v>
      </c>
    </row>
    <row r="10" spans="1:29" s="1334" customFormat="1" ht="28.8">
      <c r="A10" s="2869"/>
      <c r="B10" s="2874" t="s">
        <v>2754</v>
      </c>
      <c r="C10" s="861" t="s">
        <v>3281</v>
      </c>
      <c r="D10" s="255">
        <v>100</v>
      </c>
      <c r="E10" s="862" t="s">
        <v>3280</v>
      </c>
      <c r="F10" s="863">
        <f>SUMIF(65:65,E10,66:66)-SUMIF(65:65,C10,66:66)+100</f>
        <v>103</v>
      </c>
      <c r="G10" s="862" t="s">
        <v>3280</v>
      </c>
      <c r="H10" s="255">
        <f>SUMIF(65:65,G10,66:66)-SUMIF(65:65,C10,66:66)+100</f>
        <v>103</v>
      </c>
      <c r="I10" s="861" t="s">
        <v>3280</v>
      </c>
      <c r="J10" s="255">
        <f>SUMIF(65:65,I10,66:66)-SUMIF(65:65,C10,66:66)+100</f>
        <v>103</v>
      </c>
      <c r="K10" s="864">
        <v>3</v>
      </c>
      <c r="L10" s="2122"/>
      <c r="M10" s="2162"/>
      <c r="N10" s="2162"/>
      <c r="O10" s="2123"/>
      <c r="P10" s="3377"/>
      <c r="Q10" s="3200" t="str">
        <f t="shared" si="6"/>
        <v>土地使用年限（年）</v>
      </c>
      <c r="R10" s="1553" t="s">
        <v>8</v>
      </c>
      <c r="S10" s="1554">
        <f t="shared" si="0"/>
        <v>103</v>
      </c>
      <c r="T10" s="1553" t="s">
        <v>8</v>
      </c>
      <c r="U10" s="1554">
        <f t="shared" si="1"/>
        <v>103</v>
      </c>
      <c r="V10" s="1553" t="s">
        <v>8</v>
      </c>
      <c r="W10" s="1554">
        <f t="shared" si="2"/>
        <v>103</v>
      </c>
      <c r="X10" s="1555"/>
      <c r="Y10" s="3323"/>
      <c r="Z10" s="3195" t="str">
        <f t="shared" si="7"/>
        <v>土地使用年限（年）</v>
      </c>
      <c r="AA10" s="1556">
        <f t="shared" si="3"/>
        <v>0.970873786407767</v>
      </c>
      <c r="AB10" s="1556">
        <f t="shared" si="4"/>
        <v>0.970873786407767</v>
      </c>
      <c r="AC10" s="1556">
        <f t="shared" si="5"/>
        <v>0.970873786407767</v>
      </c>
    </row>
    <row r="11" spans="1:29" ht="15.6" thickBot="1">
      <c r="A11" s="2870"/>
      <c r="B11" s="2874" t="s">
        <v>2755</v>
      </c>
      <c r="C11" s="533">
        <f>'数据-汇总表'!I6</f>
        <v>4.1900000000000004</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4"/>
      <c r="M11" s="2118"/>
      <c r="N11" s="2118"/>
      <c r="O11" s="2125"/>
      <c r="P11" s="3377"/>
      <c r="Q11" s="3200" t="str">
        <f t="shared" si="6"/>
        <v>容积率</v>
      </c>
      <c r="R11" s="1553" t="s">
        <v>11</v>
      </c>
      <c r="S11" s="1554">
        <f t="shared" si="0"/>
        <v>104</v>
      </c>
      <c r="T11" s="1553" t="s">
        <v>11</v>
      </c>
      <c r="U11" s="1554">
        <f t="shared" si="1"/>
        <v>106</v>
      </c>
      <c r="V11" s="1553" t="s">
        <v>11</v>
      </c>
      <c r="W11" s="1554">
        <f t="shared" si="2"/>
        <v>98</v>
      </c>
      <c r="X11" s="1555"/>
      <c r="Y11" s="3323"/>
      <c r="Z11" s="3195" t="str">
        <f t="shared" si="7"/>
        <v>容积率</v>
      </c>
      <c r="AA11" s="1556">
        <f t="shared" si="3"/>
        <v>0.96153846153846156</v>
      </c>
      <c r="AB11" s="1556">
        <f t="shared" si="4"/>
        <v>0.94339622641509435</v>
      </c>
      <c r="AC11" s="1556">
        <f t="shared" si="5"/>
        <v>1.0204081632653061</v>
      </c>
    </row>
    <row r="12" spans="1:29" s="1216"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7"/>
      <c r="Q12" s="3200">
        <f t="shared" si="6"/>
        <v>111</v>
      </c>
      <c r="R12" s="1553" t="s">
        <v>11</v>
      </c>
      <c r="S12" s="1554">
        <f t="shared" si="0"/>
        <v>100</v>
      </c>
      <c r="T12" s="1553" t="s">
        <v>11</v>
      </c>
      <c r="U12" s="1554">
        <f t="shared" si="1"/>
        <v>100</v>
      </c>
      <c r="V12" s="1553" t="s">
        <v>11</v>
      </c>
      <c r="W12" s="1554">
        <f t="shared" si="2"/>
        <v>100</v>
      </c>
      <c r="X12" s="1555"/>
      <c r="Y12" s="3323"/>
      <c r="Z12" s="3195">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7"/>
      <c r="Q13" s="3200">
        <f t="shared" si="6"/>
        <v>111</v>
      </c>
      <c r="R13" s="1553" t="s">
        <v>11</v>
      </c>
      <c r="S13" s="1554">
        <f t="shared" si="0"/>
        <v>100</v>
      </c>
      <c r="T13" s="1553" t="s">
        <v>11</v>
      </c>
      <c r="U13" s="1554">
        <f t="shared" si="1"/>
        <v>100</v>
      </c>
      <c r="V13" s="1553" t="s">
        <v>11</v>
      </c>
      <c r="W13" s="1554">
        <f t="shared" si="2"/>
        <v>100</v>
      </c>
      <c r="X13" s="1555"/>
      <c r="Y13" s="3323"/>
      <c r="Z13" s="3195">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7"/>
      <c r="Q14" s="3200">
        <f t="shared" si="6"/>
        <v>111</v>
      </c>
      <c r="R14" s="1553" t="s">
        <v>11</v>
      </c>
      <c r="S14" s="1554">
        <f t="shared" si="0"/>
        <v>100</v>
      </c>
      <c r="T14" s="1553" t="s">
        <v>11</v>
      </c>
      <c r="U14" s="1554">
        <f t="shared" si="1"/>
        <v>100</v>
      </c>
      <c r="V14" s="1553" t="s">
        <v>11</v>
      </c>
      <c r="W14" s="1554">
        <f t="shared" si="2"/>
        <v>100</v>
      </c>
      <c r="X14" s="1555"/>
      <c r="Y14" s="3323"/>
      <c r="Z14" s="3195">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6"/>
      <c r="M15" s="2118"/>
      <c r="N15" s="2118"/>
      <c r="O15" s="2125"/>
      <c r="P15" s="3412" t="s">
        <v>540</v>
      </c>
      <c r="Q15" s="3202" t="str">
        <f t="shared" si="6"/>
        <v>居住社区成熟度</v>
      </c>
      <c r="R15" s="1558" t="s">
        <v>11</v>
      </c>
      <c r="S15" s="1559">
        <f t="shared" si="0"/>
        <v>100</v>
      </c>
      <c r="T15" s="1558" t="s">
        <v>11</v>
      </c>
      <c r="U15" s="1559">
        <f t="shared" si="1"/>
        <v>100</v>
      </c>
      <c r="V15" s="1558" t="s">
        <v>11</v>
      </c>
      <c r="W15" s="1559">
        <f t="shared" si="2"/>
        <v>104</v>
      </c>
      <c r="X15" s="3204"/>
      <c r="Y15" s="3412" t="s">
        <v>540</v>
      </c>
      <c r="Z15" s="3203" t="str">
        <f t="shared" si="7"/>
        <v>居住社区成熟度</v>
      </c>
      <c r="AA15" s="3205">
        <f t="shared" si="3"/>
        <v>1</v>
      </c>
      <c r="AB15" s="3205">
        <f t="shared" si="4"/>
        <v>1</v>
      </c>
      <c r="AC15" s="3205">
        <f t="shared" si="5"/>
        <v>0.96153846153846156</v>
      </c>
    </row>
    <row r="16" spans="1:29" ht="15">
      <c r="A16" s="532"/>
      <c r="B16" s="869"/>
      <c r="C16" s="576" t="s">
        <v>3241</v>
      </c>
      <c r="D16" s="555"/>
      <c r="E16" s="556" t="s">
        <v>3241</v>
      </c>
      <c r="F16" s="557"/>
      <c r="G16" s="558" t="s">
        <v>3241</v>
      </c>
      <c r="H16" s="559"/>
      <c r="I16" s="556" t="s">
        <v>3242</v>
      </c>
      <c r="J16" s="555"/>
      <c r="K16" s="870"/>
      <c r="L16" s="2126"/>
      <c r="M16" s="2118"/>
      <c r="N16" s="2118"/>
      <c r="O16" s="2125"/>
      <c r="P16" s="3413"/>
      <c r="Q16" s="3202"/>
      <c r="R16" s="1558"/>
      <c r="S16" s="1559"/>
      <c r="T16" s="1558"/>
      <c r="U16" s="1559"/>
      <c r="V16" s="1558"/>
      <c r="W16" s="1559"/>
      <c r="X16" s="3204"/>
      <c r="Y16" s="3413"/>
      <c r="Z16" s="3203"/>
      <c r="AA16" s="3205">
        <v>1</v>
      </c>
      <c r="AB16" s="3205">
        <v>1</v>
      </c>
      <c r="AC16" s="320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6"/>
      <c r="M17" s="2118"/>
      <c r="N17" s="2118"/>
      <c r="O17" s="2125"/>
      <c r="P17" s="3413"/>
      <c r="Q17" s="3202" t="str">
        <f>B17</f>
        <v>交通便捷度</v>
      </c>
      <c r="R17" s="1558" t="s">
        <v>11</v>
      </c>
      <c r="S17" s="1559">
        <f>F17</f>
        <v>100</v>
      </c>
      <c r="T17" s="1558" t="s">
        <v>11</v>
      </c>
      <c r="U17" s="1559">
        <f>H17</f>
        <v>100</v>
      </c>
      <c r="V17" s="1558" t="s">
        <v>11</v>
      </c>
      <c r="W17" s="1559">
        <f>J17</f>
        <v>104</v>
      </c>
      <c r="X17" s="3204"/>
      <c r="Y17" s="3413"/>
      <c r="Z17" s="3203" t="str">
        <f>Q17</f>
        <v>交通便捷度</v>
      </c>
      <c r="AA17" s="3205">
        <f t="shared" si="3"/>
        <v>1</v>
      </c>
      <c r="AB17" s="3205">
        <f t="shared" si="4"/>
        <v>1</v>
      </c>
      <c r="AC17" s="3205">
        <f t="shared" si="5"/>
        <v>0.96153846153846156</v>
      </c>
    </row>
    <row r="18" spans="1:29" ht="15">
      <c r="A18" s="532"/>
      <c r="B18" s="595"/>
      <c r="C18" s="873" t="s">
        <v>3241</v>
      </c>
      <c r="D18" s="559"/>
      <c r="E18" s="568" t="s">
        <v>3241</v>
      </c>
      <c r="F18" s="563"/>
      <c r="G18" s="569" t="s">
        <v>3241</v>
      </c>
      <c r="H18" s="555"/>
      <c r="I18" s="568" t="s">
        <v>3242</v>
      </c>
      <c r="J18" s="555"/>
      <c r="K18" s="870"/>
      <c r="L18" s="2126"/>
      <c r="M18" s="2118"/>
      <c r="N18" s="2118"/>
      <c r="O18" s="2125"/>
      <c r="P18" s="3413"/>
      <c r="Q18" s="3202"/>
      <c r="R18" s="1558"/>
      <c r="S18" s="1559"/>
      <c r="T18" s="1558"/>
      <c r="U18" s="1559"/>
      <c r="V18" s="1558"/>
      <c r="W18" s="1559"/>
      <c r="X18" s="3204"/>
      <c r="Y18" s="3413"/>
      <c r="Z18" s="3203"/>
      <c r="AA18" s="3205">
        <v>1</v>
      </c>
      <c r="AB18" s="3205">
        <v>1</v>
      </c>
      <c r="AC18" s="3205">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6"/>
      <c r="M19" s="2118"/>
      <c r="N19" s="2118"/>
      <c r="O19" s="2125"/>
      <c r="P19" s="3413"/>
      <c r="Q19" s="3202" t="str">
        <f>B19</f>
        <v>公共配套设施</v>
      </c>
      <c r="R19" s="1558" t="s">
        <v>11</v>
      </c>
      <c r="S19" s="1559">
        <f>F19</f>
        <v>100</v>
      </c>
      <c r="T19" s="1558" t="s">
        <v>11</v>
      </c>
      <c r="U19" s="1559">
        <f>H19</f>
        <v>100</v>
      </c>
      <c r="V19" s="1558" t="s">
        <v>11</v>
      </c>
      <c r="W19" s="1559">
        <f>J19</f>
        <v>104</v>
      </c>
      <c r="X19" s="3204"/>
      <c r="Y19" s="3413"/>
      <c r="Z19" s="3203" t="str">
        <f>Q19</f>
        <v>公共配套设施</v>
      </c>
      <c r="AA19" s="3205">
        <f t="shared" si="3"/>
        <v>1</v>
      </c>
      <c r="AB19" s="3205">
        <f t="shared" si="4"/>
        <v>1</v>
      </c>
      <c r="AC19" s="3205">
        <f t="shared" si="5"/>
        <v>0.96153846153846156</v>
      </c>
    </row>
    <row r="20" spans="1:29" ht="15">
      <c r="A20" s="532"/>
      <c r="B20" s="595"/>
      <c r="C20" s="576" t="s">
        <v>3241</v>
      </c>
      <c r="D20" s="555"/>
      <c r="E20" s="556" t="s">
        <v>3241</v>
      </c>
      <c r="F20" s="557"/>
      <c r="G20" s="558" t="s">
        <v>3241</v>
      </c>
      <c r="H20" s="555"/>
      <c r="I20" s="556" t="s">
        <v>3242</v>
      </c>
      <c r="J20" s="555"/>
      <c r="K20" s="870"/>
      <c r="L20" s="2126"/>
      <c r="M20" s="2118"/>
      <c r="N20" s="2118"/>
      <c r="O20" s="2125"/>
      <c r="P20" s="3413"/>
      <c r="Q20" s="3202"/>
      <c r="R20" s="1558"/>
      <c r="S20" s="1559"/>
      <c r="T20" s="1558"/>
      <c r="U20" s="1559"/>
      <c r="V20" s="1558"/>
      <c r="W20" s="1559"/>
      <c r="X20" s="3204"/>
      <c r="Y20" s="3413"/>
      <c r="Z20" s="3203"/>
      <c r="AA20" s="3205">
        <v>1</v>
      </c>
      <c r="AB20" s="3205">
        <v>1</v>
      </c>
      <c r="AC20" s="3205">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3"/>
      <c r="Q21" s="3202" t="str">
        <f>B21</f>
        <v>基础设施水平</v>
      </c>
      <c r="R21" s="1558" t="s">
        <v>11</v>
      </c>
      <c r="S21" s="1559">
        <f>F21</f>
        <v>100</v>
      </c>
      <c r="T21" s="1558" t="s">
        <v>11</v>
      </c>
      <c r="U21" s="1559">
        <f>H21</f>
        <v>100</v>
      </c>
      <c r="V21" s="1558" t="s">
        <v>11</v>
      </c>
      <c r="W21" s="1559">
        <f>J21</f>
        <v>100</v>
      </c>
      <c r="X21" s="3204"/>
      <c r="Y21" s="3413"/>
      <c r="Z21" s="3203" t="str">
        <f>Q21</f>
        <v>基础设施水平</v>
      </c>
      <c r="AA21" s="3205">
        <f t="shared" ref="AA21" si="8">D21/F21</f>
        <v>1</v>
      </c>
      <c r="AB21" s="3205">
        <f t="shared" ref="AB21" si="9">D21/H21</f>
        <v>1</v>
      </c>
      <c r="AC21" s="3205">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413"/>
      <c r="Q22" s="3202"/>
      <c r="R22" s="1558"/>
      <c r="S22" s="1559"/>
      <c r="T22" s="1558"/>
      <c r="U22" s="1559"/>
      <c r="V22" s="1558"/>
      <c r="W22" s="1559"/>
      <c r="X22" s="3204"/>
      <c r="Y22" s="3413"/>
      <c r="Z22" s="3203"/>
      <c r="AA22" s="3205">
        <v>1</v>
      </c>
      <c r="AB22" s="3205">
        <v>1</v>
      </c>
      <c r="AC22" s="3205">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6"/>
      <c r="M23" s="2118"/>
      <c r="N23" s="2118"/>
      <c r="O23" s="2125"/>
      <c r="P23" s="3413"/>
      <c r="Q23" s="3202" t="str">
        <f>B23</f>
        <v>自然及人文环境</v>
      </c>
      <c r="R23" s="1558" t="s">
        <v>11</v>
      </c>
      <c r="S23" s="1559">
        <f>F23</f>
        <v>100</v>
      </c>
      <c r="T23" s="1558" t="s">
        <v>11</v>
      </c>
      <c r="U23" s="1559">
        <f>H23</f>
        <v>104</v>
      </c>
      <c r="V23" s="1558" t="s">
        <v>11</v>
      </c>
      <c r="W23" s="1559">
        <f>J23</f>
        <v>100</v>
      </c>
      <c r="X23" s="3204"/>
      <c r="Y23" s="3413"/>
      <c r="Z23" s="3203" t="str">
        <f>Q23</f>
        <v>自然及人文环境</v>
      </c>
      <c r="AA23" s="3205">
        <f t="shared" si="3"/>
        <v>1</v>
      </c>
      <c r="AB23" s="3205">
        <f t="shared" si="4"/>
        <v>0.96153846153846156</v>
      </c>
      <c r="AC23" s="3205">
        <f t="shared" si="5"/>
        <v>1</v>
      </c>
    </row>
    <row r="24" spans="1:29" ht="15.6" thickBot="1">
      <c r="A24" s="532"/>
      <c r="B24" s="595"/>
      <c r="C24" s="576" t="s">
        <v>3241</v>
      </c>
      <c r="D24" s="555"/>
      <c r="E24" s="556" t="s">
        <v>3241</v>
      </c>
      <c r="F24" s="557"/>
      <c r="G24" s="558" t="s">
        <v>3242</v>
      </c>
      <c r="H24" s="555"/>
      <c r="I24" s="556" t="s">
        <v>3241</v>
      </c>
      <c r="J24" s="555"/>
      <c r="K24" s="870"/>
      <c r="L24" s="2126"/>
      <c r="M24" s="2118"/>
      <c r="N24" s="2118"/>
      <c r="O24" s="2125"/>
      <c r="P24" s="3413"/>
      <c r="Q24" s="3202"/>
      <c r="R24" s="1558"/>
      <c r="S24" s="1559"/>
      <c r="T24" s="1558"/>
      <c r="U24" s="1559"/>
      <c r="V24" s="1558"/>
      <c r="W24" s="1559"/>
      <c r="X24" s="3204"/>
      <c r="Y24" s="3413"/>
      <c r="Z24" s="3203"/>
      <c r="AA24" s="3205">
        <v>1</v>
      </c>
      <c r="AB24" s="3205">
        <v>1</v>
      </c>
      <c r="AC24" s="3205">
        <v>1</v>
      </c>
    </row>
    <row r="25" spans="1:29" ht="15.6" hidden="1" thickBot="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3"/>
      <c r="Q25" s="3202" t="str">
        <f t="shared" ref="Q25:Q46" si="11">B25</f>
        <v>楼层-1</v>
      </c>
      <c r="R25" s="1558" t="s">
        <v>11</v>
      </c>
      <c r="S25" s="1559">
        <f>F25</f>
        <v>100</v>
      </c>
      <c r="T25" s="1558" t="s">
        <v>11</v>
      </c>
      <c r="U25" s="1559">
        <f>H25</f>
        <v>100</v>
      </c>
      <c r="V25" s="1558" t="s">
        <v>11</v>
      </c>
      <c r="W25" s="1559">
        <f>J25</f>
        <v>100</v>
      </c>
      <c r="X25" s="3204"/>
      <c r="Y25" s="3413"/>
      <c r="Z25" s="3203" t="str">
        <f>Q25</f>
        <v>楼层-1</v>
      </c>
      <c r="AA25" s="3205">
        <f t="shared" si="3"/>
        <v>1</v>
      </c>
      <c r="AB25" s="3205">
        <f t="shared" si="4"/>
        <v>1</v>
      </c>
      <c r="AC25" s="3205">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3"/>
      <c r="Q26" s="3202" t="str">
        <f t="shared" si="11"/>
        <v>朝向</v>
      </c>
      <c r="R26" s="1558" t="s">
        <v>11</v>
      </c>
      <c r="S26" s="1559">
        <f>F26</f>
        <v>100</v>
      </c>
      <c r="T26" s="1558" t="s">
        <v>11</v>
      </c>
      <c r="U26" s="1559">
        <f>H26</f>
        <v>100</v>
      </c>
      <c r="V26" s="1558" t="s">
        <v>11</v>
      </c>
      <c r="W26" s="1559">
        <f>J26</f>
        <v>100</v>
      </c>
      <c r="X26" s="3204"/>
      <c r="Y26" s="3413"/>
      <c r="Z26" s="3203" t="str">
        <f>Q26</f>
        <v>朝向</v>
      </c>
      <c r="AA26" s="3205">
        <f t="shared" si="3"/>
        <v>1</v>
      </c>
      <c r="AB26" s="3205">
        <f t="shared" si="4"/>
        <v>1</v>
      </c>
      <c r="AC26" s="3205">
        <f t="shared" si="5"/>
        <v>1</v>
      </c>
    </row>
    <row r="27" spans="1:29" s="1216"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3"/>
      <c r="Q27" s="3200" t="str">
        <f t="shared" si="11"/>
        <v>道路级别</v>
      </c>
      <c r="R27" s="1553" t="s">
        <v>11</v>
      </c>
      <c r="S27" s="1554">
        <f>F27</f>
        <v>100</v>
      </c>
      <c r="T27" s="1553" t="s">
        <v>11</v>
      </c>
      <c r="U27" s="1554">
        <f>H27</f>
        <v>100</v>
      </c>
      <c r="V27" s="1553" t="s">
        <v>11</v>
      </c>
      <c r="W27" s="1554">
        <f>J27</f>
        <v>100</v>
      </c>
      <c r="X27" s="1555"/>
      <c r="Y27" s="3413"/>
      <c r="Z27" s="3195" t="str">
        <f>Q27</f>
        <v>道路级别</v>
      </c>
      <c r="AA27" s="3205">
        <f>D27/F27</f>
        <v>1</v>
      </c>
      <c r="AB27" s="3205">
        <f>D27/H27</f>
        <v>1</v>
      </c>
      <c r="AC27" s="3205">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3"/>
      <c r="Q28" s="3202">
        <f t="shared" si="11"/>
        <v>111</v>
      </c>
      <c r="R28" s="1558" t="s">
        <v>11</v>
      </c>
      <c r="S28" s="1559">
        <f t="shared" ref="S28:S46" si="12">F28</f>
        <v>100</v>
      </c>
      <c r="T28" s="1558" t="s">
        <v>11</v>
      </c>
      <c r="U28" s="1559">
        <f t="shared" ref="U28:U46" si="13">H28</f>
        <v>100</v>
      </c>
      <c r="V28" s="1558" t="s">
        <v>11</v>
      </c>
      <c r="W28" s="1559">
        <f t="shared" ref="W28:W46" si="14">J28</f>
        <v>100</v>
      </c>
      <c r="X28" s="3204"/>
      <c r="Y28" s="3413"/>
      <c r="Z28" s="3203">
        <f t="shared" ref="Z28:Z46" si="15">Q28</f>
        <v>111</v>
      </c>
      <c r="AA28" s="3205">
        <f t="shared" si="3"/>
        <v>1</v>
      </c>
      <c r="AB28" s="3205">
        <f t="shared" si="4"/>
        <v>1</v>
      </c>
      <c r="AC28" s="3205">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3"/>
      <c r="Q29" s="3202">
        <f t="shared" si="11"/>
        <v>111</v>
      </c>
      <c r="R29" s="1558" t="s">
        <v>11</v>
      </c>
      <c r="S29" s="1559">
        <f t="shared" si="12"/>
        <v>100</v>
      </c>
      <c r="T29" s="1558" t="s">
        <v>11</v>
      </c>
      <c r="U29" s="1559">
        <f t="shared" si="13"/>
        <v>100</v>
      </c>
      <c r="V29" s="1558" t="s">
        <v>11</v>
      </c>
      <c r="W29" s="1559">
        <f t="shared" si="14"/>
        <v>100</v>
      </c>
      <c r="X29" s="3204"/>
      <c r="Y29" s="3413"/>
      <c r="Z29" s="3203">
        <f t="shared" si="15"/>
        <v>111</v>
      </c>
      <c r="AA29" s="3205">
        <f t="shared" si="3"/>
        <v>1</v>
      </c>
      <c r="AB29" s="3205">
        <f t="shared" si="4"/>
        <v>1</v>
      </c>
      <c r="AC29" s="3205">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3"/>
      <c r="Q30" s="3202">
        <f t="shared" si="11"/>
        <v>111</v>
      </c>
      <c r="R30" s="1558" t="s">
        <v>11</v>
      </c>
      <c r="S30" s="1559">
        <f t="shared" si="12"/>
        <v>100</v>
      </c>
      <c r="T30" s="1558" t="s">
        <v>11</v>
      </c>
      <c r="U30" s="1559">
        <f t="shared" si="13"/>
        <v>100</v>
      </c>
      <c r="V30" s="1558" t="s">
        <v>11</v>
      </c>
      <c r="W30" s="1559">
        <f t="shared" si="14"/>
        <v>100</v>
      </c>
      <c r="X30" s="3204"/>
      <c r="Y30" s="3413"/>
      <c r="Z30" s="3203">
        <f t="shared" si="15"/>
        <v>111</v>
      </c>
      <c r="AA30" s="3205">
        <f t="shared" si="3"/>
        <v>1</v>
      </c>
      <c r="AB30" s="3205">
        <f t="shared" si="4"/>
        <v>1</v>
      </c>
      <c r="AC30" s="3205">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3"/>
      <c r="Q31" s="3202">
        <f t="shared" si="11"/>
        <v>111</v>
      </c>
      <c r="R31" s="1558" t="s">
        <v>11</v>
      </c>
      <c r="S31" s="1559">
        <f t="shared" si="12"/>
        <v>100</v>
      </c>
      <c r="T31" s="1558" t="s">
        <v>11</v>
      </c>
      <c r="U31" s="1559">
        <f t="shared" si="13"/>
        <v>100</v>
      </c>
      <c r="V31" s="1558" t="s">
        <v>11</v>
      </c>
      <c r="W31" s="1559">
        <f t="shared" si="14"/>
        <v>100</v>
      </c>
      <c r="X31" s="3204"/>
      <c r="Y31" s="3413"/>
      <c r="Z31" s="3203">
        <f t="shared" si="15"/>
        <v>111</v>
      </c>
      <c r="AA31" s="3205">
        <f t="shared" si="3"/>
        <v>1</v>
      </c>
      <c r="AB31" s="3205">
        <f t="shared" si="4"/>
        <v>1</v>
      </c>
      <c r="AC31" s="3205">
        <f t="shared" si="5"/>
        <v>1</v>
      </c>
    </row>
    <row r="32" spans="1:29" ht="15">
      <c r="A32" s="2861" t="s">
        <v>2752</v>
      </c>
      <c r="B32" s="172" t="s">
        <v>725</v>
      </c>
      <c r="C32" s="3207" t="s">
        <v>2999</v>
      </c>
      <c r="D32" s="597">
        <v>100</v>
      </c>
      <c r="E32" s="3207" t="s">
        <v>2999</v>
      </c>
      <c r="F32" s="575">
        <f>SUMIF(100:100,E32,101:101)-SUMIF(100:100,C32,101:101)+100</f>
        <v>100</v>
      </c>
      <c r="G32" s="3207" t="s">
        <v>2999</v>
      </c>
      <c r="H32" s="597">
        <f>SUMIF(100:100,G32,101:101)-SUMIF(100:100,C32,101:101)+100</f>
        <v>100</v>
      </c>
      <c r="I32" s="3208" t="s">
        <v>2999</v>
      </c>
      <c r="J32" s="540">
        <f>SUMIF(100:100,I32,101:101)-SUMIF(100:100,C32,101:101)+100</f>
        <v>100</v>
      </c>
      <c r="K32" s="864">
        <v>5</v>
      </c>
      <c r="L32" s="2126"/>
      <c r="M32" s="2118"/>
      <c r="N32" s="2118"/>
      <c r="O32" s="2125"/>
      <c r="P32" s="3414" t="s">
        <v>550</v>
      </c>
      <c r="Q32" s="3202" t="str">
        <f t="shared" si="11"/>
        <v>建筑类型</v>
      </c>
      <c r="R32" s="1558" t="s">
        <v>11</v>
      </c>
      <c r="S32" s="1559">
        <f t="shared" si="12"/>
        <v>100</v>
      </c>
      <c r="T32" s="1558" t="s">
        <v>11</v>
      </c>
      <c r="U32" s="1559">
        <f t="shared" si="13"/>
        <v>100</v>
      </c>
      <c r="V32" s="1558" t="s">
        <v>11</v>
      </c>
      <c r="W32" s="1559">
        <f t="shared" si="14"/>
        <v>100</v>
      </c>
      <c r="X32" s="3204"/>
      <c r="Y32" s="3415" t="s">
        <v>550</v>
      </c>
      <c r="Z32" s="3203" t="str">
        <f t="shared" si="15"/>
        <v>建筑类型</v>
      </c>
      <c r="AA32" s="3205">
        <f t="shared" si="3"/>
        <v>1</v>
      </c>
      <c r="AB32" s="3205">
        <f t="shared" si="4"/>
        <v>1</v>
      </c>
      <c r="AC32" s="3205">
        <f t="shared" si="5"/>
        <v>1</v>
      </c>
    </row>
    <row r="33" spans="1:29" s="1335" customFormat="1" ht="15">
      <c r="A33" s="603"/>
      <c r="B33" s="527" t="s">
        <v>726</v>
      </c>
      <c r="C33" s="880">
        <f>'数据-汇总表'!F27</f>
        <v>222013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4"/>
      <c r="M33" s="2155"/>
      <c r="N33" s="2155"/>
      <c r="O33" s="2127"/>
      <c r="P33" s="3415"/>
      <c r="Q33" s="1589" t="str">
        <f t="shared" si="11"/>
        <v>项目建筑规模</v>
      </c>
      <c r="R33" s="1562" t="s">
        <v>11</v>
      </c>
      <c r="S33" s="1563">
        <f t="shared" si="12"/>
        <v>100</v>
      </c>
      <c r="T33" s="1562" t="s">
        <v>11</v>
      </c>
      <c r="U33" s="1563">
        <f t="shared" si="13"/>
        <v>98</v>
      </c>
      <c r="V33" s="1562" t="s">
        <v>11</v>
      </c>
      <c r="W33" s="1563">
        <f t="shared" si="14"/>
        <v>100</v>
      </c>
      <c r="X33" s="1564"/>
      <c r="Y33" s="3415"/>
      <c r="Z33" s="1565" t="str">
        <f t="shared" si="15"/>
        <v>项目建筑规模</v>
      </c>
      <c r="AA33" s="3205">
        <f t="shared" si="3"/>
        <v>1</v>
      </c>
      <c r="AB33" s="3205">
        <f t="shared" si="4"/>
        <v>1.0204081632653061</v>
      </c>
      <c r="AC33" s="3205">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15"/>
      <c r="Q34" s="3202" t="str">
        <f t="shared" si="11"/>
        <v>建筑结构</v>
      </c>
      <c r="R34" s="1558" t="s">
        <v>11</v>
      </c>
      <c r="S34" s="1559">
        <f t="shared" si="12"/>
        <v>100</v>
      </c>
      <c r="T34" s="1558" t="s">
        <v>11</v>
      </c>
      <c r="U34" s="1559">
        <f t="shared" si="13"/>
        <v>100</v>
      </c>
      <c r="V34" s="1558" t="s">
        <v>11</v>
      </c>
      <c r="W34" s="1559">
        <f t="shared" si="14"/>
        <v>100</v>
      </c>
      <c r="X34" s="3204"/>
      <c r="Y34" s="3415"/>
      <c r="Z34" s="3203" t="str">
        <f t="shared" si="15"/>
        <v>建筑结构</v>
      </c>
      <c r="AA34" s="3205">
        <f t="shared" si="3"/>
        <v>1</v>
      </c>
      <c r="AB34" s="3205">
        <f t="shared" si="4"/>
        <v>1</v>
      </c>
      <c r="AC34" s="3205">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15"/>
      <c r="Q35" s="3202" t="str">
        <f t="shared" si="11"/>
        <v>建筑品质</v>
      </c>
      <c r="R35" s="1558" t="s">
        <v>11</v>
      </c>
      <c r="S35" s="1559">
        <f t="shared" si="12"/>
        <v>100</v>
      </c>
      <c r="T35" s="1558" t="s">
        <v>11</v>
      </c>
      <c r="U35" s="1559">
        <f t="shared" si="13"/>
        <v>100</v>
      </c>
      <c r="V35" s="1558" t="s">
        <v>11</v>
      </c>
      <c r="W35" s="1559">
        <f t="shared" si="14"/>
        <v>100</v>
      </c>
      <c r="X35" s="3204"/>
      <c r="Y35" s="3415"/>
      <c r="Z35" s="3203" t="str">
        <f t="shared" si="15"/>
        <v>建筑品质</v>
      </c>
      <c r="AA35" s="3205">
        <f t="shared" si="3"/>
        <v>1</v>
      </c>
      <c r="AB35" s="3205">
        <f t="shared" si="4"/>
        <v>1</v>
      </c>
      <c r="AC35" s="3205">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15"/>
      <c r="Q36" s="3202" t="str">
        <f t="shared" si="11"/>
        <v>公共部分装修</v>
      </c>
      <c r="R36" s="1558" t="s">
        <v>11</v>
      </c>
      <c r="S36" s="1559">
        <f t="shared" si="12"/>
        <v>100</v>
      </c>
      <c r="T36" s="1558" t="s">
        <v>11</v>
      </c>
      <c r="U36" s="1559">
        <f t="shared" si="13"/>
        <v>100</v>
      </c>
      <c r="V36" s="1558" t="s">
        <v>11</v>
      </c>
      <c r="W36" s="1559">
        <f t="shared" si="14"/>
        <v>100</v>
      </c>
      <c r="X36" s="3204"/>
      <c r="Y36" s="3415"/>
      <c r="Z36" s="3203" t="str">
        <f t="shared" si="15"/>
        <v>公共部分装修</v>
      </c>
      <c r="AA36" s="3205">
        <f t="shared" si="3"/>
        <v>1</v>
      </c>
      <c r="AB36" s="3205">
        <f t="shared" si="4"/>
        <v>1</v>
      </c>
      <c r="AC36" s="3205">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15"/>
      <c r="Q37" s="3200" t="str">
        <f t="shared" si="11"/>
        <v>成新度</v>
      </c>
      <c r="R37" s="1553" t="s">
        <v>11</v>
      </c>
      <c r="S37" s="1554">
        <f t="shared" si="12"/>
        <v>100</v>
      </c>
      <c r="T37" s="1553" t="s">
        <v>11</v>
      </c>
      <c r="U37" s="1554">
        <f t="shared" si="13"/>
        <v>100</v>
      </c>
      <c r="V37" s="1553" t="s">
        <v>11</v>
      </c>
      <c r="W37" s="1554">
        <f t="shared" si="14"/>
        <v>100</v>
      </c>
      <c r="X37" s="1555"/>
      <c r="Y37" s="3415"/>
      <c r="Z37" s="3195"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15" t="s">
        <v>550</v>
      </c>
      <c r="Q38" s="3202" t="str">
        <f t="shared" si="11"/>
        <v>物业管理</v>
      </c>
      <c r="R38" s="1558" t="s">
        <v>11</v>
      </c>
      <c r="S38" s="1559">
        <f t="shared" si="12"/>
        <v>100</v>
      </c>
      <c r="T38" s="1558" t="s">
        <v>11</v>
      </c>
      <c r="U38" s="1559">
        <f t="shared" si="13"/>
        <v>100</v>
      </c>
      <c r="V38" s="1558" t="s">
        <v>11</v>
      </c>
      <c r="W38" s="1559">
        <f t="shared" si="14"/>
        <v>100</v>
      </c>
      <c r="X38" s="3204"/>
      <c r="Y38" s="3415" t="s">
        <v>550</v>
      </c>
      <c r="Z38" s="3203" t="str">
        <f t="shared" si="15"/>
        <v>物业管理</v>
      </c>
      <c r="AA38" s="3205">
        <f t="shared" si="3"/>
        <v>1</v>
      </c>
      <c r="AB38" s="3205">
        <f t="shared" si="4"/>
        <v>1</v>
      </c>
      <c r="AC38" s="3205">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15"/>
      <c r="Q39" s="3202" t="str">
        <f t="shared" si="11"/>
        <v>市政基础设施</v>
      </c>
      <c r="R39" s="1558" t="s">
        <v>11</v>
      </c>
      <c r="S39" s="1559">
        <f t="shared" si="12"/>
        <v>100</v>
      </c>
      <c r="T39" s="1558" t="s">
        <v>11</v>
      </c>
      <c r="U39" s="1559">
        <f t="shared" si="13"/>
        <v>100</v>
      </c>
      <c r="V39" s="1558" t="s">
        <v>11</v>
      </c>
      <c r="W39" s="1559">
        <f t="shared" si="14"/>
        <v>100</v>
      </c>
      <c r="X39" s="3204"/>
      <c r="Y39" s="3415"/>
      <c r="Z39" s="3203" t="str">
        <f t="shared" si="15"/>
        <v>市政基础设施</v>
      </c>
      <c r="AA39" s="3205">
        <f t="shared" si="3"/>
        <v>1</v>
      </c>
      <c r="AB39" s="3205">
        <f t="shared" si="4"/>
        <v>1</v>
      </c>
      <c r="AC39" s="3205">
        <f t="shared" si="5"/>
        <v>1</v>
      </c>
    </row>
    <row r="40" spans="1:29" ht="15">
      <c r="A40" s="594"/>
      <c r="B40" s="527" t="s">
        <v>732</v>
      </c>
      <c r="C40" s="599" t="s">
        <v>3268</v>
      </c>
      <c r="D40" s="540">
        <v>100</v>
      </c>
      <c r="E40" s="874" t="s">
        <v>3282</v>
      </c>
      <c r="F40" s="575">
        <f>SUMIF(118:118,E40,119:119)-SUMIF(118:118,C40,119:119)+100</f>
        <v>103</v>
      </c>
      <c r="G40" s="874" t="s">
        <v>3268</v>
      </c>
      <c r="H40" s="540">
        <f>SUMIF(118:118,G40,119:119)-SUMIF(118:118,C40,119:119)+100</f>
        <v>100</v>
      </c>
      <c r="I40" s="874" t="s">
        <v>3268</v>
      </c>
      <c r="J40" s="540">
        <f>SUMIF(118:118,I40,119:119)-SUMIF(118:118,C40,119:119)+100</f>
        <v>100</v>
      </c>
      <c r="K40" s="864">
        <v>3</v>
      </c>
      <c r="L40" s="2126"/>
      <c r="M40" s="2118"/>
      <c r="N40" s="2118"/>
      <c r="O40" s="2125"/>
      <c r="P40" s="3415"/>
      <c r="Q40" s="3202" t="str">
        <f t="shared" si="11"/>
        <v>房型</v>
      </c>
      <c r="R40" s="1558" t="s">
        <v>11</v>
      </c>
      <c r="S40" s="1559">
        <f t="shared" si="12"/>
        <v>103</v>
      </c>
      <c r="T40" s="1558" t="s">
        <v>11</v>
      </c>
      <c r="U40" s="1559">
        <f t="shared" si="13"/>
        <v>100</v>
      </c>
      <c r="V40" s="1558" t="s">
        <v>11</v>
      </c>
      <c r="W40" s="1559">
        <f t="shared" si="14"/>
        <v>100</v>
      </c>
      <c r="X40" s="3204"/>
      <c r="Y40" s="3415"/>
      <c r="Z40" s="3203" t="str">
        <f t="shared" si="15"/>
        <v>房型</v>
      </c>
      <c r="AA40" s="3205">
        <f t="shared" si="3"/>
        <v>0.970873786407767</v>
      </c>
      <c r="AB40" s="3205">
        <f t="shared" si="4"/>
        <v>1</v>
      </c>
      <c r="AC40" s="3205">
        <f t="shared" si="5"/>
        <v>1</v>
      </c>
    </row>
    <row r="41" spans="1:29" s="1335" customFormat="1" ht="28.8"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15"/>
      <c r="Q41" s="1589" t="str">
        <f t="shared" si="11"/>
        <v>单套/主力户型建筑面积</v>
      </c>
      <c r="R41" s="1562" t="s">
        <v>11</v>
      </c>
      <c r="S41" s="1563">
        <f t="shared" si="12"/>
        <v>100</v>
      </c>
      <c r="T41" s="1562" t="s">
        <v>11</v>
      </c>
      <c r="U41" s="1563">
        <f t="shared" si="13"/>
        <v>100</v>
      </c>
      <c r="V41" s="1562" t="s">
        <v>11</v>
      </c>
      <c r="W41" s="1563">
        <f t="shared" si="14"/>
        <v>100</v>
      </c>
      <c r="X41" s="1564"/>
      <c r="Y41" s="3415"/>
      <c r="Z41" s="1565" t="str">
        <f t="shared" si="15"/>
        <v>单套/主力户型建筑面积</v>
      </c>
      <c r="AA41" s="3205">
        <f t="shared" si="3"/>
        <v>1</v>
      </c>
      <c r="AB41" s="3205">
        <f t="shared" si="4"/>
        <v>1</v>
      </c>
      <c r="AC41" s="3205">
        <f t="shared" si="5"/>
        <v>1</v>
      </c>
    </row>
    <row r="42" spans="1:29" ht="15.6" thickBot="1">
      <c r="A42" s="594"/>
      <c r="B42" s="527" t="s">
        <v>734</v>
      </c>
      <c r="C42" s="599" t="s">
        <v>3272</v>
      </c>
      <c r="D42" s="540">
        <v>100</v>
      </c>
      <c r="E42" s="874" t="s">
        <v>3272</v>
      </c>
      <c r="F42" s="575">
        <f>SUMIF(122:122,E42,123:123)-SUMIF(122:122,C42,123:123)+100</f>
        <v>100</v>
      </c>
      <c r="G42" s="874" t="s">
        <v>3260</v>
      </c>
      <c r="H42" s="540">
        <f>SUMIF(122:122,G42,123:123)-SUMIF(122:122,C42,123:123)+100</f>
        <v>115</v>
      </c>
      <c r="I42" s="874" t="s">
        <v>3260</v>
      </c>
      <c r="J42" s="540">
        <f>SUMIF(122:122,I42,123:123)-SUMIF(122:122,C42,123:123)+100</f>
        <v>115</v>
      </c>
      <c r="K42" s="864">
        <v>5</v>
      </c>
      <c r="L42" s="2126"/>
      <c r="M42" s="2118"/>
      <c r="N42" s="2118"/>
      <c r="O42" s="2125"/>
      <c r="P42" s="3415"/>
      <c r="Q42" s="3202" t="str">
        <f t="shared" si="11"/>
        <v>内部装修</v>
      </c>
      <c r="R42" s="1558" t="s">
        <v>11</v>
      </c>
      <c r="S42" s="1559">
        <f t="shared" si="12"/>
        <v>100</v>
      </c>
      <c r="T42" s="1558" t="s">
        <v>11</v>
      </c>
      <c r="U42" s="1559">
        <f t="shared" si="13"/>
        <v>115</v>
      </c>
      <c r="V42" s="1558" t="s">
        <v>11</v>
      </c>
      <c r="W42" s="1559">
        <f t="shared" si="14"/>
        <v>115</v>
      </c>
      <c r="X42" s="3204"/>
      <c r="Y42" s="3415"/>
      <c r="Z42" s="3203" t="str">
        <f t="shared" si="15"/>
        <v>内部装修</v>
      </c>
      <c r="AA42" s="3205">
        <f t="shared" si="3"/>
        <v>1</v>
      </c>
      <c r="AB42" s="3205">
        <f t="shared" si="4"/>
        <v>0.86956521739130432</v>
      </c>
      <c r="AC42" s="3205">
        <f t="shared" si="5"/>
        <v>0.86956521739130432</v>
      </c>
    </row>
    <row r="43" spans="1:29" ht="29.4"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5"/>
      <c r="Q43" s="3202" t="str">
        <f t="shared" si="11"/>
        <v>内部装修维护情况</v>
      </c>
      <c r="R43" s="1558" t="s">
        <v>11</v>
      </c>
      <c r="S43" s="1559">
        <f t="shared" si="12"/>
        <v>100</v>
      </c>
      <c r="T43" s="1558" t="s">
        <v>11</v>
      </c>
      <c r="U43" s="1559">
        <f t="shared" si="13"/>
        <v>100</v>
      </c>
      <c r="V43" s="1558" t="s">
        <v>11</v>
      </c>
      <c r="W43" s="1559">
        <f t="shared" si="14"/>
        <v>100</v>
      </c>
      <c r="X43" s="3204"/>
      <c r="Y43" s="3415"/>
      <c r="Z43" s="3203" t="str">
        <f t="shared" si="15"/>
        <v>内部装修维护情况</v>
      </c>
      <c r="AA43" s="3205">
        <f t="shared" si="3"/>
        <v>1</v>
      </c>
      <c r="AB43" s="3205">
        <f t="shared" si="4"/>
        <v>1</v>
      </c>
      <c r="AC43" s="3205">
        <f t="shared" si="5"/>
        <v>1</v>
      </c>
    </row>
    <row r="44" spans="1:29" s="1216" customFormat="1" ht="15.6"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5"/>
      <c r="Q44" s="3200">
        <f t="shared" si="11"/>
        <v>111</v>
      </c>
      <c r="R44" s="1553" t="s">
        <v>11</v>
      </c>
      <c r="S44" s="1554">
        <f t="shared" si="12"/>
        <v>100</v>
      </c>
      <c r="T44" s="1553" t="s">
        <v>11</v>
      </c>
      <c r="U44" s="1554">
        <f t="shared" si="13"/>
        <v>100</v>
      </c>
      <c r="V44" s="1553" t="s">
        <v>11</v>
      </c>
      <c r="W44" s="1554">
        <f t="shared" si="14"/>
        <v>100</v>
      </c>
      <c r="X44" s="1555"/>
      <c r="Y44" s="3415"/>
      <c r="Z44" s="3195">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5"/>
      <c r="Q45" s="3202">
        <f t="shared" si="11"/>
        <v>111</v>
      </c>
      <c r="R45" s="1558" t="s">
        <v>11</v>
      </c>
      <c r="S45" s="1559">
        <f t="shared" si="12"/>
        <v>100</v>
      </c>
      <c r="T45" s="1558" t="s">
        <v>11</v>
      </c>
      <c r="U45" s="1559">
        <f t="shared" si="13"/>
        <v>100</v>
      </c>
      <c r="V45" s="1558" t="s">
        <v>11</v>
      </c>
      <c r="W45" s="1559">
        <f t="shared" si="14"/>
        <v>100</v>
      </c>
      <c r="X45" s="3204"/>
      <c r="Y45" s="3415"/>
      <c r="Z45" s="3203">
        <f t="shared" si="15"/>
        <v>111</v>
      </c>
      <c r="AA45" s="3205">
        <f t="shared" si="3"/>
        <v>1</v>
      </c>
      <c r="AB45" s="3205">
        <f t="shared" si="4"/>
        <v>1</v>
      </c>
      <c r="AC45" s="3205">
        <f t="shared" si="5"/>
        <v>1</v>
      </c>
    </row>
    <row r="46" spans="1:29" ht="15.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73"/>
      <c r="Q46" s="3202">
        <f t="shared" si="11"/>
        <v>111</v>
      </c>
      <c r="R46" s="1558" t="s">
        <v>10</v>
      </c>
      <c r="S46" s="1559">
        <f t="shared" si="12"/>
        <v>100</v>
      </c>
      <c r="T46" s="1558" t="s">
        <v>10</v>
      </c>
      <c r="U46" s="1559">
        <f t="shared" si="13"/>
        <v>100</v>
      </c>
      <c r="V46" s="1558" t="s">
        <v>10</v>
      </c>
      <c r="W46" s="1559">
        <f t="shared" si="14"/>
        <v>100</v>
      </c>
      <c r="X46" s="3204"/>
      <c r="Y46" s="3473"/>
      <c r="Z46" s="3203">
        <f t="shared" si="15"/>
        <v>111</v>
      </c>
      <c r="AA46" s="3205">
        <f t="shared" si="3"/>
        <v>1</v>
      </c>
      <c r="AB46" s="3205">
        <f t="shared" si="4"/>
        <v>1</v>
      </c>
      <c r="AC46" s="3205">
        <f t="shared" si="5"/>
        <v>1</v>
      </c>
    </row>
    <row r="47" spans="1:29" ht="14.4">
      <c r="A47" s="607" t="s">
        <v>736</v>
      </c>
      <c r="B47" s="887"/>
      <c r="C47" s="2590" t="s">
        <v>9</v>
      </c>
      <c r="D47" s="2591"/>
      <c r="E47" s="2592">
        <v>7500</v>
      </c>
      <c r="F47" s="2593"/>
      <c r="G47" s="2594">
        <v>11000</v>
      </c>
      <c r="H47" s="2595"/>
      <c r="I47" s="2592">
        <v>10000</v>
      </c>
      <c r="J47" s="2595"/>
      <c r="K47" s="1590"/>
      <c r="L47" s="2128"/>
      <c r="M47" s="2129"/>
      <c r="N47" s="2118"/>
      <c r="O47" s="2129"/>
      <c r="P47" s="3377" t="str">
        <f>A47</f>
        <v>成交单价（元/平方米）</v>
      </c>
      <c r="Q47" s="3377"/>
      <c r="R47" s="3472">
        <f>E47</f>
        <v>7500</v>
      </c>
      <c r="S47" s="3472"/>
      <c r="T47" s="3472">
        <f>G47</f>
        <v>11000</v>
      </c>
      <c r="U47" s="3472"/>
      <c r="V47" s="3472">
        <f>I47</f>
        <v>10000</v>
      </c>
      <c r="W47" s="3472"/>
      <c r="X47" s="1544"/>
      <c r="Y47" s="1566"/>
      <c r="Z47" s="1544"/>
      <c r="AA47" s="1544"/>
      <c r="AB47" s="1544"/>
      <c r="AC47" s="1544"/>
    </row>
    <row r="48" spans="1:29" ht="15" thickBot="1">
      <c r="A48" s="615" t="s">
        <v>2757</v>
      </c>
      <c r="B48" s="888"/>
      <c r="C48" s="2596">
        <f>R49</f>
        <v>7684</v>
      </c>
      <c r="D48" s="2597"/>
      <c r="E48" s="2598">
        <f>R48</f>
        <v>6798</v>
      </c>
      <c r="F48" s="2598"/>
      <c r="G48" s="2596">
        <f>T48</f>
        <v>8596</v>
      </c>
      <c r="H48" s="2597"/>
      <c r="I48" s="2598">
        <f>V48</f>
        <v>7658</v>
      </c>
      <c r="J48" s="2597"/>
      <c r="K48" s="1591"/>
      <c r="L48" s="2128"/>
      <c r="M48" s="2129"/>
      <c r="N48" s="2129"/>
      <c r="O48" s="2129"/>
      <c r="P48" s="3377" t="str">
        <f>A48</f>
        <v>比较价格（元/平方米）</v>
      </c>
      <c r="Q48" s="3377"/>
      <c r="R48" s="3472">
        <f>IF(F1="售价",ROUND(PRODUCT(R47,AA7:AA46),0),ROUND(PRODUCT(R47,AA7:AA46),1))</f>
        <v>6798</v>
      </c>
      <c r="S48" s="3472"/>
      <c r="T48" s="3472">
        <f>IF(F1="售价",ROUND(PRODUCT(T47,AB7:AB46),0),ROUND(PRODUCT(T47,AB7:AB46),1))</f>
        <v>8596</v>
      </c>
      <c r="U48" s="3472"/>
      <c r="V48" s="3472">
        <f>IF(F1="售价",ROUND(PRODUCT(V47,AC7:AC46),0),ROUND(PRODUCT(V47,AC7:AC46),1))</f>
        <v>7658</v>
      </c>
      <c r="W48" s="3472"/>
      <c r="X48" s="1544"/>
      <c r="Y48" s="1544"/>
      <c r="Z48" s="1544"/>
      <c r="AA48" s="1544"/>
      <c r="AB48" s="1544"/>
      <c r="AC48" s="1544"/>
    </row>
    <row r="49" spans="1:29" ht="15" thickBot="1">
      <c r="A49" s="621" t="s">
        <v>2924</v>
      </c>
      <c r="B49" s="622"/>
      <c r="C49" s="2599">
        <f>R49</f>
        <v>7684</v>
      </c>
      <c r="D49" s="2599"/>
      <c r="E49" s="2599"/>
      <c r="F49" s="2599"/>
      <c r="G49" s="2599"/>
      <c r="H49" s="2599"/>
      <c r="I49" s="2599"/>
      <c r="J49" s="2599"/>
      <c r="K49" s="1592"/>
      <c r="L49" s="2128"/>
      <c r="M49" s="2129"/>
      <c r="N49" s="2129"/>
      <c r="O49" s="2129"/>
      <c r="P49" s="3374" t="str">
        <f>A49</f>
        <v>估价对象XX用房的比较价格（楼面单价，元/平方米）</v>
      </c>
      <c r="Q49" s="3375"/>
      <c r="R49" s="3471">
        <f>IF(F1="售价",ROUND(AVERAGE(R48:V48),0),ROUND(AVERAGE(R48:V48),1))</f>
        <v>7684</v>
      </c>
      <c r="S49" s="3471"/>
      <c r="T49" s="3471"/>
      <c r="U49" s="3471"/>
      <c r="V49" s="3471"/>
      <c r="W49" s="3471"/>
      <c r="X49" s="1544"/>
      <c r="Y49" s="1544"/>
      <c r="Z49" s="1544"/>
      <c r="AA49" s="1544"/>
      <c r="AB49" s="1544"/>
      <c r="AC49" s="1544"/>
    </row>
    <row r="50" spans="1:29" ht="14.4">
      <c r="A50" s="2129"/>
      <c r="B50" s="2129"/>
      <c r="C50" s="2129"/>
      <c r="D50" s="2129"/>
      <c r="E50" s="2129"/>
      <c r="F50" s="2129"/>
      <c r="G50" s="2132" t="s">
        <v>3285</v>
      </c>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9" t="s">
        <v>3284</v>
      </c>
      <c r="D100" s="3189"/>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3283</v>
      </c>
      <c r="D118" s="3194" t="s">
        <v>3269</v>
      </c>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2996</v>
      </c>
      <c r="D1" s="3072" t="s">
        <v>3007</v>
      </c>
      <c r="E1" s="2350" t="s">
        <v>2372</v>
      </c>
      <c r="F1" s="2351">
        <f ca="1">J53</f>
        <v>27.14</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2381</v>
      </c>
      <c r="C2" s="2041"/>
      <c r="D2" s="2039"/>
      <c r="E2" s="2040"/>
      <c r="F2" s="2040"/>
      <c r="G2" s="1575"/>
      <c r="H2" s="2041"/>
      <c r="I2" s="2041"/>
      <c r="J2" s="2041"/>
      <c r="K2" s="2042"/>
      <c r="L2" s="2041"/>
      <c r="M2" s="2041"/>
    </row>
    <row r="3" spans="1:33" ht="18" customHeight="1" thickBot="1">
      <c r="A3" s="833" t="s">
        <v>1727</v>
      </c>
      <c r="B3" s="834">
        <f ca="1">IF(ISERROR(B2*10000/F43),0,ROUND(B2*10000/F43,0))</f>
        <v>10725</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182</v>
      </c>
      <c r="D5" s="2459" t="s">
        <v>2459</v>
      </c>
      <c r="E5" s="2453"/>
      <c r="F5" s="2454"/>
      <c r="G5" s="1577"/>
      <c r="H5" s="781">
        <v>1</v>
      </c>
      <c r="I5" s="782" t="s">
        <v>2456</v>
      </c>
      <c r="J5" s="55">
        <f ca="1">J6+J10+J12</f>
        <v>0</v>
      </c>
      <c r="K5" s="2459" t="s">
        <v>2459</v>
      </c>
      <c r="L5" s="2453"/>
      <c r="M5" s="2454"/>
    </row>
    <row r="6" spans="1:33" ht="18" customHeight="1">
      <c r="A6" s="1814" t="s">
        <v>1824</v>
      </c>
      <c r="B6" s="3465" t="s">
        <v>2461</v>
      </c>
      <c r="C6" s="783">
        <f ca="1">ROUND(F6*F8*F7*(1-F9)/10000,0)</f>
        <v>182</v>
      </c>
      <c r="D6" s="2460" t="s">
        <v>2460</v>
      </c>
      <c r="E6" s="784" t="s">
        <v>1738</v>
      </c>
      <c r="F6" s="785">
        <f ca="1">INDIRECT("'数据-取费表'!u"&amp;$G$1)</f>
        <v>2.5</v>
      </c>
      <c r="G6" s="1577"/>
      <c r="H6" s="2467" t="s">
        <v>2466</v>
      </c>
      <c r="I6" s="3465" t="s">
        <v>2461</v>
      </c>
      <c r="J6" s="783">
        <f ca="1">ROUND(M6*M8*M7*(1-M9)/10000,0)</f>
        <v>0</v>
      </c>
      <c r="K6" s="341" t="s">
        <v>1737</v>
      </c>
      <c r="L6" s="784" t="s">
        <v>1738</v>
      </c>
      <c r="M6" s="785">
        <f ca="1">INDIRECT("'数据-取费表'!z"&amp;$G$1)</f>
        <v>0</v>
      </c>
    </row>
    <row r="7" spans="1:33" ht="18" customHeight="1">
      <c r="A7" s="2463"/>
      <c r="B7" s="3466"/>
      <c r="C7" s="788"/>
      <c r="D7" s="789"/>
      <c r="E7" s="784" t="s">
        <v>1739</v>
      </c>
      <c r="F7" s="785">
        <f ca="1">IF(INDIRECT("'数据-取费表'!ah"&amp;$G$1)="",INDIRECT("'数据-取费表'!k"&amp;$G$1),INDIRECT("'数据-取费表'!ah"&amp;$G$1))</f>
        <v>2220</v>
      </c>
      <c r="G7" s="1577"/>
      <c r="H7" s="2452"/>
      <c r="I7" s="3466"/>
      <c r="J7" s="788"/>
      <c r="K7" s="789"/>
      <c r="L7" s="784" t="s">
        <v>1739</v>
      </c>
      <c r="M7" s="785">
        <f ca="1">F7</f>
        <v>2220</v>
      </c>
    </row>
    <row r="8" spans="1:33" ht="18" customHeight="1">
      <c r="A8" s="2456"/>
      <c r="B8" s="3467"/>
      <c r="C8" s="788"/>
      <c r="D8" s="789"/>
      <c r="E8" s="784" t="s">
        <v>1740</v>
      </c>
      <c r="F8" s="785">
        <f ca="1">INDIRECT("'数据-取费表'!ai"&amp;$G$1)</f>
        <v>365</v>
      </c>
      <c r="G8" s="1577"/>
      <c r="H8" s="2452"/>
      <c r="I8" s="3467"/>
      <c r="J8" s="788"/>
      <c r="K8" s="789"/>
      <c r="L8" s="784" t="s">
        <v>1740</v>
      </c>
      <c r="M8" s="785">
        <f ca="1">INDIRECT("'数据-取费表'!ai"&amp;$G$1)</f>
        <v>365</v>
      </c>
    </row>
    <row r="9" spans="1:33" ht="18" customHeight="1">
      <c r="A9" s="786"/>
      <c r="B9" s="3468"/>
      <c r="C9" s="788"/>
      <c r="D9" s="789"/>
      <c r="E9" s="784" t="s">
        <v>1741</v>
      </c>
      <c r="F9" s="794">
        <f ca="1">INDIRECT("'数据-取费表'!w"&amp;$G$1)</f>
        <v>0.1</v>
      </c>
      <c r="G9" s="1577"/>
      <c r="H9" s="2468"/>
      <c r="I9" s="3467"/>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3249</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1050</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666</v>
      </c>
      <c r="D14" s="1963" t="s">
        <v>1745</v>
      </c>
      <c r="E14" s="1964"/>
      <c r="F14" s="805"/>
      <c r="G14" s="1577"/>
      <c r="H14" s="1633" t="s">
        <v>1830</v>
      </c>
      <c r="I14" s="2215" t="s">
        <v>2823</v>
      </c>
      <c r="J14" s="53">
        <f ca="1">C29</f>
        <v>1050</v>
      </c>
      <c r="K14" s="26"/>
      <c r="L14" s="801"/>
      <c r="M14" s="802"/>
    </row>
    <row r="15" spans="1:33" s="2048" customFormat="1" ht="18" customHeight="1" thickBot="1">
      <c r="A15" s="1632" t="s">
        <v>1885</v>
      </c>
      <c r="B15" s="784" t="s">
        <v>647</v>
      </c>
      <c r="C15" s="53">
        <f ca="1">ROUND(C14*F15,0)</f>
        <v>33</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104</v>
      </c>
      <c r="K16" s="1805" t="s">
        <v>1750</v>
      </c>
      <c r="L16" s="2449"/>
      <c r="M16" s="2454"/>
    </row>
    <row r="17" spans="1:33" s="2048" customFormat="1" ht="18" customHeight="1">
      <c r="A17" s="1632" t="s">
        <v>1887</v>
      </c>
      <c r="B17" s="784" t="s">
        <v>653</v>
      </c>
      <c r="C17" s="53">
        <f ca="1">ROUND(F17*(F43+INDIRECT("'数据-取费表'!S"&amp;$G$1))/10000,0)</f>
        <v>44</v>
      </c>
      <c r="D17" s="784" t="s">
        <v>1751</v>
      </c>
      <c r="E17" s="784" t="s">
        <v>1752</v>
      </c>
      <c r="F17" s="56">
        <f>'数据-取费表'!B35</f>
        <v>200</v>
      </c>
      <c r="G17" s="1578"/>
      <c r="H17" s="1633" t="s">
        <v>1830</v>
      </c>
      <c r="I17" s="784" t="s">
        <v>656</v>
      </c>
      <c r="J17" s="53">
        <f ca="1">ROUND(IF(项目基本情况!B11="自然人",J6*M17/(1+'数据-取费表'!C42),J18+J19+J20),0)</f>
        <v>88</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753</v>
      </c>
      <c r="D19" s="261" t="s">
        <v>1757</v>
      </c>
      <c r="E19" s="1966"/>
      <c r="F19" s="56"/>
      <c r="G19" s="1577"/>
      <c r="H19" s="1632" t="s">
        <v>1885</v>
      </c>
      <c r="I19" s="784" t="s">
        <v>1758</v>
      </c>
      <c r="J19" s="53">
        <f ca="1">IF(K19="按租金收入计税",ROUND(J6*M19/(1+'数据-取费表'!C42),1),ROUND(C29*F33*0.7,1))</f>
        <v>88.2</v>
      </c>
      <c r="K19" s="811" t="s">
        <v>665</v>
      </c>
      <c r="L19" s="784" t="s">
        <v>1747</v>
      </c>
      <c r="M19" s="809">
        <f>IF(K19="按租金收入计税",'数据-取费表'!B51,'数据-取费表'!B50)</f>
        <v>1.2E-2</v>
      </c>
    </row>
    <row r="20" spans="1:33" s="2048" customFormat="1" ht="18" customHeight="1">
      <c r="A20" s="1633" t="s">
        <v>1889</v>
      </c>
      <c r="B20" s="784" t="s">
        <v>666</v>
      </c>
      <c r="C20" s="53">
        <f ca="1">ROUND(C19*F20,0)</f>
        <v>15</v>
      </c>
      <c r="D20" s="812" t="s">
        <v>1759</v>
      </c>
      <c r="E20" s="784" t="s">
        <v>1747</v>
      </c>
      <c r="F20" s="809">
        <f>'数据-取费表'!B37</f>
        <v>0.02</v>
      </c>
      <c r="G20" s="1578"/>
      <c r="H20" s="1635" t="s">
        <v>1880</v>
      </c>
      <c r="I20" s="341" t="s">
        <v>1760</v>
      </c>
      <c r="J20" s="54">
        <f ca="1">ROUND(M20*M21/10000,0)</f>
        <v>0</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391.83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16</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46</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-104</v>
      </c>
      <c r="K25" s="2511" t="s">
        <v>1777</v>
      </c>
      <c r="L25" s="2512"/>
      <c r="M25" s="2513"/>
    </row>
    <row r="26" spans="1:33" ht="18" customHeight="1">
      <c r="A26" s="1632" t="s">
        <v>1831</v>
      </c>
      <c r="B26" s="784" t="s">
        <v>2436</v>
      </c>
      <c r="C26" s="53">
        <f ca="1">ROUND((C19+C20)*F26,0)</f>
        <v>154</v>
      </c>
      <c r="D26" s="812" t="s">
        <v>1778</v>
      </c>
      <c r="E26" s="795" t="s">
        <v>1779</v>
      </c>
      <c r="F26" s="794">
        <f ca="1">INDIRECT("'数据-取费表'!q"&amp;$G$1)</f>
        <v>0.2</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4.0000000000000001E-3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1050</v>
      </c>
      <c r="D29" s="2508"/>
      <c r="E29" s="2509"/>
      <c r="F29" s="2510"/>
      <c r="G29" s="1578"/>
      <c r="H29" s="823" t="s">
        <v>1787</v>
      </c>
      <c r="I29" s="824" t="s">
        <v>1788</v>
      </c>
      <c r="J29" s="825">
        <f ca="1">ROUND(J26/(1+F40)^F41,0)</f>
        <v>0</v>
      </c>
      <c r="K29" s="826" t="s">
        <v>1789</v>
      </c>
      <c r="L29" s="827"/>
      <c r="M29" s="828">
        <f ca="1">INDIRECT("'数据-取费表'!k"&amp;$G$1)</f>
        <v>2220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50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30.9</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9.6999999999999993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20.8</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0.4</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391.83</v>
      </c>
      <c r="G35" s="2046"/>
      <c r="H35" s="2049"/>
      <c r="I35" s="837" t="s">
        <v>1814</v>
      </c>
      <c r="J35" s="838">
        <f ca="1">ROUND(C13*J36,0)</f>
        <v>89</v>
      </c>
      <c r="K35" s="2062"/>
      <c r="L35" s="2061"/>
      <c r="M35" s="2061"/>
    </row>
    <row r="36" spans="1:18" ht="18" customHeight="1">
      <c r="A36" s="1633" t="s">
        <v>1889</v>
      </c>
      <c r="B36" s="784" t="s">
        <v>1802</v>
      </c>
      <c r="C36" s="53">
        <f ca="1">ROUND(C29*F36,1)</f>
        <v>15.8</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1.8</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132</v>
      </c>
      <c r="D39" s="2511" t="s">
        <v>1806</v>
      </c>
      <c r="E39" s="2512"/>
      <c r="F39" s="2513"/>
      <c r="G39" s="2046"/>
      <c r="H39" s="2061"/>
      <c r="I39" s="837" t="s">
        <v>1818</v>
      </c>
      <c r="J39" s="845">
        <f ca="1">ROUND(J35/C39,3)</f>
        <v>0.67400000000000004</v>
      </c>
      <c r="K39" s="2067"/>
      <c r="L39" s="2061"/>
      <c r="M39" s="2061"/>
    </row>
    <row r="40" spans="1:18" ht="18" customHeight="1">
      <c r="A40" s="781" t="s">
        <v>1895</v>
      </c>
      <c r="B40" s="2216" t="s">
        <v>2299</v>
      </c>
      <c r="C40" s="783">
        <f ca="1">ROUND(C39*(1-((1+F42)/(1+F40))^F41)/(F40-F42),0)</f>
        <v>2381</v>
      </c>
      <c r="D40" s="814" t="s">
        <v>1807</v>
      </c>
      <c r="E40" s="784" t="s">
        <v>2417</v>
      </c>
      <c r="F40" s="794">
        <f ca="1">INDIRECT("'数据-取费表'!I"&amp;$G$1)</f>
        <v>0.06</v>
      </c>
      <c r="G40" s="2046"/>
      <c r="H40" s="2046"/>
      <c r="I40" s="837" t="s">
        <v>1819</v>
      </c>
      <c r="J40" s="845">
        <f ca="1">1-J39</f>
        <v>0.32599999999999996</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0.441</v>
      </c>
      <c r="K42" s="2066"/>
      <c r="L42" s="1972"/>
      <c r="M42" s="1972"/>
    </row>
    <row r="43" spans="1:18" ht="18" customHeight="1" thickBot="1">
      <c r="A43" s="823" t="s">
        <v>1787</v>
      </c>
      <c r="B43" s="824" t="s">
        <v>1810</v>
      </c>
      <c r="C43" s="825">
        <f ca="1">ROUND(C40*10000/F43,0)</f>
        <v>10725</v>
      </c>
      <c r="D43" s="826" t="s">
        <v>1811</v>
      </c>
      <c r="E43" s="827" t="s">
        <v>1812</v>
      </c>
      <c r="F43" s="828">
        <f ca="1">INDIRECT("'数据-取费表'!k"&amp;$G$1)</f>
        <v>2220</v>
      </c>
      <c r="G43" s="2046"/>
      <c r="H43" s="1972"/>
      <c r="I43" s="847" t="s">
        <v>1822</v>
      </c>
      <c r="J43" s="848">
        <f ca="1">1-J42</f>
        <v>0.55899999999999994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-2619</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2381</v>
      </c>
      <c r="R48" s="2362" t="s">
        <v>2378</v>
      </c>
    </row>
    <row r="49" spans="1:18" s="2043" customFormat="1" ht="18" customHeight="1" thickBot="1">
      <c r="A49" s="786"/>
      <c r="B49" s="787"/>
      <c r="C49" s="788"/>
      <c r="D49" s="789"/>
      <c r="E49" s="784" t="s">
        <v>1739</v>
      </c>
      <c r="F49" s="785">
        <f ca="1">F7</f>
        <v>2220</v>
      </c>
      <c r="G49" s="2074"/>
      <c r="H49" s="2077"/>
      <c r="I49" s="3073" t="s">
        <v>2344</v>
      </c>
      <c r="J49" s="2346"/>
      <c r="K49" s="3102" t="s">
        <v>2350</v>
      </c>
      <c r="L49" s="2347"/>
      <c r="O49" s="2361" t="s">
        <v>2379</v>
      </c>
      <c r="P49" s="2362" t="s">
        <v>2404</v>
      </c>
      <c r="Q49" s="2363">
        <f ca="1">J60</f>
        <v>531</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1050</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618</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75" t="s">
        <v>2954</v>
      </c>
      <c r="L53" s="3476"/>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2912</v>
      </c>
      <c r="R54" s="2366" t="s">
        <v>2390</v>
      </c>
    </row>
    <row r="55" spans="1:18" s="2043" customFormat="1" ht="18" customHeight="1" thickTop="1" thickBot="1">
      <c r="A55" s="797">
        <v>2</v>
      </c>
      <c r="B55" s="798" t="s">
        <v>644</v>
      </c>
      <c r="C55" s="799">
        <f ca="1">C13</f>
        <v>1050</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2300</v>
      </c>
      <c r="C56" s="53">
        <f ca="1">C29</f>
        <v>1050</v>
      </c>
      <c r="D56" s="2602"/>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18</v>
      </c>
      <c r="D57" s="26" t="s">
        <v>1750</v>
      </c>
      <c r="E57" s="2603"/>
      <c r="F57" s="56"/>
      <c r="I57" s="3111" t="s">
        <v>2356</v>
      </c>
      <c r="J57" s="3112">
        <f ca="1">IF(OR(M47="住宅",J51&lt;L48,J56="是"),"——",J51-L48)</f>
        <v>30.36</v>
      </c>
      <c r="K57" s="3073" t="s">
        <v>2361</v>
      </c>
      <c r="L57" s="1892" t="str">
        <f ca="1">IF(L48&lt;J51,"——",IF(L55="比较法",L49,IF(L55="基准地价",L50,L51)))</f>
        <v>——</v>
      </c>
      <c r="O57" s="2361" t="s">
        <v>2377</v>
      </c>
      <c r="P57" s="2362" t="s">
        <v>2407</v>
      </c>
      <c r="Q57" s="2363">
        <f ca="1">C40+J29</f>
        <v>2381</v>
      </c>
      <c r="R57" s="2362" t="s">
        <v>2378</v>
      </c>
    </row>
    <row r="58" spans="1:18" s="2043" customFormat="1" ht="28.5" customHeight="1" thickBot="1">
      <c r="A58" s="1633" t="s">
        <v>1824</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1" t="s">
        <v>2358</v>
      </c>
      <c r="J59" s="3112">
        <f ca="1">IF(OR(M47="住宅",J51&lt;L48,J56="是"),"——",ROUND(C29*J58,0))</f>
        <v>531</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3" t="s">
        <v>2359</v>
      </c>
      <c r="J60" s="3114">
        <f ca="1">IF(OR(M47="住宅",J51&lt;L48,J56="是"),"0",ROUND(J59/(1+J52)^J53,0))</f>
        <v>531</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0.4</v>
      </c>
      <c r="D61" s="814" t="s">
        <v>669</v>
      </c>
      <c r="E61" s="784" t="s">
        <v>670</v>
      </c>
      <c r="F61" s="640">
        <f t="shared" si="0"/>
        <v>9</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391.83</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15.8</v>
      </c>
      <c r="D63" s="2602" t="s">
        <v>1803</v>
      </c>
      <c r="E63" s="784" t="s">
        <v>1747</v>
      </c>
      <c r="F63" s="817">
        <f t="shared" ca="1" si="0"/>
        <v>1.4999999999999999E-2</v>
      </c>
      <c r="I63" s="3116" t="s">
        <v>2368</v>
      </c>
      <c r="J63" s="3117">
        <v>70</v>
      </c>
      <c r="K63" s="3117">
        <v>50</v>
      </c>
      <c r="L63" s="3117">
        <v>80</v>
      </c>
      <c r="M63" s="3119">
        <v>0.02</v>
      </c>
      <c r="O63" s="2361" t="s">
        <v>2389</v>
      </c>
      <c r="P63" s="2362" t="s">
        <v>2406</v>
      </c>
      <c r="Q63" s="2363">
        <f ca="1">Q57+Q58</f>
        <v>2381</v>
      </c>
      <c r="R63" s="2366" t="s">
        <v>2390</v>
      </c>
    </row>
    <row r="64" spans="1:18" s="2043" customFormat="1" ht="16.2" thickBot="1">
      <c r="A64" s="1633" t="s">
        <v>1890</v>
      </c>
      <c r="B64" s="784" t="s">
        <v>679</v>
      </c>
      <c r="C64" s="53">
        <f ca="1">ROUND(C55*F64,1)</f>
        <v>1.6</v>
      </c>
      <c r="D64" s="2602"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6" thickBot="1">
      <c r="A66" s="797" t="s">
        <v>1776</v>
      </c>
      <c r="B66" s="2962" t="s">
        <v>2819</v>
      </c>
      <c r="C66" s="799">
        <f ca="1">C47-C57</f>
        <v>-18</v>
      </c>
      <c r="D66" s="2601" t="s">
        <v>700</v>
      </c>
      <c r="E66" s="2600"/>
      <c r="F66" s="820"/>
      <c r="K66" s="2070"/>
      <c r="O66" s="2361" t="s">
        <v>2377</v>
      </c>
      <c r="P66" s="2362" t="s">
        <v>2407</v>
      </c>
      <c r="Q66" s="2363">
        <f ca="1">C40+J29</f>
        <v>2381</v>
      </c>
      <c r="R66" s="2362" t="s">
        <v>2378</v>
      </c>
    </row>
    <row r="67" spans="1:18" s="2043" customFormat="1" ht="19.2" thickBot="1">
      <c r="A67" s="781" t="s">
        <v>1780</v>
      </c>
      <c r="B67" s="2216" t="s">
        <v>2299</v>
      </c>
      <c r="C67" s="783">
        <f ca="1">ROUND(C66*(1-((1+F69)/(1+F67))^F68)/(F67-F69),0)</f>
        <v>-238</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27.14</v>
      </c>
      <c r="O68" s="2364" t="s">
        <v>2381</v>
      </c>
      <c r="P68" s="2362" t="s">
        <v>2411</v>
      </c>
      <c r="Q68" s="2368">
        <f ca="1">L51</f>
        <v>618</v>
      </c>
      <c r="R68" s="2369" t="s">
        <v>2414</v>
      </c>
    </row>
    <row r="69" spans="1:18" ht="19.2" thickBot="1">
      <c r="A69" s="790"/>
      <c r="B69" s="791"/>
      <c r="C69" s="792"/>
      <c r="D69" s="816"/>
      <c r="E69" s="784" t="s">
        <v>710</v>
      </c>
      <c r="F69" s="2334"/>
      <c r="O69" s="2364" t="s">
        <v>2382</v>
      </c>
      <c r="P69" s="2370" t="s">
        <v>2396</v>
      </c>
      <c r="Q69" s="2363">
        <f ca="1">ROUND(Q70-Q71*Q72,0)</f>
        <v>43</v>
      </c>
      <c r="R69" s="2366"/>
    </row>
    <row r="70" spans="1:18" ht="16.2" thickBot="1">
      <c r="A70" s="823" t="s">
        <v>1787</v>
      </c>
      <c r="B70" s="824" t="s">
        <v>1810</v>
      </c>
      <c r="C70" s="825">
        <f ca="1">ROUND(C67*10000/F70,0)</f>
        <v>-1072</v>
      </c>
      <c r="D70" s="826" t="s">
        <v>1811</v>
      </c>
      <c r="E70" s="827" t="s">
        <v>1812</v>
      </c>
      <c r="F70" s="828">
        <f ca="1">F43</f>
        <v>2220</v>
      </c>
      <c r="O70" s="2364" t="s">
        <v>2397</v>
      </c>
      <c r="P70" s="2370" t="s">
        <v>2398</v>
      </c>
      <c r="Q70" s="2363">
        <f ca="1">C39</f>
        <v>132</v>
      </c>
      <c r="R70" s="2362" t="s">
        <v>2378</v>
      </c>
    </row>
    <row r="71" spans="1:18" ht="16.2" thickBot="1">
      <c r="O71" s="2364" t="s">
        <v>2399</v>
      </c>
      <c r="P71" s="2370" t="s">
        <v>2400</v>
      </c>
      <c r="Q71" s="2363">
        <f ca="1">C13</f>
        <v>1050</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2381</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1" sqref="I21"/>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2999</v>
      </c>
      <c r="D1" s="3072" t="s">
        <v>3007</v>
      </c>
      <c r="E1" s="2350" t="s">
        <v>2372</v>
      </c>
      <c r="F1" s="2351">
        <f ca="1">J53</f>
        <v>27.14</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7487</v>
      </c>
      <c r="C2" s="2041"/>
      <c r="D2" s="2039"/>
      <c r="E2" s="2040"/>
      <c r="F2" s="2040"/>
      <c r="G2" s="1575"/>
      <c r="H2" s="2041"/>
      <c r="I2" s="2041"/>
      <c r="J2" s="2041"/>
      <c r="K2" s="2042"/>
      <c r="L2" s="2041"/>
      <c r="M2" s="2041"/>
    </row>
    <row r="3" spans="1:33" ht="18" customHeight="1" thickBot="1">
      <c r="A3" s="833" t="s">
        <v>1727</v>
      </c>
      <c r="B3" s="834">
        <f ca="1">IF(ISERROR(B2*10000/F43),0,ROUND(B2*10000/F43,0))</f>
        <v>3578</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687</v>
      </c>
      <c r="D5" s="2459" t="s">
        <v>2459</v>
      </c>
      <c r="E5" s="2453"/>
      <c r="F5" s="2454"/>
      <c r="G5" s="1577"/>
      <c r="H5" s="781">
        <v>1</v>
      </c>
      <c r="I5" s="782" t="s">
        <v>2456</v>
      </c>
      <c r="J5" s="55">
        <f ca="1">J6+J10+J12</f>
        <v>0</v>
      </c>
      <c r="K5" s="2459" t="s">
        <v>2459</v>
      </c>
      <c r="L5" s="2453"/>
      <c r="M5" s="2454"/>
    </row>
    <row r="6" spans="1:33" ht="18" customHeight="1">
      <c r="A6" s="1814" t="s">
        <v>1824</v>
      </c>
      <c r="B6" s="3465" t="s">
        <v>2461</v>
      </c>
      <c r="C6" s="783">
        <f ca="1">ROUND(F6*F8*F7*(1-F9)/10000,0)</f>
        <v>687</v>
      </c>
      <c r="D6" s="2460" t="s">
        <v>2460</v>
      </c>
      <c r="E6" s="784" t="s">
        <v>1738</v>
      </c>
      <c r="F6" s="785">
        <f ca="1">INDIRECT("'数据-取费表'!u"&amp;$G$1)</f>
        <v>1</v>
      </c>
      <c r="G6" s="1577"/>
      <c r="H6" s="2467" t="s">
        <v>2466</v>
      </c>
      <c r="I6" s="3465" t="s">
        <v>2461</v>
      </c>
      <c r="J6" s="783">
        <f ca="1">ROUND(M6*M8*M7*(1-M9)/10000,0)</f>
        <v>0</v>
      </c>
      <c r="K6" s="341" t="s">
        <v>1737</v>
      </c>
      <c r="L6" s="784" t="s">
        <v>1738</v>
      </c>
      <c r="M6" s="785">
        <f ca="1">INDIRECT("'数据-取费表'!z"&amp;$G$1)</f>
        <v>0</v>
      </c>
    </row>
    <row r="7" spans="1:33" ht="18" customHeight="1">
      <c r="A7" s="2463"/>
      <c r="B7" s="3466"/>
      <c r="C7" s="788"/>
      <c r="D7" s="789"/>
      <c r="E7" s="784" t="s">
        <v>1739</v>
      </c>
      <c r="F7" s="785">
        <f ca="1">IF(INDIRECT("'数据-取费表'!ah"&amp;$G$1)="",INDIRECT("'数据-取费表'!k"&amp;$G$1),INDIRECT("'数据-取费表'!ah"&amp;$G$1))</f>
        <v>20923</v>
      </c>
      <c r="G7" s="1577"/>
      <c r="H7" s="2452"/>
      <c r="I7" s="3466"/>
      <c r="J7" s="788"/>
      <c r="K7" s="789"/>
      <c r="L7" s="784" t="s">
        <v>1739</v>
      </c>
      <c r="M7" s="785">
        <f ca="1">F7</f>
        <v>20923</v>
      </c>
    </row>
    <row r="8" spans="1:33" ht="18" customHeight="1">
      <c r="A8" s="2456"/>
      <c r="B8" s="3467"/>
      <c r="C8" s="788"/>
      <c r="D8" s="789"/>
      <c r="E8" s="784" t="s">
        <v>1740</v>
      </c>
      <c r="F8" s="785">
        <f ca="1">INDIRECT("'数据-取费表'!ai"&amp;$G$1)</f>
        <v>365</v>
      </c>
      <c r="G8" s="1577"/>
      <c r="H8" s="2452"/>
      <c r="I8" s="3467"/>
      <c r="J8" s="788"/>
      <c r="K8" s="789"/>
      <c r="L8" s="784" t="s">
        <v>1740</v>
      </c>
      <c r="M8" s="785">
        <f ca="1">INDIRECT("'数据-取费表'!ai"&amp;$G$1)</f>
        <v>365</v>
      </c>
    </row>
    <row r="9" spans="1:33" ht="18" customHeight="1">
      <c r="A9" s="786"/>
      <c r="B9" s="3468"/>
      <c r="C9" s="788"/>
      <c r="D9" s="789"/>
      <c r="E9" s="784" t="s">
        <v>1741</v>
      </c>
      <c r="F9" s="794">
        <f ca="1">INDIRECT("'数据-取费表'!w"&amp;$G$1)</f>
        <v>0.1</v>
      </c>
      <c r="G9" s="1577"/>
      <c r="H9" s="2468"/>
      <c r="I9" s="3467"/>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8905</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5858</v>
      </c>
      <c r="D14" s="3198" t="s">
        <v>1745</v>
      </c>
      <c r="E14" s="3197"/>
      <c r="F14" s="805"/>
      <c r="G14" s="1577"/>
      <c r="H14" s="1633" t="s">
        <v>1824</v>
      </c>
      <c r="I14" s="2215" t="s">
        <v>2823</v>
      </c>
      <c r="J14" s="53">
        <f ca="1">C29</f>
        <v>8905</v>
      </c>
      <c r="K14" s="26"/>
      <c r="L14" s="801"/>
      <c r="M14" s="802"/>
    </row>
    <row r="15" spans="1:33" s="2048" customFormat="1" ht="18" customHeight="1" thickBot="1">
      <c r="A15" s="1632" t="s">
        <v>1885</v>
      </c>
      <c r="B15" s="784" t="s">
        <v>647</v>
      </c>
      <c r="C15" s="53">
        <f ca="1">ROUND(C14*F15,0)</f>
        <v>293</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885</v>
      </c>
      <c r="K16" s="1805" t="s">
        <v>1750</v>
      </c>
      <c r="L16" s="3201"/>
      <c r="M16" s="2454"/>
    </row>
    <row r="17" spans="1:33" s="2048" customFormat="1" ht="18" customHeight="1">
      <c r="A17" s="1632" t="s">
        <v>1887</v>
      </c>
      <c r="B17" s="784" t="s">
        <v>653</v>
      </c>
      <c r="C17" s="53">
        <f ca="1">ROUND(F17*(F43+INDIRECT("'数据-取费表'!S"&amp;$G$1))/10000,0)</f>
        <v>418</v>
      </c>
      <c r="D17" s="784" t="s">
        <v>1751</v>
      </c>
      <c r="E17" s="784" t="s">
        <v>1752</v>
      </c>
      <c r="F17" s="56">
        <f>'数据-取费表'!B35</f>
        <v>200</v>
      </c>
      <c r="G17" s="1578"/>
      <c r="H17" s="1633" t="s">
        <v>1824</v>
      </c>
      <c r="I17" s="784" t="s">
        <v>656</v>
      </c>
      <c r="J17" s="53">
        <f ca="1">ROUND(IF(项目基本情况!B11="自然人",J6*M17/(1+'数据-取费表'!C42),J18+J19+J20),0)</f>
        <v>751</v>
      </c>
      <c r="K17" s="3198" t="s">
        <v>1753</v>
      </c>
      <c r="L17" s="3199"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88</v>
      </c>
      <c r="D18" s="784" t="s">
        <v>1746</v>
      </c>
      <c r="E18" s="784" t="s">
        <v>1747</v>
      </c>
      <c r="F18" s="809">
        <f>'数据-取费表'!B36</f>
        <v>1.4999999999999999E-2</v>
      </c>
      <c r="G18" s="1578"/>
      <c r="H18" s="1632" t="s">
        <v>1884</v>
      </c>
      <c r="I18" s="784" t="s">
        <v>1755</v>
      </c>
      <c r="J18" s="53">
        <f ca="1">ROUND(J6*M18/(1+'数据-取费表'!C42),1)</f>
        <v>0</v>
      </c>
      <c r="K18" s="3199"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6657</v>
      </c>
      <c r="D19" s="261" t="s">
        <v>1757</v>
      </c>
      <c r="E19" s="3206"/>
      <c r="F19" s="56"/>
      <c r="G19" s="1577"/>
      <c r="H19" s="1632" t="s">
        <v>1885</v>
      </c>
      <c r="I19" s="784" t="s">
        <v>1758</v>
      </c>
      <c r="J19" s="53">
        <f ca="1">IF(K19="按租金收入计税",ROUND(J6*M19/(1+'数据-取费表'!C42),1),ROUND(C29*F33*0.7,1))</f>
        <v>748</v>
      </c>
      <c r="K19" s="811" t="s">
        <v>665</v>
      </c>
      <c r="L19" s="784" t="s">
        <v>1747</v>
      </c>
      <c r="M19" s="809">
        <f>IF(K19="按租金收入计税",'数据-取费表'!B51,'数据-取费表'!B50)</f>
        <v>1.2E-2</v>
      </c>
    </row>
    <row r="20" spans="1:33" s="2048" customFormat="1" ht="18" customHeight="1">
      <c r="A20" s="1633" t="s">
        <v>1889</v>
      </c>
      <c r="B20" s="784" t="s">
        <v>666</v>
      </c>
      <c r="C20" s="53">
        <f ca="1">ROUND(C19*F20,0)</f>
        <v>133</v>
      </c>
      <c r="D20" s="812" t="s">
        <v>1759</v>
      </c>
      <c r="E20" s="784" t="s">
        <v>1747</v>
      </c>
      <c r="F20" s="809">
        <f>'数据-取费表'!B37</f>
        <v>0.02</v>
      </c>
      <c r="G20" s="1578"/>
      <c r="H20" s="1635" t="s">
        <v>1833</v>
      </c>
      <c r="I20" s="341" t="s">
        <v>1760</v>
      </c>
      <c r="J20" s="54">
        <f ca="1">ROUND(M20*M21/10000,0)</f>
        <v>3</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3692.88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6"/>
      <c r="F22" s="56"/>
      <c r="G22" s="1577"/>
      <c r="H22" s="1633" t="s">
        <v>1889</v>
      </c>
      <c r="I22" s="784" t="s">
        <v>1768</v>
      </c>
      <c r="J22" s="53">
        <f ca="1">ROUND(J14*M22,0)</f>
        <v>134</v>
      </c>
      <c r="K22" s="3199"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406</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3199"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6"/>
      <c r="F25" s="56"/>
      <c r="G25" s="1577"/>
      <c r="H25" s="1813" t="s">
        <v>1776</v>
      </c>
      <c r="I25" s="2961" t="s">
        <v>2819</v>
      </c>
      <c r="J25" s="792">
        <f ca="1">J5-J16</f>
        <v>-885</v>
      </c>
      <c r="K25" s="2511" t="s">
        <v>1777</v>
      </c>
      <c r="L25" s="2512"/>
      <c r="M25" s="2513"/>
    </row>
    <row r="26" spans="1:33" ht="18" customHeight="1">
      <c r="A26" s="1632" t="s">
        <v>1831</v>
      </c>
      <c r="B26" s="784" t="s">
        <v>2436</v>
      </c>
      <c r="C26" s="53">
        <f ca="1">ROUND((C19+C20)*F26,0)</f>
        <v>1019</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8905</v>
      </c>
      <c r="D29" s="2508"/>
      <c r="E29" s="2509"/>
      <c r="F29" s="2510"/>
      <c r="G29" s="1578"/>
      <c r="H29" s="823" t="s">
        <v>1787</v>
      </c>
      <c r="I29" s="824" t="s">
        <v>1788</v>
      </c>
      <c r="J29" s="825">
        <f ca="1">ROUND(J26/(1+F40)^F41,0)</f>
        <v>0</v>
      </c>
      <c r="K29" s="826" t="s">
        <v>1789</v>
      </c>
      <c r="L29" s="827"/>
      <c r="M29" s="828">
        <f ca="1">INDIRECT("'数据-取费表'!k"&amp;$G$1)</f>
        <v>20923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272</v>
      </c>
      <c r="D30" s="1805" t="s">
        <v>1791</v>
      </c>
      <c r="E30" s="3201"/>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118.4</v>
      </c>
      <c r="D31" s="3198" t="s">
        <v>1792</v>
      </c>
      <c r="E31" s="3199"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36.6</v>
      </c>
      <c r="D32" s="3199"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78.5</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3.3</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3692.88</v>
      </c>
      <c r="G35" s="2046"/>
      <c r="H35" s="2049"/>
      <c r="I35" s="837" t="s">
        <v>1814</v>
      </c>
      <c r="J35" s="838">
        <f ca="1">ROUND(C13*J36,0)</f>
        <v>757</v>
      </c>
      <c r="K35" s="2062"/>
      <c r="L35" s="2061"/>
      <c r="M35" s="2061"/>
    </row>
    <row r="36" spans="1:18" ht="18" customHeight="1">
      <c r="A36" s="1633" t="s">
        <v>1889</v>
      </c>
      <c r="B36" s="784" t="s">
        <v>1802</v>
      </c>
      <c r="C36" s="53">
        <f ca="1">ROUND(C29*F36,1)</f>
        <v>133.6</v>
      </c>
      <c r="D36" s="3199"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13.4</v>
      </c>
      <c r="D37" s="3199"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6.9</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415</v>
      </c>
      <c r="D39" s="2511" t="s">
        <v>1806</v>
      </c>
      <c r="E39" s="2512"/>
      <c r="F39" s="2513"/>
      <c r="G39" s="2046"/>
      <c r="H39" s="2061"/>
      <c r="I39" s="837" t="s">
        <v>1818</v>
      </c>
      <c r="J39" s="845">
        <f ca="1">ROUND(J35/C39,3)</f>
        <v>1.8240000000000001</v>
      </c>
      <c r="K39" s="2067"/>
      <c r="L39" s="2061"/>
      <c r="M39" s="2061"/>
    </row>
    <row r="40" spans="1:18" ht="18" customHeight="1">
      <c r="A40" s="781" t="s">
        <v>1895</v>
      </c>
      <c r="B40" s="2216" t="s">
        <v>2299</v>
      </c>
      <c r="C40" s="783">
        <f ca="1">ROUND(C39*(1-((1+F42)/(1+F40))^F41)/(F40-F42),0)</f>
        <v>7487</v>
      </c>
      <c r="D40" s="814" t="s">
        <v>1807</v>
      </c>
      <c r="E40" s="784" t="s">
        <v>2417</v>
      </c>
      <c r="F40" s="794">
        <f ca="1">INDIRECT("'数据-取费表'!I"&amp;$G$1)</f>
        <v>0.06</v>
      </c>
      <c r="G40" s="2046"/>
      <c r="H40" s="2046"/>
      <c r="I40" s="837" t="s">
        <v>1819</v>
      </c>
      <c r="J40" s="845">
        <f ca="1">1-J39</f>
        <v>-0.82400000000000007</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27.14</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1.1890000000000001</v>
      </c>
      <c r="K42" s="2066"/>
      <c r="L42" s="1972"/>
      <c r="M42" s="1972"/>
    </row>
    <row r="43" spans="1:18" ht="18" customHeight="1" thickBot="1">
      <c r="A43" s="823" t="s">
        <v>1787</v>
      </c>
      <c r="B43" s="824" t="s">
        <v>1810</v>
      </c>
      <c r="C43" s="825">
        <f ca="1">ROUND(C40*10000/F43,0)</f>
        <v>3578</v>
      </c>
      <c r="D43" s="826" t="s">
        <v>1811</v>
      </c>
      <c r="E43" s="827" t="s">
        <v>1812</v>
      </c>
      <c r="F43" s="828">
        <f ca="1">INDIRECT("'数据-取费表'!k"&amp;$G$1)</f>
        <v>20923</v>
      </c>
      <c r="G43" s="2046"/>
      <c r="H43" s="1972"/>
      <c r="I43" s="847" t="s">
        <v>1822</v>
      </c>
      <c r="J43" s="848">
        <f ca="1">1-J42</f>
        <v>-0.18900000000000006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-9473</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29.64</v>
      </c>
      <c r="O48" s="2361" t="s">
        <v>2377</v>
      </c>
      <c r="P48" s="2362" t="s">
        <v>2403</v>
      </c>
      <c r="Q48" s="2363">
        <f ca="1">C40+J29</f>
        <v>7487</v>
      </c>
      <c r="R48" s="2362" t="s">
        <v>2378</v>
      </c>
    </row>
    <row r="49" spans="1:18" s="2043" customFormat="1" ht="18" customHeight="1" thickBot="1">
      <c r="A49" s="786"/>
      <c r="B49" s="787"/>
      <c r="C49" s="788"/>
      <c r="D49" s="789"/>
      <c r="E49" s="784" t="s">
        <v>1739</v>
      </c>
      <c r="F49" s="785">
        <f ca="1">F7</f>
        <v>20923</v>
      </c>
      <c r="G49" s="2074"/>
      <c r="H49" s="2077"/>
      <c r="I49" s="3073" t="s">
        <v>2344</v>
      </c>
      <c r="J49" s="2346"/>
      <c r="K49" s="3102" t="s">
        <v>2350</v>
      </c>
      <c r="L49" s="2347"/>
      <c r="O49" s="2361" t="s">
        <v>2379</v>
      </c>
      <c r="P49" s="2362" t="s">
        <v>2404</v>
      </c>
      <c r="Q49" s="2363">
        <f ca="1">J60</f>
        <v>4506</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8905</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-4945</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27.14</v>
      </c>
      <c r="K53" s="3475" t="s">
        <v>2954</v>
      </c>
      <c r="L53" s="3476"/>
      <c r="O53" s="2364" t="s">
        <v>2386</v>
      </c>
      <c r="P53" s="2362" t="s">
        <v>2387</v>
      </c>
      <c r="Q53" s="2363">
        <f ca="1">J53</f>
        <v>27.14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11993</v>
      </c>
      <c r="R54" s="2366" t="s">
        <v>2390</v>
      </c>
    </row>
    <row r="55" spans="1:18" s="2043" customFormat="1" ht="18" customHeight="1" thickTop="1" thickBot="1">
      <c r="A55" s="797">
        <v>2</v>
      </c>
      <c r="B55" s="798" t="s">
        <v>644</v>
      </c>
      <c r="C55" s="799">
        <f ca="1">C13</f>
        <v>8905</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2298</v>
      </c>
      <c r="C56" s="53">
        <f ca="1">C29</f>
        <v>8905</v>
      </c>
      <c r="D56" s="3199"/>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150</v>
      </c>
      <c r="D57" s="26" t="s">
        <v>1750</v>
      </c>
      <c r="E57" s="3206"/>
      <c r="F57" s="56"/>
      <c r="I57" s="3111" t="s">
        <v>2356</v>
      </c>
      <c r="J57" s="3112">
        <f ca="1">IF(OR(M47="住宅",J51&lt;L48,J56="是"),"——",J51-L48)</f>
        <v>30.36</v>
      </c>
      <c r="K57" s="3073" t="s">
        <v>2361</v>
      </c>
      <c r="L57" s="1892" t="str">
        <f ca="1">IF(L48&lt;J51,"——",IF(L55="比较法",L49,IF(L55="基准地价",L50,L51)))</f>
        <v>——</v>
      </c>
      <c r="O57" s="2361" t="s">
        <v>2377</v>
      </c>
      <c r="P57" s="2362" t="s">
        <v>2403</v>
      </c>
      <c r="Q57" s="2363">
        <f ca="1">C40+J29</f>
        <v>7487</v>
      </c>
      <c r="R57" s="2362" t="s">
        <v>2378</v>
      </c>
    </row>
    <row r="58" spans="1:18" s="2043" customFormat="1" ht="28.5" customHeight="1" thickBot="1">
      <c r="A58" s="1633" t="s">
        <v>1824</v>
      </c>
      <c r="B58" s="784" t="s">
        <v>656</v>
      </c>
      <c r="C58" s="53">
        <f ca="1">ROUND(IF(项目基本情况!B11="自然人",C47*F58,C59+C60+C61),1)</f>
        <v>3.3</v>
      </c>
      <c r="D58" s="3198" t="s">
        <v>657</v>
      </c>
      <c r="E58" s="3199"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99" t="s">
        <v>1756</v>
      </c>
      <c r="E59" s="784" t="s">
        <v>1747</v>
      </c>
      <c r="F59" s="809">
        <f t="shared" ref="F59:F65" si="0">F32</f>
        <v>5.6000000000000001E-2</v>
      </c>
      <c r="I59" s="3111" t="s">
        <v>2358</v>
      </c>
      <c r="J59" s="3112">
        <f ca="1">IF(OR(M47="住宅",J51&lt;L48,J56="是"),"——",ROUND(C29*J58,0))</f>
        <v>4506</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3199" t="str">
        <f>D33</f>
        <v>按租金收入计税</v>
      </c>
      <c r="E60" s="784" t="s">
        <v>1747</v>
      </c>
      <c r="F60" s="809">
        <f t="shared" si="0"/>
        <v>0.12</v>
      </c>
      <c r="I60" s="3113" t="s">
        <v>2359</v>
      </c>
      <c r="J60" s="3114">
        <f ca="1">IF(OR(M47="住宅",J51&lt;L48,J56="是"),"0",ROUND(J59/(1+J52)^J53,0))</f>
        <v>4506</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3.3</v>
      </c>
      <c r="D61" s="814" t="s">
        <v>669</v>
      </c>
      <c r="E61" s="784" t="s">
        <v>670</v>
      </c>
      <c r="F61" s="640">
        <f t="shared" si="0"/>
        <v>9</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3692.88</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133.6</v>
      </c>
      <c r="D63" s="3199" t="s">
        <v>1803</v>
      </c>
      <c r="E63" s="784" t="s">
        <v>1747</v>
      </c>
      <c r="F63" s="817">
        <f t="shared" ca="1" si="0"/>
        <v>1.4999999999999999E-2</v>
      </c>
      <c r="I63" s="3116" t="s">
        <v>2368</v>
      </c>
      <c r="J63" s="3117">
        <v>70</v>
      </c>
      <c r="K63" s="3117">
        <v>50</v>
      </c>
      <c r="L63" s="3117">
        <v>80</v>
      </c>
      <c r="M63" s="3119">
        <v>0.02</v>
      </c>
      <c r="O63" s="2361" t="s">
        <v>2389</v>
      </c>
      <c r="P63" s="2362" t="s">
        <v>2406</v>
      </c>
      <c r="Q63" s="2363">
        <f ca="1">Q57+Q58</f>
        <v>7487</v>
      </c>
      <c r="R63" s="2366" t="s">
        <v>2390</v>
      </c>
    </row>
    <row r="64" spans="1:18" s="2043" customFormat="1" ht="16.2" thickBot="1">
      <c r="A64" s="1633" t="s">
        <v>1890</v>
      </c>
      <c r="B64" s="784" t="s">
        <v>679</v>
      </c>
      <c r="C64" s="53">
        <f ca="1">ROUND(C55*F64,1)</f>
        <v>13.4</v>
      </c>
      <c r="D64" s="3199"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6.2" thickBot="1">
      <c r="A65" s="1633" t="s">
        <v>1891</v>
      </c>
      <c r="B65" s="784" t="s">
        <v>666</v>
      </c>
      <c r="C65" s="53">
        <f ca="1">ROUND(C47*F65,1)</f>
        <v>0</v>
      </c>
      <c r="D65" s="3199"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6" thickBot="1">
      <c r="A66" s="797" t="s">
        <v>1776</v>
      </c>
      <c r="B66" s="2962" t="s">
        <v>2819</v>
      </c>
      <c r="C66" s="799">
        <f ca="1">C47-C57</f>
        <v>-150</v>
      </c>
      <c r="D66" s="3198" t="s">
        <v>700</v>
      </c>
      <c r="E66" s="3196"/>
      <c r="F66" s="820"/>
      <c r="K66" s="2070"/>
      <c r="O66" s="2361" t="s">
        <v>2377</v>
      </c>
      <c r="P66" s="2362" t="s">
        <v>2403</v>
      </c>
      <c r="Q66" s="2363">
        <f ca="1">C40+J29</f>
        <v>7487</v>
      </c>
      <c r="R66" s="2362" t="s">
        <v>2378</v>
      </c>
    </row>
    <row r="67" spans="1:18" s="2043" customFormat="1" ht="19.2" thickBot="1">
      <c r="A67" s="781" t="s">
        <v>1780</v>
      </c>
      <c r="B67" s="2216" t="s">
        <v>2299</v>
      </c>
      <c r="C67" s="783">
        <f ca="1">ROUND(C66*(1-((1+F69)/(1+F67))^F68)/(F67-F69),0)</f>
        <v>-1986</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27.14</v>
      </c>
      <c r="O68" s="2364" t="s">
        <v>2381</v>
      </c>
      <c r="P68" s="2362" t="s">
        <v>2411</v>
      </c>
      <c r="Q68" s="2368">
        <f ca="1">L51</f>
        <v>-4945</v>
      </c>
      <c r="R68" s="2369" t="s">
        <v>2414</v>
      </c>
    </row>
    <row r="69" spans="1:18" ht="19.2" thickBot="1">
      <c r="A69" s="790"/>
      <c r="B69" s="791"/>
      <c r="C69" s="792"/>
      <c r="D69" s="816"/>
      <c r="E69" s="784" t="s">
        <v>710</v>
      </c>
      <c r="F69" s="2334"/>
      <c r="O69" s="2364" t="s">
        <v>2382</v>
      </c>
      <c r="P69" s="2370" t="s">
        <v>2396</v>
      </c>
      <c r="Q69" s="2363">
        <f ca="1">ROUND(Q70-Q71*Q72,0)</f>
        <v>-342</v>
      </c>
      <c r="R69" s="2366"/>
    </row>
    <row r="70" spans="1:18" ht="16.2" thickBot="1">
      <c r="A70" s="823" t="s">
        <v>1787</v>
      </c>
      <c r="B70" s="824" t="s">
        <v>1810</v>
      </c>
      <c r="C70" s="825">
        <f ca="1">ROUND(C67*10000/F70,0)</f>
        <v>-949</v>
      </c>
      <c r="D70" s="826" t="s">
        <v>1811</v>
      </c>
      <c r="E70" s="827" t="s">
        <v>1812</v>
      </c>
      <c r="F70" s="828">
        <f ca="1">F43</f>
        <v>20923</v>
      </c>
      <c r="O70" s="2364" t="s">
        <v>2397</v>
      </c>
      <c r="P70" s="2370" t="s">
        <v>2398</v>
      </c>
      <c r="Q70" s="2363">
        <f ca="1">C39</f>
        <v>415</v>
      </c>
      <c r="R70" s="2362" t="s">
        <v>2378</v>
      </c>
    </row>
    <row r="71" spans="1:18" ht="16.2" thickBot="1">
      <c r="O71" s="2364" t="s">
        <v>2399</v>
      </c>
      <c r="P71" s="2370" t="s">
        <v>2400</v>
      </c>
      <c r="Q71" s="2363">
        <f ca="1">C13</f>
        <v>8905</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7487</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35</v>
      </c>
      <c r="D1" s="3072" t="s">
        <v>3007</v>
      </c>
      <c r="E1" s="2350" t="s">
        <v>2372</v>
      </c>
      <c r="F1" s="2351">
        <f ca="1">J53</f>
        <v>37.14</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14524</v>
      </c>
      <c r="C2" s="2041"/>
      <c r="D2" s="2039"/>
      <c r="E2" s="2040"/>
      <c r="F2" s="2040"/>
      <c r="G2" s="1575"/>
      <c r="H2" s="2041"/>
      <c r="I2" s="2041"/>
      <c r="J2" s="2041"/>
      <c r="K2" s="2042"/>
      <c r="L2" s="2041"/>
      <c r="M2" s="2041"/>
    </row>
    <row r="3" spans="1:33" ht="18" customHeight="1" thickBot="1">
      <c r="A3" s="833" t="s">
        <v>1727</v>
      </c>
      <c r="B3" s="834">
        <f ca="1">IF(ISERROR(B2*10000/F43),0,ROUND(B2*10000/F43,0))</f>
        <v>1845</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1204</v>
      </c>
      <c r="D5" s="2459" t="s">
        <v>2459</v>
      </c>
      <c r="E5" s="2453"/>
      <c r="F5" s="2454"/>
      <c r="G5" s="1577"/>
      <c r="H5" s="781">
        <v>1</v>
      </c>
      <c r="I5" s="782" t="s">
        <v>2456</v>
      </c>
      <c r="J5" s="55">
        <f ca="1">J6+J10+J12</f>
        <v>0</v>
      </c>
      <c r="K5" s="2459" t="s">
        <v>2459</v>
      </c>
      <c r="L5" s="2453"/>
      <c r="M5" s="2454"/>
    </row>
    <row r="6" spans="1:33" ht="18" customHeight="1">
      <c r="A6" s="1814" t="s">
        <v>1824</v>
      </c>
      <c r="B6" s="3465" t="s">
        <v>2461</v>
      </c>
      <c r="C6" s="783">
        <f ca="1">ROUND(F6*F8*F7*(1-F9)/10000,0)</f>
        <v>1204</v>
      </c>
      <c r="D6" s="2460" t="s">
        <v>2460</v>
      </c>
      <c r="E6" s="784" t="s">
        <v>1738</v>
      </c>
      <c r="F6" s="785">
        <f ca="1">INDIRECT("'数据-取费表'!u"&amp;$G$1)</f>
        <v>500</v>
      </c>
      <c r="G6" s="1577"/>
      <c r="H6" s="2467" t="s">
        <v>1876</v>
      </c>
      <c r="I6" s="3465" t="s">
        <v>2461</v>
      </c>
      <c r="J6" s="783">
        <f ca="1">ROUND(M6*M8*M7*(1-M9)/10000,0)</f>
        <v>0</v>
      </c>
      <c r="K6" s="341" t="s">
        <v>1737</v>
      </c>
      <c r="L6" s="784" t="s">
        <v>1738</v>
      </c>
      <c r="M6" s="785">
        <f ca="1">INDIRECT("'数据-取费表'!z"&amp;$G$1)</f>
        <v>0</v>
      </c>
    </row>
    <row r="7" spans="1:33" ht="18" customHeight="1">
      <c r="A7" s="2463"/>
      <c r="B7" s="3466"/>
      <c r="C7" s="788"/>
      <c r="D7" s="789"/>
      <c r="E7" s="784" t="s">
        <v>1739</v>
      </c>
      <c r="F7" s="785">
        <f ca="1">IF(INDIRECT("'数据-取费表'!ah"&amp;$G$1)="",INDIRECT("'数据-取费表'!k"&amp;$G$1),INDIRECT("'数据-取费表'!ah"&amp;$G$1))</f>
        <v>2229</v>
      </c>
      <c r="G7" s="1577"/>
      <c r="H7" s="2452"/>
      <c r="I7" s="3466"/>
      <c r="J7" s="788"/>
      <c r="K7" s="789"/>
      <c r="L7" s="784" t="s">
        <v>1739</v>
      </c>
      <c r="M7" s="785">
        <f ca="1">F7</f>
        <v>2229</v>
      </c>
    </row>
    <row r="8" spans="1:33" ht="18" customHeight="1">
      <c r="A8" s="2456"/>
      <c r="B8" s="3467"/>
      <c r="C8" s="788"/>
      <c r="D8" s="789"/>
      <c r="E8" s="784" t="s">
        <v>1740</v>
      </c>
      <c r="F8" s="785">
        <f ca="1">INDIRECT("'数据-取费表'!ai"&amp;$G$1)</f>
        <v>12</v>
      </c>
      <c r="G8" s="1577"/>
      <c r="H8" s="2452"/>
      <c r="I8" s="3467"/>
      <c r="J8" s="788"/>
      <c r="K8" s="789"/>
      <c r="L8" s="784" t="s">
        <v>1740</v>
      </c>
      <c r="M8" s="785">
        <f ca="1">INDIRECT("'数据-取费表'!ai"&amp;$G$1)</f>
        <v>12</v>
      </c>
    </row>
    <row r="9" spans="1:33" ht="18" customHeight="1">
      <c r="A9" s="786"/>
      <c r="B9" s="3468"/>
      <c r="C9" s="788"/>
      <c r="D9" s="789"/>
      <c r="E9" s="784" t="s">
        <v>1741</v>
      </c>
      <c r="F9" s="794">
        <f ca="1">INDIRECT("'数据-取费表'!w"&amp;$G$1)</f>
        <v>0.1</v>
      </c>
      <c r="G9" s="1577"/>
      <c r="H9" s="2468"/>
      <c r="I9" s="3467"/>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2464</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1742</v>
      </c>
      <c r="C13" s="792">
        <f ca="1">ROUND(C29*F13,0)</f>
        <v>22045</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15746</v>
      </c>
      <c r="D14" s="3178" t="s">
        <v>1745</v>
      </c>
      <c r="E14" s="3179"/>
      <c r="F14" s="805"/>
      <c r="G14" s="1577"/>
      <c r="H14" s="1633" t="s">
        <v>1830</v>
      </c>
      <c r="I14" s="2215" t="s">
        <v>2822</v>
      </c>
      <c r="J14" s="53">
        <f ca="1">C29</f>
        <v>22045</v>
      </c>
      <c r="K14" s="26"/>
      <c r="L14" s="801"/>
      <c r="M14" s="802"/>
    </row>
    <row r="15" spans="1:33" s="2048" customFormat="1" ht="18" customHeight="1" thickBot="1">
      <c r="A15" s="1632" t="s">
        <v>1885</v>
      </c>
      <c r="B15" s="784" t="s">
        <v>647</v>
      </c>
      <c r="C15" s="53">
        <f ca="1">ROUND(C14*F15,0)</f>
        <v>787</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2196</v>
      </c>
      <c r="K16" s="1805" t="s">
        <v>1750</v>
      </c>
      <c r="L16" s="3180"/>
      <c r="M16" s="2454"/>
    </row>
    <row r="17" spans="1:33" s="2048" customFormat="1" ht="18" customHeight="1">
      <c r="A17" s="1632" t="s">
        <v>1887</v>
      </c>
      <c r="B17" s="784" t="s">
        <v>653</v>
      </c>
      <c r="C17" s="53">
        <f ca="1">ROUND(F17*(F43+INDIRECT("'数据-取费表'!S"&amp;$G$1))/10000,0)</f>
        <v>1575</v>
      </c>
      <c r="D17" s="784" t="s">
        <v>1751</v>
      </c>
      <c r="E17" s="784" t="s">
        <v>655</v>
      </c>
      <c r="F17" s="56">
        <f>'数据-取费表'!B35</f>
        <v>200</v>
      </c>
      <c r="G17" s="1578"/>
      <c r="H17" s="1633" t="s">
        <v>1830</v>
      </c>
      <c r="I17" s="784" t="s">
        <v>656</v>
      </c>
      <c r="J17" s="53">
        <f ca="1">ROUND(IF(项目基本情况!B11="自然人",J6*M17/(1+'数据-取费表'!C42),J18+J19+J20),0)</f>
        <v>1865</v>
      </c>
      <c r="K17" s="3178" t="s">
        <v>657</v>
      </c>
      <c r="L17" s="3177"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236</v>
      </c>
      <c r="D18" s="784" t="s">
        <v>1746</v>
      </c>
      <c r="E18" s="784" t="s">
        <v>1747</v>
      </c>
      <c r="F18" s="809">
        <f>'数据-取费表'!B36</f>
        <v>1.4999999999999999E-2</v>
      </c>
      <c r="G18" s="1578"/>
      <c r="H18" s="1632" t="s">
        <v>1884</v>
      </c>
      <c r="I18" s="784" t="s">
        <v>660</v>
      </c>
      <c r="J18" s="53">
        <f ca="1">ROUND(J6*M18/(1+'数据-取费表'!C42),1)</f>
        <v>0</v>
      </c>
      <c r="K18" s="3177" t="s">
        <v>661</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18344</v>
      </c>
      <c r="D19" s="261" t="s">
        <v>663</v>
      </c>
      <c r="E19" s="3182"/>
      <c r="F19" s="56"/>
      <c r="G19" s="1577"/>
      <c r="H19" s="1632" t="s">
        <v>1885</v>
      </c>
      <c r="I19" s="784" t="s">
        <v>664</v>
      </c>
      <c r="J19" s="53">
        <f ca="1">IF(K19="按租金收入计税",ROUND(J6*M19/(1+'数据-取费表'!C42),1),ROUND(C29*F33*0.7,1))</f>
        <v>1851.8</v>
      </c>
      <c r="K19" s="811" t="s">
        <v>665</v>
      </c>
      <c r="L19" s="784" t="s">
        <v>1747</v>
      </c>
      <c r="M19" s="809">
        <f>IF(K19="按租金收入计税",'数据-取费表'!B51,'数据-取费表'!B50)</f>
        <v>1.2E-2</v>
      </c>
    </row>
    <row r="20" spans="1:33" s="2048" customFormat="1" ht="18" customHeight="1">
      <c r="A20" s="1633" t="s">
        <v>1889</v>
      </c>
      <c r="B20" s="784" t="s">
        <v>666</v>
      </c>
      <c r="C20" s="53">
        <f ca="1">ROUND(C19*F20,0)</f>
        <v>367</v>
      </c>
      <c r="D20" s="812" t="s">
        <v>667</v>
      </c>
      <c r="E20" s="784" t="s">
        <v>1747</v>
      </c>
      <c r="F20" s="809">
        <f>'数据-取费表'!B37</f>
        <v>0.02</v>
      </c>
      <c r="G20" s="1578"/>
      <c r="H20" s="1635" t="s">
        <v>1880</v>
      </c>
      <c r="I20" s="341" t="s">
        <v>668</v>
      </c>
      <c r="J20" s="54">
        <f ca="1">ROUND(M20*M21/10000,0)</f>
        <v>13</v>
      </c>
      <c r="K20" s="814" t="s">
        <v>669</v>
      </c>
      <c r="L20" s="784" t="s">
        <v>670</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2296</v>
      </c>
      <c r="E21" s="784" t="s">
        <v>673</v>
      </c>
      <c r="F21" s="809">
        <f>'数据-取费表'!B38</f>
        <v>0.02</v>
      </c>
      <c r="G21" s="1578"/>
      <c r="H21" s="2469"/>
      <c r="I21" s="793"/>
      <c r="J21" s="69"/>
      <c r="K21" s="816"/>
      <c r="L21" s="784" t="s">
        <v>674</v>
      </c>
      <c r="M21" s="785">
        <f ca="1">INDIRECT("'数据-取费表'!r"&amp;$G$1)</f>
        <v>13896.09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2"/>
      <c r="F22" s="56"/>
      <c r="G22" s="1577"/>
      <c r="H22" s="1633" t="s">
        <v>1889</v>
      </c>
      <c r="I22" s="784" t="s">
        <v>676</v>
      </c>
      <c r="J22" s="53">
        <f ca="1">ROUND(J14*M22,0)</f>
        <v>331</v>
      </c>
      <c r="K22" s="3177" t="s">
        <v>677</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1117</v>
      </c>
      <c r="D23" s="2534" t="str">
        <f>IF(F23&lt;=1,"(建造成本+管理费用)×利率×(建设周期÷2)","(建造成本+管理费用)×((1+利率)^(建设周期÷2)-1)")</f>
        <v>(建造成本+管理费用)×((1+利率)^(建设周期÷2)-1)</v>
      </c>
      <c r="E23" s="784" t="s">
        <v>678</v>
      </c>
      <c r="F23" s="640">
        <f>'数据-取费表'!B20</f>
        <v>2.5</v>
      </c>
      <c r="G23" s="1578"/>
      <c r="H23" s="1633" t="s">
        <v>1890</v>
      </c>
      <c r="I23" s="784" t="s">
        <v>679</v>
      </c>
      <c r="J23" s="53">
        <f ca="1">ROUND(J13*M23,0)</f>
        <v>0</v>
      </c>
      <c r="K23" s="3177" t="s">
        <v>680</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1.1999999999999999E-3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2"/>
      <c r="F25" s="56"/>
      <c r="G25" s="1577"/>
      <c r="H25" s="1813" t="s">
        <v>1776</v>
      </c>
      <c r="I25" s="2961" t="s">
        <v>2819</v>
      </c>
      <c r="J25" s="792">
        <f ca="1">J5-J16</f>
        <v>-2196</v>
      </c>
      <c r="K25" s="2511" t="s">
        <v>1777</v>
      </c>
      <c r="L25" s="2512"/>
      <c r="M25" s="2513"/>
    </row>
    <row r="26" spans="1:33" ht="18" customHeight="1">
      <c r="A26" s="1632" t="s">
        <v>1831</v>
      </c>
      <c r="B26" s="784" t="s">
        <v>2436</v>
      </c>
      <c r="C26" s="53">
        <f ca="1">ROUND((C19+C20)*F26,0)</f>
        <v>561</v>
      </c>
      <c r="D26" s="812" t="s">
        <v>1778</v>
      </c>
      <c r="E26" s="795" t="s">
        <v>1779</v>
      </c>
      <c r="F26" s="794">
        <f ca="1">INDIRECT("'数据-取费表'!q"&amp;$G$1)</f>
        <v>0.03</v>
      </c>
      <c r="G26" s="1577"/>
      <c r="H26" s="2465" t="s">
        <v>1780</v>
      </c>
      <c r="I26" s="2216" t="s">
        <v>2824</v>
      </c>
      <c r="J26" s="783">
        <f ca="1">IF(J5&lt;&gt;0,ROUND(J25*(1-((1+M28)/(1+M26))^M27)/(M26-M28),0),0)</f>
        <v>0</v>
      </c>
      <c r="K26" s="814" t="s">
        <v>1781</v>
      </c>
      <c r="L26" s="784" t="s">
        <v>2417</v>
      </c>
      <c r="M26" s="794">
        <f ca="1">INDIRECT("'数据-取费表'!I"&amp;$G$1)</f>
        <v>0.05</v>
      </c>
    </row>
    <row r="27" spans="1:33" ht="18" customHeight="1">
      <c r="A27" s="1632" t="s">
        <v>1832</v>
      </c>
      <c r="B27" s="784" t="s">
        <v>686</v>
      </c>
      <c r="C27" s="53">
        <f ca="1">ROUND(F21*F26,4)</f>
        <v>5.9999999999999995E-4</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22045</v>
      </c>
      <c r="D29" s="2508"/>
      <c r="E29" s="2509"/>
      <c r="F29" s="2510"/>
      <c r="G29" s="1578"/>
      <c r="H29" s="823" t="s">
        <v>1787</v>
      </c>
      <c r="I29" s="824" t="s">
        <v>1788</v>
      </c>
      <c r="J29" s="825">
        <f ca="1">ROUND(J26/(1+F40)^F41,0)</f>
        <v>0</v>
      </c>
      <c r="K29" s="826" t="s">
        <v>688</v>
      </c>
      <c r="L29" s="827"/>
      <c r="M29" s="828">
        <f ca="1">INDIRECT("'数据-取费表'!k"&amp;$G$1)</f>
        <v>78732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590</v>
      </c>
      <c r="D30" s="1805" t="s">
        <v>1791</v>
      </c>
      <c r="E30" s="3180"/>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214.3</v>
      </c>
      <c r="D31" s="3178" t="s">
        <v>1792</v>
      </c>
      <c r="E31" s="3177"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64.2</v>
      </c>
      <c r="D32" s="3177"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137.6</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12.5</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13896.09</v>
      </c>
      <c r="G35" s="2046"/>
      <c r="H35" s="2049"/>
      <c r="I35" s="837" t="s">
        <v>1814</v>
      </c>
      <c r="J35" s="838">
        <f ca="1">ROUND(C13*J36,0)</f>
        <v>1874</v>
      </c>
      <c r="K35" s="2062"/>
      <c r="L35" s="2061"/>
      <c r="M35" s="2061"/>
    </row>
    <row r="36" spans="1:18" ht="18" customHeight="1">
      <c r="A36" s="1633" t="s">
        <v>1889</v>
      </c>
      <c r="B36" s="784" t="s">
        <v>1802</v>
      </c>
      <c r="C36" s="53">
        <f ca="1">ROUND(C29*F36,1)</f>
        <v>330.7</v>
      </c>
      <c r="D36" s="3177"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33.1</v>
      </c>
      <c r="D37" s="3177"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1776</v>
      </c>
      <c r="B39" s="2961" t="s">
        <v>2819</v>
      </c>
      <c r="C39" s="792">
        <f ca="1">C5-C30</f>
        <v>614</v>
      </c>
      <c r="D39" s="2511" t="s">
        <v>1806</v>
      </c>
      <c r="E39" s="2512"/>
      <c r="F39" s="2513"/>
      <c r="G39" s="2046"/>
      <c r="H39" s="2061"/>
      <c r="I39" s="837" t="s">
        <v>1818</v>
      </c>
      <c r="J39" s="845">
        <f ca="1">ROUND(J35/C39,3)</f>
        <v>3.052</v>
      </c>
      <c r="K39" s="2067"/>
      <c r="L39" s="2061"/>
      <c r="M39" s="2061"/>
    </row>
    <row r="40" spans="1:18" ht="18" customHeight="1">
      <c r="A40" s="781" t="s">
        <v>1780</v>
      </c>
      <c r="B40" s="2216" t="s">
        <v>2299</v>
      </c>
      <c r="C40" s="783">
        <f ca="1">ROUND(C39*(1-((1+F42)/(1+F40))^F41)/(F40-F42),0)</f>
        <v>14524</v>
      </c>
      <c r="D40" s="814" t="s">
        <v>1807</v>
      </c>
      <c r="E40" s="784" t="s">
        <v>2417</v>
      </c>
      <c r="F40" s="794">
        <f ca="1">INDIRECT("'数据-取费表'!I"&amp;$G$1)</f>
        <v>0.05</v>
      </c>
      <c r="G40" s="2046"/>
      <c r="H40" s="2046"/>
      <c r="I40" s="837" t="s">
        <v>1819</v>
      </c>
      <c r="J40" s="845">
        <f ca="1">1-J39</f>
        <v>-2.052</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37.14</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1.518</v>
      </c>
      <c r="K42" s="2066"/>
      <c r="L42" s="1972"/>
      <c r="M42" s="1972"/>
    </row>
    <row r="43" spans="1:18" ht="18" customHeight="1" thickBot="1">
      <c r="A43" s="823" t="s">
        <v>1787</v>
      </c>
      <c r="B43" s="824" t="s">
        <v>1810</v>
      </c>
      <c r="C43" s="825">
        <f ca="1">ROUND(C40*10000/F43,0)</f>
        <v>1845</v>
      </c>
      <c r="D43" s="826" t="s">
        <v>1811</v>
      </c>
      <c r="E43" s="827" t="s">
        <v>1812</v>
      </c>
      <c r="F43" s="828">
        <f ca="1">INDIRECT("'数据-取费表'!k"&amp;$G$1)</f>
        <v>78732</v>
      </c>
      <c r="G43" s="2046"/>
      <c r="H43" s="1972"/>
      <c r="I43" s="847" t="s">
        <v>1822</v>
      </c>
      <c r="J43" s="848">
        <f ca="1">1-J42</f>
        <v>-0.51800000000000002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-20816</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50</v>
      </c>
      <c r="M47" s="1588" t="str">
        <f>IF(ISNUMBER(FIND("住宅",C1)),"住宅","非住宅")</f>
        <v>非住宅</v>
      </c>
      <c r="O47" s="2358" t="s">
        <v>2373</v>
      </c>
      <c r="P47" s="2359" t="s">
        <v>2374</v>
      </c>
      <c r="Q47" s="2360" t="s">
        <v>2375</v>
      </c>
      <c r="R47" s="2359" t="s">
        <v>2376</v>
      </c>
    </row>
    <row r="48" spans="1:18" s="2043" customFormat="1" ht="18" customHeight="1" thickBot="1">
      <c r="A48" s="2605" t="s">
        <v>1870</v>
      </c>
      <c r="B48" s="2606" t="s">
        <v>2536</v>
      </c>
      <c r="C48" s="2337">
        <f ca="1">ROUND(F48*F50*F49*(1-F51)/10000,0)</f>
        <v>0</v>
      </c>
      <c r="D48" s="2338" t="s">
        <v>636</v>
      </c>
      <c r="E48" s="2339" t="s">
        <v>2294</v>
      </c>
      <c r="F48" s="2340"/>
      <c r="G48" s="2074"/>
      <c r="I48" s="3073" t="s">
        <v>2343</v>
      </c>
      <c r="J48" s="2345" t="s">
        <v>2348</v>
      </c>
      <c r="K48" s="3101" t="s">
        <v>2349</v>
      </c>
      <c r="L48" s="1892">
        <f ca="1">INDIRECT("'数据-取费表'!f"&amp;$G$1)</f>
        <v>39.64</v>
      </c>
      <c r="O48" s="2361" t="s">
        <v>2377</v>
      </c>
      <c r="P48" s="2362" t="s">
        <v>2403</v>
      </c>
      <c r="Q48" s="2363">
        <f ca="1">C40+J29</f>
        <v>14524</v>
      </c>
      <c r="R48" s="2362" t="s">
        <v>2378</v>
      </c>
    </row>
    <row r="49" spans="1:18" s="2043" customFormat="1" ht="18" customHeight="1" thickBot="1">
      <c r="A49" s="786"/>
      <c r="B49" s="787"/>
      <c r="C49" s="788"/>
      <c r="D49" s="789"/>
      <c r="E49" s="784" t="s">
        <v>1739</v>
      </c>
      <c r="F49" s="785">
        <f ca="1">F7</f>
        <v>2229</v>
      </c>
      <c r="G49" s="2074"/>
      <c r="H49" s="2077"/>
      <c r="I49" s="3073" t="s">
        <v>2344</v>
      </c>
      <c r="J49" s="2346"/>
      <c r="K49" s="3102" t="s">
        <v>2350</v>
      </c>
      <c r="L49" s="2347"/>
      <c r="O49" s="2361" t="s">
        <v>2379</v>
      </c>
      <c r="P49" s="2362" t="s">
        <v>2404</v>
      </c>
      <c r="Q49" s="2363">
        <f ca="1">J60</f>
        <v>8818</v>
      </c>
      <c r="R49" s="2362" t="s">
        <v>2380</v>
      </c>
    </row>
    <row r="50" spans="1:18" s="2043" customFormat="1" ht="18" customHeight="1" thickBot="1">
      <c r="A50" s="786"/>
      <c r="B50" s="787"/>
      <c r="C50" s="788"/>
      <c r="D50" s="789"/>
      <c r="E50" s="784" t="s">
        <v>1740</v>
      </c>
      <c r="F50" s="785">
        <f ca="1">F8</f>
        <v>12</v>
      </c>
      <c r="G50" s="2079"/>
      <c r="H50" s="2077"/>
      <c r="I50" s="3073" t="s">
        <v>2345</v>
      </c>
      <c r="J50" s="3098">
        <f>SUMPRODUCT((I63:I65=J47)*(J62:L62=J48)*(J63:L65))</f>
        <v>60</v>
      </c>
      <c r="K50" s="3102" t="s">
        <v>2351</v>
      </c>
      <c r="L50" s="2347"/>
      <c r="O50" s="2364" t="s">
        <v>2381</v>
      </c>
      <c r="P50" s="2362" t="s">
        <v>2405</v>
      </c>
      <c r="Q50" s="2363">
        <f ca="1">C29</f>
        <v>22045</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-23106</v>
      </c>
      <c r="O51" s="2364" t="s">
        <v>2382</v>
      </c>
      <c r="P51" s="2362" t="s">
        <v>2383</v>
      </c>
      <c r="Q51" s="2365">
        <f ca="1">J58</f>
        <v>0.4</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37.14</v>
      </c>
      <c r="K53" s="3475" t="s">
        <v>2954</v>
      </c>
      <c r="L53" s="3476"/>
      <c r="O53" s="2364" t="s">
        <v>2386</v>
      </c>
      <c r="P53" s="2362" t="s">
        <v>2387</v>
      </c>
      <c r="Q53" s="2363">
        <f ca="1">J53</f>
        <v>37.14</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23342</v>
      </c>
      <c r="R54" s="2366" t="s">
        <v>2390</v>
      </c>
    </row>
    <row r="55" spans="1:18" s="2043" customFormat="1" ht="18" customHeight="1" thickTop="1" thickBot="1">
      <c r="A55" s="797">
        <v>2</v>
      </c>
      <c r="B55" s="798" t="s">
        <v>644</v>
      </c>
      <c r="C55" s="799">
        <f ca="1">C13</f>
        <v>22045</v>
      </c>
      <c r="D55" s="795"/>
      <c r="E55" s="795"/>
      <c r="F55" s="800"/>
      <c r="I55" s="3108" t="s">
        <v>2353</v>
      </c>
      <c r="J55" s="3048">
        <f ca="1">ROUND(IF(J47="钢混",J57/J50,1-(1-2%)*(J50-J57)/J50),3)</f>
        <v>0.33900000000000002</v>
      </c>
      <c r="K55" s="3109" t="s">
        <v>2354</v>
      </c>
      <c r="L55" s="2349"/>
      <c r="O55" s="2367" t="s">
        <v>2409</v>
      </c>
      <c r="P55" s="1577"/>
      <c r="Q55" s="1588"/>
      <c r="R55" s="1577"/>
    </row>
    <row r="56" spans="1:18" s="2043" customFormat="1" ht="42.75" customHeight="1" thickBot="1">
      <c r="A56" s="1634"/>
      <c r="B56" s="2215" t="s">
        <v>2300</v>
      </c>
      <c r="C56" s="53">
        <f ca="1">C29</f>
        <v>22045</v>
      </c>
      <c r="D56" s="3177"/>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376</v>
      </c>
      <c r="D57" s="26" t="s">
        <v>1750</v>
      </c>
      <c r="E57" s="3182"/>
      <c r="F57" s="56"/>
      <c r="I57" s="3111" t="s">
        <v>2356</v>
      </c>
      <c r="J57" s="3112">
        <f ca="1">IF(OR(M47="住宅",J51&lt;L48,J56="是"),"——",J51-L48)</f>
        <v>20.36</v>
      </c>
      <c r="K57" s="3073" t="s">
        <v>2361</v>
      </c>
      <c r="L57" s="1892" t="str">
        <f ca="1">IF(L48&lt;J51,"——",IF(L55="比较法",L49,IF(L55="基准地价",L50,L51)))</f>
        <v>——</v>
      </c>
      <c r="O57" s="2361" t="s">
        <v>2377</v>
      </c>
      <c r="P57" s="2362" t="s">
        <v>2403</v>
      </c>
      <c r="Q57" s="2363">
        <f ca="1">C40+J29</f>
        <v>14524</v>
      </c>
      <c r="R57" s="2362" t="s">
        <v>2378</v>
      </c>
    </row>
    <row r="58" spans="1:18" s="2043" customFormat="1" ht="28.5" customHeight="1" thickBot="1">
      <c r="A58" s="1633" t="s">
        <v>1824</v>
      </c>
      <c r="B58" s="784" t="s">
        <v>656</v>
      </c>
      <c r="C58" s="53">
        <f ca="1">ROUND(IF(项目基本情况!B11="自然人",C47*F58,C59+C60+C61),1)</f>
        <v>12.5</v>
      </c>
      <c r="D58" s="3178" t="s">
        <v>657</v>
      </c>
      <c r="E58" s="3177" t="s">
        <v>690</v>
      </c>
      <c r="F58" s="810" t="str">
        <f ca="1">IF(项目基本情况!B11="企业","",IF(INDIRECT("'数据-取费表'!c"&amp;$G$1)="住宅",5%,IF(F48*F49*F50/12/(1+'数据-取费表'!C42)&gt;20000,12%,7%)))</f>
        <v/>
      </c>
      <c r="I58" s="3111" t="s">
        <v>2357</v>
      </c>
      <c r="J58" s="3049">
        <f ca="1">IF(J55&lt;0.4,0.4,J55)</f>
        <v>0.4</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7" t="s">
        <v>661</v>
      </c>
      <c r="E59" s="784" t="s">
        <v>1747</v>
      </c>
      <c r="F59" s="809">
        <f t="shared" ref="F59:F65" si="0">F32</f>
        <v>5.6000000000000001E-2</v>
      </c>
      <c r="I59" s="3111" t="s">
        <v>2358</v>
      </c>
      <c r="J59" s="3112">
        <f ca="1">IF(OR(M47="住宅",J51&lt;L48,J56="是"),"——",ROUND(C29*J58,0))</f>
        <v>8818</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7" t="str">
        <f>D33</f>
        <v>按租金收入计税</v>
      </c>
      <c r="E60" s="784" t="s">
        <v>1747</v>
      </c>
      <c r="F60" s="809">
        <f t="shared" si="0"/>
        <v>0.12</v>
      </c>
      <c r="I60" s="3113" t="s">
        <v>2359</v>
      </c>
      <c r="J60" s="3114">
        <f ca="1">IF(OR(M47="住宅",J51&lt;L48,J56="是"),"0",ROUND(J59/(1+J52)^J53,0))</f>
        <v>8818</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12.5</v>
      </c>
      <c r="D61" s="814" t="s">
        <v>669</v>
      </c>
      <c r="E61" s="784" t="s">
        <v>670</v>
      </c>
      <c r="F61" s="640">
        <f t="shared" si="0"/>
        <v>9</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13896.09</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330.7</v>
      </c>
      <c r="D63" s="3177" t="s">
        <v>1803</v>
      </c>
      <c r="E63" s="784" t="s">
        <v>1747</v>
      </c>
      <c r="F63" s="817">
        <f t="shared" ca="1" si="0"/>
        <v>1.4999999999999999E-2</v>
      </c>
      <c r="I63" s="3116" t="s">
        <v>2368</v>
      </c>
      <c r="J63" s="3117">
        <v>70</v>
      </c>
      <c r="K63" s="3117">
        <v>50</v>
      </c>
      <c r="L63" s="3117">
        <v>80</v>
      </c>
      <c r="M63" s="3119">
        <v>0.02</v>
      </c>
      <c r="O63" s="2361" t="s">
        <v>2389</v>
      </c>
      <c r="P63" s="2362" t="s">
        <v>2406</v>
      </c>
      <c r="Q63" s="2363">
        <f ca="1">Q57+Q58</f>
        <v>14524</v>
      </c>
      <c r="R63" s="2366" t="s">
        <v>2390</v>
      </c>
    </row>
    <row r="64" spans="1:18" s="2043" customFormat="1" ht="16.2" thickBot="1">
      <c r="A64" s="1633" t="s">
        <v>1890</v>
      </c>
      <c r="B64" s="784" t="s">
        <v>679</v>
      </c>
      <c r="C64" s="53">
        <f ca="1">ROUND(C55*F64,1)</f>
        <v>33.1</v>
      </c>
      <c r="D64" s="3177"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6.2" thickBot="1">
      <c r="A65" s="1633" t="s">
        <v>1891</v>
      </c>
      <c r="B65" s="784" t="s">
        <v>666</v>
      </c>
      <c r="C65" s="53">
        <f ca="1">ROUND(C47*F65,1)</f>
        <v>0</v>
      </c>
      <c r="D65" s="3177"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6" thickBot="1">
      <c r="A66" s="797" t="s">
        <v>1776</v>
      </c>
      <c r="B66" s="2962" t="s">
        <v>2819</v>
      </c>
      <c r="C66" s="799">
        <f ca="1">C47-C57</f>
        <v>-376</v>
      </c>
      <c r="D66" s="3178" t="s">
        <v>700</v>
      </c>
      <c r="E66" s="3181"/>
      <c r="F66" s="820"/>
      <c r="K66" s="2070"/>
      <c r="O66" s="2361" t="s">
        <v>2377</v>
      </c>
      <c r="P66" s="2362" t="s">
        <v>2403</v>
      </c>
      <c r="Q66" s="2363">
        <f ca="1">C40+J29</f>
        <v>14524</v>
      </c>
      <c r="R66" s="2362" t="s">
        <v>2378</v>
      </c>
    </row>
    <row r="67" spans="1:18" s="2043" customFormat="1" ht="19.2" thickBot="1">
      <c r="A67" s="781" t="s">
        <v>1780</v>
      </c>
      <c r="B67" s="2216" t="s">
        <v>2299</v>
      </c>
      <c r="C67" s="783">
        <f ca="1">ROUND(C66*(1-((1+F69)/(1+F67))^F68)/(F67-F69),0)</f>
        <v>-6292</v>
      </c>
      <c r="D67" s="814" t="s">
        <v>704</v>
      </c>
      <c r="E67" s="784" t="s">
        <v>705</v>
      </c>
      <c r="F67" s="794">
        <f ca="1">F40</f>
        <v>0.05</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37.14</v>
      </c>
      <c r="O68" s="2364" t="s">
        <v>2381</v>
      </c>
      <c r="P68" s="2362" t="s">
        <v>2411</v>
      </c>
      <c r="Q68" s="2368">
        <f ca="1">L51</f>
        <v>-23106</v>
      </c>
      <c r="R68" s="2369" t="s">
        <v>2414</v>
      </c>
    </row>
    <row r="69" spans="1:18" ht="19.2" thickBot="1">
      <c r="A69" s="790"/>
      <c r="B69" s="791"/>
      <c r="C69" s="792"/>
      <c r="D69" s="816"/>
      <c r="E69" s="784" t="s">
        <v>710</v>
      </c>
      <c r="F69" s="2334"/>
      <c r="O69" s="2364" t="s">
        <v>2382</v>
      </c>
      <c r="P69" s="2370" t="s">
        <v>2396</v>
      </c>
      <c r="Q69" s="2363">
        <f ca="1">ROUND(Q70-Q71*Q72,0)</f>
        <v>-1260</v>
      </c>
      <c r="R69" s="2366"/>
    </row>
    <row r="70" spans="1:18" ht="16.2" thickBot="1">
      <c r="A70" s="823" t="s">
        <v>1787</v>
      </c>
      <c r="B70" s="824" t="s">
        <v>1810</v>
      </c>
      <c r="C70" s="825">
        <f ca="1">ROUND(C67*10000/F70,0)</f>
        <v>-799</v>
      </c>
      <c r="D70" s="826" t="s">
        <v>1811</v>
      </c>
      <c r="E70" s="827" t="s">
        <v>1812</v>
      </c>
      <c r="F70" s="828">
        <f ca="1">F43</f>
        <v>78732</v>
      </c>
      <c r="O70" s="2364" t="s">
        <v>2397</v>
      </c>
      <c r="P70" s="2370" t="s">
        <v>2398</v>
      </c>
      <c r="Q70" s="2363">
        <f ca="1">C39</f>
        <v>614</v>
      </c>
      <c r="R70" s="2362" t="s">
        <v>2378</v>
      </c>
    </row>
    <row r="71" spans="1:18" ht="16.2" thickBot="1">
      <c r="O71" s="2364" t="s">
        <v>2399</v>
      </c>
      <c r="P71" s="2370" t="s">
        <v>2400</v>
      </c>
      <c r="Q71" s="2363">
        <f ca="1">C13</f>
        <v>22045</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14524</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7" t="s">
        <v>2469</v>
      </c>
      <c r="B1" s="3478"/>
      <c r="C1" s="3479"/>
      <c r="D1" s="3480">
        <f>SUM(I10,I15,I20,I21,I23)</f>
        <v>0</v>
      </c>
      <c r="E1" s="3480"/>
      <c r="F1" s="3480"/>
      <c r="G1" s="3480"/>
      <c r="H1" s="3480"/>
      <c r="I1" s="3481"/>
    </row>
    <row r="2" spans="1:9">
      <c r="A2" s="3482" t="s">
        <v>2470</v>
      </c>
      <c r="B2" s="3483" t="s">
        <v>2471</v>
      </c>
      <c r="C2" s="3483"/>
      <c r="D2" s="2470" t="s">
        <v>2472</v>
      </c>
      <c r="E2" s="2470" t="s">
        <v>2473</v>
      </c>
      <c r="F2" s="2470" t="s">
        <v>2474</v>
      </c>
      <c r="G2" s="2470" t="s">
        <v>2475</v>
      </c>
      <c r="H2" s="2470" t="s">
        <v>2476</v>
      </c>
      <c r="I2" s="2471" t="s">
        <v>2477</v>
      </c>
    </row>
    <row r="3" spans="1:9">
      <c r="A3" s="3482"/>
      <c r="B3" s="3483" t="s">
        <v>2478</v>
      </c>
      <c r="C3" s="3483"/>
      <c r="D3" s="2472"/>
      <c r="E3" s="2470"/>
      <c r="F3" s="2473"/>
      <c r="G3" s="2473"/>
      <c r="H3" s="2474"/>
      <c r="I3" s="2475">
        <f>ROUND(D3*E3*F3*G3*H3/10000,0)</f>
        <v>0</v>
      </c>
    </row>
    <row r="4" spans="1:9">
      <c r="A4" s="3482"/>
      <c r="B4" s="3483" t="s">
        <v>2479</v>
      </c>
      <c r="C4" s="3483"/>
      <c r="D4" s="2472"/>
      <c r="E4" s="2470"/>
      <c r="F4" s="2473"/>
      <c r="G4" s="2473"/>
      <c r="H4" s="2474"/>
      <c r="I4" s="2475">
        <f t="shared" ref="I4:I9" si="0">ROUND(D4*E4*F4*G4*H4/10000,0)</f>
        <v>0</v>
      </c>
    </row>
    <row r="5" spans="1:9">
      <c r="A5" s="3482"/>
      <c r="B5" s="3483" t="s">
        <v>2480</v>
      </c>
      <c r="C5" s="3483"/>
      <c r="D5" s="2472"/>
      <c r="E5" s="2470"/>
      <c r="F5" s="2473"/>
      <c r="G5" s="2473"/>
      <c r="H5" s="2474"/>
      <c r="I5" s="2475">
        <f t="shared" si="0"/>
        <v>0</v>
      </c>
    </row>
    <row r="6" spans="1:9">
      <c r="A6" s="3482"/>
      <c r="B6" s="3483" t="s">
        <v>2481</v>
      </c>
      <c r="C6" s="3483"/>
      <c r="D6" s="2472"/>
      <c r="E6" s="2470"/>
      <c r="F6" s="2473"/>
      <c r="G6" s="2473"/>
      <c r="H6" s="2474"/>
      <c r="I6" s="2475">
        <f t="shared" si="0"/>
        <v>0</v>
      </c>
    </row>
    <row r="7" spans="1:9">
      <c r="A7" s="3482"/>
      <c r="B7" s="3483" t="s">
        <v>2482</v>
      </c>
      <c r="C7" s="3483"/>
      <c r="D7" s="2472"/>
      <c r="E7" s="2470"/>
      <c r="F7" s="2473"/>
      <c r="G7" s="2473"/>
      <c r="H7" s="2474"/>
      <c r="I7" s="2475">
        <f t="shared" si="0"/>
        <v>0</v>
      </c>
    </row>
    <row r="8" spans="1:9">
      <c r="A8" s="3482"/>
      <c r="B8" s="3483" t="s">
        <v>2483</v>
      </c>
      <c r="C8" s="3483"/>
      <c r="D8" s="2472"/>
      <c r="E8" s="2470"/>
      <c r="F8" s="2473"/>
      <c r="G8" s="2473"/>
      <c r="H8" s="2474"/>
      <c r="I8" s="2475">
        <f t="shared" si="0"/>
        <v>0</v>
      </c>
    </row>
    <row r="9" spans="1:9">
      <c r="A9" s="3482"/>
      <c r="B9" s="3483" t="s">
        <v>2484</v>
      </c>
      <c r="C9" s="3483"/>
      <c r="D9" s="2472"/>
      <c r="E9" s="2470"/>
      <c r="F9" s="2473"/>
      <c r="G9" s="2473"/>
      <c r="H9" s="2474"/>
      <c r="I9" s="2475">
        <f t="shared" si="0"/>
        <v>0</v>
      </c>
    </row>
    <row r="10" spans="1:9">
      <c r="A10" s="3482"/>
      <c r="B10" s="3484" t="s">
        <v>2485</v>
      </c>
      <c r="C10" s="3484"/>
      <c r="D10" s="2476">
        <v>527</v>
      </c>
      <c r="E10" s="2476" t="e">
        <f>ROUND(D1*10000/D10/H9,0)</f>
        <v>#DIV/0!</v>
      </c>
      <c r="F10" s="2477"/>
      <c r="G10" s="2477"/>
      <c r="H10" s="2478"/>
      <c r="I10" s="2479">
        <f>SUM(I3:I9)</f>
        <v>0</v>
      </c>
    </row>
    <row r="11" spans="1:9" ht="15.6">
      <c r="A11" s="3482" t="s">
        <v>2486</v>
      </c>
      <c r="B11" s="3483" t="s">
        <v>2487</v>
      </c>
      <c r="C11" s="3483"/>
      <c r="D11" s="2472" t="s">
        <v>2488</v>
      </c>
      <c r="E11" s="2472" t="s">
        <v>2489</v>
      </c>
      <c r="F11" s="2473" t="s">
        <v>2490</v>
      </c>
      <c r="G11" s="2473" t="s">
        <v>2491</v>
      </c>
      <c r="H11" s="2480" t="s">
        <v>2492</v>
      </c>
      <c r="I11" s="2471" t="s">
        <v>2493</v>
      </c>
    </row>
    <row r="12" spans="1:9">
      <c r="A12" s="3482"/>
      <c r="B12" s="3483" t="s">
        <v>2494</v>
      </c>
      <c r="C12" s="3483"/>
      <c r="D12" s="2472"/>
      <c r="E12" s="2472"/>
      <c r="F12" s="2473"/>
      <c r="G12" s="2474"/>
      <c r="H12" s="2481"/>
      <c r="I12" s="2471">
        <f>ROUND(D12*E12*F12*G12/10000,0)</f>
        <v>0</v>
      </c>
    </row>
    <row r="13" spans="1:9">
      <c r="A13" s="3482"/>
      <c r="B13" s="3483" t="s">
        <v>2495</v>
      </c>
      <c r="C13" s="3483"/>
      <c r="D13" s="2472"/>
      <c r="E13" s="2472"/>
      <c r="F13" s="2473"/>
      <c r="G13" s="2474"/>
      <c r="H13" s="2481"/>
      <c r="I13" s="2471">
        <f>ROUND(D13*E13*F13*G13/10000,0)</f>
        <v>0</v>
      </c>
    </row>
    <row r="14" spans="1:9">
      <c r="A14" s="3482"/>
      <c r="B14" s="3483" t="s">
        <v>2496</v>
      </c>
      <c r="C14" s="3483"/>
      <c r="D14" s="2472"/>
      <c r="E14" s="2472"/>
      <c r="F14" s="2473"/>
      <c r="G14" s="2474"/>
      <c r="H14" s="2481"/>
      <c r="I14" s="2471">
        <f>ROUND(D14*E14*F14*G14/10000,0)</f>
        <v>0</v>
      </c>
    </row>
    <row r="15" spans="1:9">
      <c r="A15" s="3482"/>
      <c r="B15" s="3484" t="s">
        <v>2485</v>
      </c>
      <c r="C15" s="3484"/>
      <c r="D15" s="2476"/>
      <c r="E15" s="2476">
        <f>SUM(E12:E14)</f>
        <v>0</v>
      </c>
      <c r="F15" s="2477"/>
      <c r="G15" s="2474"/>
      <c r="H15" s="2481"/>
      <c r="I15" s="2482">
        <f>SUM(I12:I14)</f>
        <v>0</v>
      </c>
    </row>
    <row r="16" spans="1:9" ht="24">
      <c r="A16" s="3482" t="s">
        <v>2497</v>
      </c>
      <c r="B16" s="3483" t="s">
        <v>2498</v>
      </c>
      <c r="C16" s="3483"/>
      <c r="D16" s="2472" t="s">
        <v>2499</v>
      </c>
      <c r="E16" s="2483" t="s">
        <v>2500</v>
      </c>
      <c r="F16" s="2473" t="s">
        <v>2501</v>
      </c>
      <c r="G16" s="2474" t="s">
        <v>2491</v>
      </c>
      <c r="H16" s="2480" t="s">
        <v>2492</v>
      </c>
      <c r="I16" s="2471" t="s">
        <v>2493</v>
      </c>
    </row>
    <row r="17" spans="1:9" ht="15.6">
      <c r="A17" s="3482"/>
      <c r="B17" s="3483" t="s">
        <v>2502</v>
      </c>
      <c r="C17" s="3483"/>
      <c r="D17" s="2472"/>
      <c r="E17" s="2472"/>
      <c r="F17" s="2473"/>
      <c r="G17" s="2474"/>
      <c r="H17" s="2484"/>
      <c r="I17" s="2485">
        <f>ROUND(D17*E17*F17*G17/10000,0)</f>
        <v>0</v>
      </c>
    </row>
    <row r="18" spans="1:9" ht="15.6">
      <c r="A18" s="3482"/>
      <c r="B18" s="3483" t="s">
        <v>2503</v>
      </c>
      <c r="C18" s="3483"/>
      <c r="D18" s="2472"/>
      <c r="E18" s="2472"/>
      <c r="F18" s="2473"/>
      <c r="G18" s="2474"/>
      <c r="H18" s="2484"/>
      <c r="I18" s="2485">
        <f>ROUND(D18*E18*F18*G18/10000,0)</f>
        <v>0</v>
      </c>
    </row>
    <row r="19" spans="1:9" ht="15.6">
      <c r="A19" s="3482"/>
      <c r="B19" s="3483" t="s">
        <v>2504</v>
      </c>
      <c r="C19" s="3483"/>
      <c r="D19" s="2472"/>
      <c r="E19" s="2472"/>
      <c r="F19" s="2473"/>
      <c r="G19" s="2474"/>
      <c r="H19" s="2484"/>
      <c r="I19" s="2485">
        <f>ROUND(D19*E19*F19*G19/10000,0)</f>
        <v>0</v>
      </c>
    </row>
    <row r="20" spans="1:9">
      <c r="A20" s="3482"/>
      <c r="B20" s="3484" t="s">
        <v>2485</v>
      </c>
      <c r="C20" s="3484"/>
      <c r="D20" s="2476">
        <f>SUM(D17:D19)</f>
        <v>0</v>
      </c>
      <c r="E20" s="2476"/>
      <c r="F20" s="2477"/>
      <c r="G20" s="2474"/>
      <c r="H20" s="2481"/>
      <c r="I20" s="2482">
        <f>SUM(I17:I19)</f>
        <v>0</v>
      </c>
    </row>
    <row r="21" spans="1:9">
      <c r="A21" s="3482" t="s">
        <v>2505</v>
      </c>
      <c r="B21" s="3486"/>
      <c r="C21" s="3486"/>
      <c r="D21" s="3486"/>
      <c r="E21" s="3486"/>
      <c r="F21" s="3486"/>
      <c r="G21" s="3486"/>
      <c r="H21" s="2486">
        <v>0.1</v>
      </c>
      <c r="I21" s="2479">
        <f>ROUND(I10*H21,0)</f>
        <v>0</v>
      </c>
    </row>
    <row r="22" spans="1:9" ht="15.6">
      <c r="A22" s="3487" t="s">
        <v>2506</v>
      </c>
      <c r="B22" s="3488"/>
      <c r="C22" s="3489"/>
      <c r="D22" s="2487" t="s">
        <v>2507</v>
      </c>
      <c r="E22" s="2487" t="s">
        <v>2508</v>
      </c>
      <c r="F22" s="2488" t="s">
        <v>2509</v>
      </c>
      <c r="G22" s="2488" t="s">
        <v>2510</v>
      </c>
      <c r="H22" s="2480" t="s">
        <v>2511</v>
      </c>
      <c r="I22" s="2471" t="s">
        <v>2512</v>
      </c>
    </row>
    <row r="23" spans="1:9" ht="15" thickBot="1">
      <c r="A23" s="3490"/>
      <c r="B23" s="3491"/>
      <c r="C23" s="3492"/>
      <c r="D23" s="2489"/>
      <c r="E23" s="2489"/>
      <c r="F23" s="2489"/>
      <c r="G23" s="2490"/>
      <c r="H23" s="2491"/>
      <c r="I23" s="2492">
        <f>ROUND(E23*D23*F23*(1-G23)/10000,0)</f>
        <v>0</v>
      </c>
    </row>
    <row r="26" spans="1:9">
      <c r="A26" s="2493" t="s">
        <v>2513</v>
      </c>
      <c r="B26" s="2493"/>
      <c r="C26" s="2493"/>
      <c r="D26" s="2493"/>
      <c r="E26" s="3493">
        <f>C27-C30-C31-C32</f>
        <v>0</v>
      </c>
      <c r="F26" s="3493"/>
      <c r="G26" s="3493"/>
      <c r="H26" s="2990" t="s">
        <v>2840</v>
      </c>
    </row>
    <row r="27" spans="1:9">
      <c r="A27" s="2494">
        <v>1</v>
      </c>
      <c r="B27" s="2495" t="s">
        <v>2514</v>
      </c>
      <c r="C27" s="2495"/>
      <c r="D27" s="2495"/>
      <c r="E27" s="3494"/>
      <c r="F27" s="3494"/>
      <c r="G27" s="3494"/>
    </row>
    <row r="28" spans="1:9">
      <c r="A28" s="2496" t="s">
        <v>2515</v>
      </c>
      <c r="B28" s="2495" t="s">
        <v>2516</v>
      </c>
      <c r="C28" s="2495"/>
      <c r="D28" s="2495"/>
      <c r="E28" s="3494"/>
      <c r="F28" s="3494"/>
      <c r="G28" s="3494"/>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5"/>
      <c r="F32" s="3485"/>
      <c r="G32" s="3485"/>
    </row>
    <row r="33" spans="1:7" hidden="1">
      <c r="A33" s="3495" t="s">
        <v>2524</v>
      </c>
      <c r="B33" s="3496"/>
      <c r="C33" s="3496"/>
      <c r="D33" s="3497"/>
      <c r="E33" s="3493"/>
      <c r="F33" s="3493"/>
      <c r="G33" s="3493"/>
    </row>
    <row r="34" spans="1:7" hidden="1">
      <c r="A34" s="2498">
        <v>1</v>
      </c>
      <c r="B34" s="2495" t="s">
        <v>2525</v>
      </c>
      <c r="C34" s="2495"/>
      <c r="D34" s="2495"/>
      <c r="E34" s="3494"/>
      <c r="F34" s="3494"/>
      <c r="G34" s="3494"/>
    </row>
    <row r="35" spans="1:7" hidden="1">
      <c r="A35" s="2498">
        <v>2</v>
      </c>
      <c r="B35" s="2495" t="s">
        <v>2526</v>
      </c>
      <c r="C35" s="2495"/>
      <c r="D35" s="2495"/>
      <c r="E35" s="3494"/>
      <c r="F35" s="3494"/>
      <c r="G35" s="3494"/>
    </row>
    <row r="36" spans="1:7" hidden="1">
      <c r="A36" s="2498">
        <v>3</v>
      </c>
      <c r="B36" s="2495" t="s">
        <v>2527</v>
      </c>
      <c r="C36" s="2495"/>
      <c r="D36" s="2495"/>
      <c r="E36" s="3494"/>
      <c r="F36" s="3494"/>
      <c r="G36" s="3494"/>
    </row>
    <row r="37" spans="1:7" hidden="1">
      <c r="A37" s="2498">
        <v>4</v>
      </c>
      <c r="B37" s="2495" t="s">
        <v>2528</v>
      </c>
      <c r="C37" s="2495"/>
      <c r="D37" s="2495"/>
      <c r="E37" s="3494"/>
      <c r="F37" s="3494"/>
      <c r="G37" s="3494"/>
    </row>
    <row r="38" spans="1:7" hidden="1">
      <c r="A38" s="3495" t="s">
        <v>2529</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302059</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4256</v>
      </c>
      <c r="D12" s="758">
        <f>'数据-汇总表'!E5</f>
        <v>198870</v>
      </c>
      <c r="E12" s="757">
        <f>'数据-取费表'!B27</f>
        <v>214</v>
      </c>
      <c r="F12" s="755"/>
      <c r="G12" s="759"/>
    </row>
    <row r="13" spans="1:25" s="2167" customFormat="1" ht="13.5" customHeight="1">
      <c r="A13" s="2439" t="s">
        <v>2445</v>
      </c>
      <c r="B13" s="756" t="s">
        <v>612</v>
      </c>
      <c r="C13" s="757">
        <f>ROUND(D13*E13/10000,0)</f>
        <v>2208</v>
      </c>
      <c r="D13" s="758">
        <f>'数据-汇总表'!E6</f>
        <v>103189</v>
      </c>
      <c r="E13" s="757">
        <f>'数据-取费表'!B28</f>
        <v>214</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0.90300000000000002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83" t="s">
        <v>522</v>
      </c>
      <c r="D4" s="3384"/>
      <c r="E4" s="3418" t="s">
        <v>523</v>
      </c>
      <c r="F4" s="3419"/>
      <c r="G4" s="3383" t="s">
        <v>524</v>
      </c>
      <c r="H4" s="3384"/>
      <c r="I4" s="3383" t="s">
        <v>525</v>
      </c>
      <c r="J4" s="3384"/>
      <c r="K4" s="514"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78" t="s">
        <v>524</v>
      </c>
      <c r="AC4" s="3380" t="s">
        <v>525</v>
      </c>
    </row>
    <row r="5" spans="1:29">
      <c r="A5" s="515"/>
      <c r="B5" s="516"/>
      <c r="C5" s="3401" t="s">
        <v>2918</v>
      </c>
      <c r="D5" s="3400"/>
      <c r="E5" s="3420" t="s">
        <v>2919</v>
      </c>
      <c r="F5" s="3421"/>
      <c r="G5" s="3401" t="s">
        <v>2920</v>
      </c>
      <c r="H5" s="3400"/>
      <c r="I5" s="3401" t="s">
        <v>2921</v>
      </c>
      <c r="J5" s="3400"/>
      <c r="K5" s="514"/>
      <c r="L5" s="2117"/>
      <c r="M5" s="2118"/>
      <c r="N5" s="2118"/>
      <c r="O5" s="2118"/>
      <c r="P5" s="3387"/>
      <c r="Q5" s="3388"/>
      <c r="R5" s="3393"/>
      <c r="S5" s="3394"/>
      <c r="T5" s="3393"/>
      <c r="U5" s="3394"/>
      <c r="V5" s="3378"/>
      <c r="W5" s="3378"/>
      <c r="X5" s="1552"/>
      <c r="Y5" s="3393"/>
      <c r="Z5" s="3394"/>
      <c r="AA5" s="3381"/>
      <c r="AB5" s="3378"/>
      <c r="AC5" s="3381"/>
    </row>
    <row r="6" spans="1:29" ht="15" thickBot="1">
      <c r="A6" s="517"/>
      <c r="B6" s="518"/>
      <c r="C6" s="3397" t="s">
        <v>2922</v>
      </c>
      <c r="D6" s="3398"/>
      <c r="E6" s="3416" t="s">
        <v>2922</v>
      </c>
      <c r="F6" s="3417"/>
      <c r="G6" s="3397" t="s">
        <v>2922</v>
      </c>
      <c r="H6" s="3398"/>
      <c r="I6" s="3397" t="s">
        <v>2922</v>
      </c>
      <c r="J6" s="3398"/>
      <c r="K6" s="514" t="s">
        <v>528</v>
      </c>
      <c r="L6" s="2117"/>
      <c r="M6" s="2118"/>
      <c r="N6" s="2118"/>
      <c r="O6" s="2118"/>
      <c r="P6" s="3389"/>
      <c r="Q6" s="3390"/>
      <c r="R6" s="3393"/>
      <c r="S6" s="3394"/>
      <c r="T6" s="3395"/>
      <c r="U6" s="3396"/>
      <c r="V6" s="3378"/>
      <c r="W6" s="3378"/>
      <c r="X6" s="1552"/>
      <c r="Y6" s="3395"/>
      <c r="Z6" s="3396"/>
      <c r="AA6" s="3382"/>
      <c r="AB6" s="3378"/>
      <c r="AC6" s="3382"/>
    </row>
    <row r="7" spans="1:29" s="1216" customFormat="1" ht="15" thickBot="1">
      <c r="A7" s="2866"/>
      <c r="B7" s="2873" t="s">
        <v>529</v>
      </c>
      <c r="C7" s="519">
        <f>'数据-取费表'!B2</f>
        <v>43969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9"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46" si="3">D8/F8</f>
        <v>#DIV/0!</v>
      </c>
      <c r="AB8" s="1556" t="e">
        <f t="shared" ref="AB8:AB46" si="4">D8/H8</f>
        <v>#DIV/0!</v>
      </c>
      <c r="AC8" s="1556" t="e">
        <f t="shared" ref="AC8:AC46" si="5">D8/J8</f>
        <v>#DIV/0!</v>
      </c>
    </row>
    <row r="9" spans="1:29" s="1216"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7" t="s">
        <v>535</v>
      </c>
      <c r="Q9" s="1147" t="str">
        <f t="shared" ref="Q9:Q15" si="6">B9</f>
        <v>用途</v>
      </c>
      <c r="R9" s="1553" t="s">
        <v>8</v>
      </c>
      <c r="S9" s="1554">
        <f t="shared" si="0"/>
        <v>100</v>
      </c>
      <c r="T9" s="1553" t="s">
        <v>8</v>
      </c>
      <c r="U9" s="1554">
        <f t="shared" si="1"/>
        <v>100</v>
      </c>
      <c r="V9" s="1553" t="s">
        <v>8</v>
      </c>
      <c r="W9" s="1554">
        <f t="shared" si="2"/>
        <v>100</v>
      </c>
      <c r="X9" s="1555"/>
      <c r="Y9" s="3323" t="s">
        <v>536</v>
      </c>
      <c r="Z9" s="1146" t="str">
        <f t="shared" ref="Z9:Z15" si="7">Q9</f>
        <v>用途</v>
      </c>
      <c r="AA9" s="1556">
        <f t="shared" si="3"/>
        <v>1</v>
      </c>
      <c r="AB9" s="1556">
        <f t="shared" si="4"/>
        <v>1</v>
      </c>
      <c r="AC9" s="1556">
        <f t="shared" si="5"/>
        <v>1</v>
      </c>
    </row>
    <row r="10" spans="1:29" s="1334"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7"/>
      <c r="Q10" s="1147" t="str">
        <f t="shared" si="6"/>
        <v>土地使用年限（年）</v>
      </c>
      <c r="R10" s="1553" t="s">
        <v>8</v>
      </c>
      <c r="S10" s="1554">
        <f t="shared" si="0"/>
        <v>100</v>
      </c>
      <c r="T10" s="1553" t="s">
        <v>8</v>
      </c>
      <c r="U10" s="1554">
        <f t="shared" si="1"/>
        <v>100</v>
      </c>
      <c r="V10" s="1553" t="s">
        <v>8</v>
      </c>
      <c r="W10" s="1554">
        <f t="shared" si="2"/>
        <v>100</v>
      </c>
      <c r="X10" s="1555"/>
      <c r="Y10" s="332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7"/>
      <c r="Q11" s="1147" t="str">
        <f t="shared" si="6"/>
        <v>容积率</v>
      </c>
      <c r="R11" s="1553" t="s">
        <v>8</v>
      </c>
      <c r="S11" s="1554" t="e">
        <f t="shared" si="0"/>
        <v>#N/A</v>
      </c>
      <c r="T11" s="1553" t="s">
        <v>8</v>
      </c>
      <c r="U11" s="1554" t="e">
        <f t="shared" si="1"/>
        <v>#N/A</v>
      </c>
      <c r="V11" s="1553" t="s">
        <v>8</v>
      </c>
      <c r="W11" s="1554" t="e">
        <f t="shared" si="2"/>
        <v>#N/A</v>
      </c>
      <c r="X11" s="1555"/>
      <c r="Y11" s="332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7"/>
      <c r="Q12" s="1147">
        <f t="shared" si="6"/>
        <v>111</v>
      </c>
      <c r="R12" s="1553" t="s">
        <v>8</v>
      </c>
      <c r="S12" s="1554">
        <f t="shared" si="0"/>
        <v>100</v>
      </c>
      <c r="T12" s="1553" t="s">
        <v>8</v>
      </c>
      <c r="U12" s="1554">
        <f t="shared" si="1"/>
        <v>100</v>
      </c>
      <c r="V12" s="1553" t="s">
        <v>8</v>
      </c>
      <c r="W12" s="1554">
        <f t="shared" si="2"/>
        <v>100</v>
      </c>
      <c r="X12" s="1555"/>
      <c r="Y12" s="3323"/>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7"/>
      <c r="Q13" s="1147">
        <f t="shared" si="6"/>
        <v>111</v>
      </c>
      <c r="R13" s="1553" t="s">
        <v>8</v>
      </c>
      <c r="S13" s="1554">
        <f t="shared" si="0"/>
        <v>100</v>
      </c>
      <c r="T13" s="1553" t="s">
        <v>8</v>
      </c>
      <c r="U13" s="1554">
        <f t="shared" si="1"/>
        <v>100</v>
      </c>
      <c r="V13" s="1553" t="s">
        <v>8</v>
      </c>
      <c r="W13" s="1554">
        <f t="shared" si="2"/>
        <v>100</v>
      </c>
      <c r="X13" s="1555"/>
      <c r="Y13" s="3323"/>
      <c r="Z13" s="1146">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7"/>
      <c r="Q14" s="1147">
        <f t="shared" si="6"/>
        <v>111</v>
      </c>
      <c r="R14" s="1553" t="s">
        <v>8</v>
      </c>
      <c r="S14" s="1554">
        <f t="shared" si="0"/>
        <v>100</v>
      </c>
      <c r="T14" s="1553" t="s">
        <v>8</v>
      </c>
      <c r="U14" s="1554">
        <f t="shared" si="1"/>
        <v>100</v>
      </c>
      <c r="V14" s="1553" t="s">
        <v>8</v>
      </c>
      <c r="W14" s="1554">
        <f t="shared" si="2"/>
        <v>100</v>
      </c>
      <c r="X14" s="1555"/>
      <c r="Y14" s="3323"/>
      <c r="Z14" s="1146">
        <f t="shared" si="7"/>
        <v>111</v>
      </c>
      <c r="AA14" s="1556">
        <f t="shared" si="3"/>
        <v>1</v>
      </c>
      <c r="AB14" s="1556">
        <f t="shared" si="4"/>
        <v>1</v>
      </c>
      <c r="AC14" s="1556">
        <f t="shared" si="5"/>
        <v>1</v>
      </c>
    </row>
    <row r="15" spans="1:29" ht="15">
      <c r="A15" s="2864"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2" t="s">
        <v>540</v>
      </c>
      <c r="Q15" s="1557" t="str">
        <f t="shared" si="6"/>
        <v>商业繁华度</v>
      </c>
      <c r="R15" s="1558" t="s">
        <v>8</v>
      </c>
      <c r="S15" s="1559">
        <f t="shared" si="0"/>
        <v>100</v>
      </c>
      <c r="T15" s="1558" t="s">
        <v>8</v>
      </c>
      <c r="U15" s="1559">
        <f t="shared" si="1"/>
        <v>100</v>
      </c>
      <c r="V15" s="1558" t="s">
        <v>8</v>
      </c>
      <c r="W15" s="1559">
        <f t="shared" si="2"/>
        <v>100</v>
      </c>
      <c r="X15" s="1552"/>
      <c r="Y15" s="3412"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3"/>
      <c r="Q16" s="1557"/>
      <c r="R16" s="1558"/>
      <c r="S16" s="1559"/>
      <c r="T16" s="1558"/>
      <c r="U16" s="1559"/>
      <c r="V16" s="1558"/>
      <c r="W16" s="1559"/>
      <c r="X16" s="1552"/>
      <c r="Y16" s="3413"/>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3"/>
      <c r="Q18" s="1557"/>
      <c r="R18" s="1558"/>
      <c r="S18" s="1559"/>
      <c r="T18" s="1558"/>
      <c r="U18" s="1559"/>
      <c r="V18" s="1558"/>
      <c r="W18" s="1559"/>
      <c r="X18" s="1552"/>
      <c r="Y18" s="3413"/>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3"/>
      <c r="Q20" s="1557"/>
      <c r="R20" s="1558"/>
      <c r="S20" s="1559"/>
      <c r="T20" s="1558"/>
      <c r="U20" s="1559"/>
      <c r="V20" s="1558"/>
      <c r="W20" s="1559"/>
      <c r="X20" s="1552"/>
      <c r="Y20" s="3413"/>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3"/>
      <c r="Q22" s="2542"/>
      <c r="R22" s="1558"/>
      <c r="S22" s="1559"/>
      <c r="T22" s="1558"/>
      <c r="U22" s="1559"/>
      <c r="V22" s="1558"/>
      <c r="W22" s="1559"/>
      <c r="X22" s="2544"/>
      <c r="Y22" s="3413"/>
      <c r="Z22" s="2543"/>
      <c r="AA22" s="1561">
        <v>1</v>
      </c>
      <c r="AB22" s="1561">
        <v>1</v>
      </c>
      <c r="AC22" s="1561">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3"/>
      <c r="Q23" s="1557" t="str">
        <f>B23</f>
        <v>自然及人文环境</v>
      </c>
      <c r="R23" s="1558" t="s">
        <v>8</v>
      </c>
      <c r="S23" s="1559">
        <f>F23</f>
        <v>100</v>
      </c>
      <c r="T23" s="1558" t="s">
        <v>8</v>
      </c>
      <c r="U23" s="1559">
        <f>H23</f>
        <v>100</v>
      </c>
      <c r="V23" s="1558" t="s">
        <v>8</v>
      </c>
      <c r="W23" s="1559">
        <f>J23</f>
        <v>100</v>
      </c>
      <c r="X23" s="1552"/>
      <c r="Y23" s="3413"/>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3"/>
      <c r="Q25" s="1557" t="str">
        <f t="shared" ref="Q25:Q46" si="11">B25</f>
        <v>临街状况</v>
      </c>
      <c r="R25" s="1558" t="s">
        <v>8</v>
      </c>
      <c r="S25" s="1559">
        <f>F25</f>
        <v>100</v>
      </c>
      <c r="T25" s="1558" t="s">
        <v>8</v>
      </c>
      <c r="U25" s="1559">
        <f>H25</f>
        <v>100</v>
      </c>
      <c r="V25" s="1558" t="s">
        <v>8</v>
      </c>
      <c r="W25" s="1559">
        <f>J25</f>
        <v>100</v>
      </c>
      <c r="X25" s="1552"/>
      <c r="Y25" s="3413"/>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3"/>
      <c r="Q26" s="1557" t="str">
        <f t="shared" si="11"/>
        <v>平面位置/可视性</v>
      </c>
      <c r="R26" s="1558" t="s">
        <v>8</v>
      </c>
      <c r="S26" s="1559">
        <f>F26</f>
        <v>100</v>
      </c>
      <c r="T26" s="1558" t="s">
        <v>8</v>
      </c>
      <c r="U26" s="1559">
        <f>H26</f>
        <v>100</v>
      </c>
      <c r="V26" s="1558" t="s">
        <v>8</v>
      </c>
      <c r="W26" s="1559">
        <f>J26</f>
        <v>100</v>
      </c>
      <c r="X26" s="1552"/>
      <c r="Y26" s="3413"/>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3"/>
      <c r="Q27" s="1147" t="str">
        <f t="shared" si="11"/>
        <v>人流量</v>
      </c>
      <c r="R27" s="1553" t="s">
        <v>8</v>
      </c>
      <c r="S27" s="1554">
        <f>F27</f>
        <v>100</v>
      </c>
      <c r="T27" s="1553" t="s">
        <v>8</v>
      </c>
      <c r="U27" s="1554">
        <f>H27</f>
        <v>100</v>
      </c>
      <c r="V27" s="1553" t="s">
        <v>8</v>
      </c>
      <c r="W27" s="1554">
        <f>J27</f>
        <v>100</v>
      </c>
      <c r="X27" s="1555"/>
      <c r="Y27" s="3413"/>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3"/>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3"/>
      <c r="Q29" s="1557">
        <f t="shared" si="11"/>
        <v>111</v>
      </c>
      <c r="R29" s="1558" t="s">
        <v>8</v>
      </c>
      <c r="S29" s="1559">
        <f t="shared" si="12"/>
        <v>100</v>
      </c>
      <c r="T29" s="1558" t="s">
        <v>8</v>
      </c>
      <c r="U29" s="1559">
        <f t="shared" si="13"/>
        <v>100</v>
      </c>
      <c r="V29" s="1558" t="s">
        <v>8</v>
      </c>
      <c r="W29" s="1559">
        <f t="shared" si="14"/>
        <v>100</v>
      </c>
      <c r="X29" s="1552"/>
      <c r="Y29" s="3413"/>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3"/>
      <c r="Q30" s="1557">
        <f t="shared" si="11"/>
        <v>111</v>
      </c>
      <c r="R30" s="1558" t="s">
        <v>8</v>
      </c>
      <c r="S30" s="1559">
        <f t="shared" si="12"/>
        <v>100</v>
      </c>
      <c r="T30" s="1558" t="s">
        <v>8</v>
      </c>
      <c r="U30" s="1559">
        <f t="shared" si="13"/>
        <v>100</v>
      </c>
      <c r="V30" s="1558" t="s">
        <v>8</v>
      </c>
      <c r="W30" s="1559">
        <f t="shared" si="14"/>
        <v>100</v>
      </c>
      <c r="X30" s="1552"/>
      <c r="Y30" s="3413"/>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3"/>
      <c r="Q31" s="1557">
        <f t="shared" si="11"/>
        <v>111</v>
      </c>
      <c r="R31" s="1558" t="s">
        <v>8</v>
      </c>
      <c r="S31" s="1559">
        <f t="shared" si="12"/>
        <v>100</v>
      </c>
      <c r="T31" s="1558" t="s">
        <v>8</v>
      </c>
      <c r="U31" s="1559">
        <f t="shared" si="13"/>
        <v>100</v>
      </c>
      <c r="V31" s="1558" t="s">
        <v>8</v>
      </c>
      <c r="W31" s="1559">
        <f t="shared" si="14"/>
        <v>100</v>
      </c>
      <c r="X31" s="1552"/>
      <c r="Y31" s="3413"/>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4" t="s">
        <v>550</v>
      </c>
      <c r="Q32" s="1557" t="str">
        <f t="shared" si="11"/>
        <v>商业类型</v>
      </c>
      <c r="R32" s="1558" t="s">
        <v>8</v>
      </c>
      <c r="S32" s="1559">
        <f t="shared" si="12"/>
        <v>100</v>
      </c>
      <c r="T32" s="1558" t="s">
        <v>8</v>
      </c>
      <c r="U32" s="1559">
        <f t="shared" si="13"/>
        <v>100</v>
      </c>
      <c r="V32" s="1558" t="s">
        <v>8</v>
      </c>
      <c r="W32" s="1559">
        <f t="shared" si="14"/>
        <v>100</v>
      </c>
      <c r="X32" s="1552"/>
      <c r="Y32" s="3415"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5"/>
      <c r="Q33" s="1589" t="str">
        <f t="shared" si="11"/>
        <v>项目建筑规模</v>
      </c>
      <c r="R33" s="1562" t="s">
        <v>8</v>
      </c>
      <c r="S33" s="1563" t="e">
        <f t="shared" si="12"/>
        <v>#N/A</v>
      </c>
      <c r="T33" s="1562" t="s">
        <v>8</v>
      </c>
      <c r="U33" s="1563" t="e">
        <f t="shared" si="13"/>
        <v>#N/A</v>
      </c>
      <c r="V33" s="1562" t="s">
        <v>8</v>
      </c>
      <c r="W33" s="1563" t="e">
        <f t="shared" si="14"/>
        <v>#N/A</v>
      </c>
      <c r="X33" s="1564"/>
      <c r="Y33" s="3415"/>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5"/>
      <c r="Q34" s="1557" t="str">
        <f t="shared" si="11"/>
        <v>建筑结构</v>
      </c>
      <c r="R34" s="1558" t="s">
        <v>8</v>
      </c>
      <c r="S34" s="1559">
        <f t="shared" si="12"/>
        <v>100</v>
      </c>
      <c r="T34" s="1558" t="s">
        <v>8</v>
      </c>
      <c r="U34" s="1559">
        <f t="shared" si="13"/>
        <v>100</v>
      </c>
      <c r="V34" s="1558" t="s">
        <v>8</v>
      </c>
      <c r="W34" s="1559">
        <f t="shared" si="14"/>
        <v>100</v>
      </c>
      <c r="X34" s="1552"/>
      <c r="Y34" s="3415"/>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5"/>
      <c r="Q35" s="1557" t="str">
        <f t="shared" si="11"/>
        <v>公共部分装修</v>
      </c>
      <c r="R35" s="1558" t="s">
        <v>8</v>
      </c>
      <c r="S35" s="1559">
        <f t="shared" si="12"/>
        <v>100</v>
      </c>
      <c r="T35" s="1558" t="s">
        <v>8</v>
      </c>
      <c r="U35" s="1559">
        <f t="shared" si="13"/>
        <v>100</v>
      </c>
      <c r="V35" s="1558" t="s">
        <v>8</v>
      </c>
      <c r="W35" s="1559">
        <f t="shared" si="14"/>
        <v>100</v>
      </c>
      <c r="X35" s="1552"/>
      <c r="Y35" s="3415"/>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5"/>
      <c r="Q36" s="1557" t="str">
        <f t="shared" si="11"/>
        <v>成新度</v>
      </c>
      <c r="R36" s="1558" t="s">
        <v>8</v>
      </c>
      <c r="S36" s="1559" t="e">
        <f t="shared" si="12"/>
        <v>#N/A</v>
      </c>
      <c r="T36" s="1558" t="s">
        <v>8</v>
      </c>
      <c r="U36" s="1559" t="e">
        <f t="shared" si="13"/>
        <v>#N/A</v>
      </c>
      <c r="V36" s="1558" t="s">
        <v>8</v>
      </c>
      <c r="W36" s="1559" t="e">
        <f t="shared" si="14"/>
        <v>#N/A</v>
      </c>
      <c r="X36" s="1552"/>
      <c r="Y36" s="3415"/>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5"/>
      <c r="Q37" s="1147" t="str">
        <f t="shared" si="11"/>
        <v>市政基础设施</v>
      </c>
      <c r="R37" s="1553" t="s">
        <v>8</v>
      </c>
      <c r="S37" s="1554">
        <f t="shared" si="12"/>
        <v>100</v>
      </c>
      <c r="T37" s="1553" t="s">
        <v>8</v>
      </c>
      <c r="U37" s="1554">
        <f t="shared" si="13"/>
        <v>100</v>
      </c>
      <c r="V37" s="1553" t="s">
        <v>8</v>
      </c>
      <c r="W37" s="1554">
        <f t="shared" si="14"/>
        <v>100</v>
      </c>
      <c r="X37" s="1555"/>
      <c r="Y37" s="3415"/>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5" t="s">
        <v>766</v>
      </c>
      <c r="Q38" s="1557" t="str">
        <f t="shared" si="11"/>
        <v>业态</v>
      </c>
      <c r="R38" s="1558" t="s">
        <v>8</v>
      </c>
      <c r="S38" s="1559">
        <f t="shared" si="12"/>
        <v>100</v>
      </c>
      <c r="T38" s="1558" t="s">
        <v>8</v>
      </c>
      <c r="U38" s="1559">
        <f t="shared" si="13"/>
        <v>100</v>
      </c>
      <c r="V38" s="1558" t="s">
        <v>8</v>
      </c>
      <c r="W38" s="1559">
        <f t="shared" si="14"/>
        <v>100</v>
      </c>
      <c r="X38" s="1552"/>
      <c r="Y38" s="3415"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5"/>
      <c r="Q39" s="1557" t="str">
        <f t="shared" si="11"/>
        <v>层高</v>
      </c>
      <c r="R39" s="1558" t="s">
        <v>8</v>
      </c>
      <c r="S39" s="1559">
        <f t="shared" si="12"/>
        <v>100</v>
      </c>
      <c r="T39" s="1558" t="s">
        <v>8</v>
      </c>
      <c r="U39" s="1559">
        <f t="shared" si="13"/>
        <v>100</v>
      </c>
      <c r="V39" s="1558" t="s">
        <v>8</v>
      </c>
      <c r="W39" s="1559">
        <f t="shared" si="14"/>
        <v>100</v>
      </c>
      <c r="X39" s="1552"/>
      <c r="Y39" s="3415"/>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5"/>
      <c r="Q40" s="1557" t="str">
        <f t="shared" si="11"/>
        <v>单套建筑面积</v>
      </c>
      <c r="R40" s="1558" t="s">
        <v>8</v>
      </c>
      <c r="S40" s="1559">
        <f t="shared" si="12"/>
        <v>100</v>
      </c>
      <c r="T40" s="1558" t="s">
        <v>8</v>
      </c>
      <c r="U40" s="1559">
        <f t="shared" si="13"/>
        <v>100</v>
      </c>
      <c r="V40" s="1558" t="s">
        <v>8</v>
      </c>
      <c r="W40" s="1559">
        <f t="shared" si="14"/>
        <v>100</v>
      </c>
      <c r="X40" s="1552"/>
      <c r="Y40" s="3415"/>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5"/>
      <c r="Q41" s="1589" t="str">
        <f t="shared" si="11"/>
        <v>进深比</v>
      </c>
      <c r="R41" s="1562" t="s">
        <v>8</v>
      </c>
      <c r="S41" s="1563">
        <f t="shared" si="12"/>
        <v>100</v>
      </c>
      <c r="T41" s="1562" t="s">
        <v>8</v>
      </c>
      <c r="U41" s="1563">
        <f t="shared" si="13"/>
        <v>100</v>
      </c>
      <c r="V41" s="1562" t="s">
        <v>8</v>
      </c>
      <c r="W41" s="1563">
        <f t="shared" si="14"/>
        <v>100</v>
      </c>
      <c r="X41" s="1564"/>
      <c r="Y41" s="3415"/>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5"/>
      <c r="Q42" s="1557" t="str">
        <f t="shared" si="11"/>
        <v>内部装修</v>
      </c>
      <c r="R42" s="1558" t="s">
        <v>8</v>
      </c>
      <c r="S42" s="1559">
        <f t="shared" si="12"/>
        <v>100</v>
      </c>
      <c r="T42" s="1558" t="s">
        <v>8</v>
      </c>
      <c r="U42" s="1559">
        <f t="shared" si="13"/>
        <v>100</v>
      </c>
      <c r="V42" s="1558" t="s">
        <v>8</v>
      </c>
      <c r="W42" s="1559">
        <f t="shared" si="14"/>
        <v>100</v>
      </c>
      <c r="X42" s="1552"/>
      <c r="Y42" s="3415"/>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5"/>
      <c r="Q43" s="1557" t="str">
        <f t="shared" si="11"/>
        <v>内部装修维护情况</v>
      </c>
      <c r="R43" s="1558" t="s">
        <v>8</v>
      </c>
      <c r="S43" s="1559">
        <f t="shared" si="12"/>
        <v>100</v>
      </c>
      <c r="T43" s="1558" t="s">
        <v>8</v>
      </c>
      <c r="U43" s="1559">
        <f t="shared" si="13"/>
        <v>100</v>
      </c>
      <c r="V43" s="1558" t="s">
        <v>8</v>
      </c>
      <c r="W43" s="1559">
        <f t="shared" si="14"/>
        <v>100</v>
      </c>
      <c r="X43" s="1552"/>
      <c r="Y43" s="3415"/>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5"/>
      <c r="Q44" s="1147">
        <f t="shared" si="11"/>
        <v>111</v>
      </c>
      <c r="R44" s="1553" t="s">
        <v>8</v>
      </c>
      <c r="S44" s="1554">
        <f t="shared" si="12"/>
        <v>100</v>
      </c>
      <c r="T44" s="1553" t="s">
        <v>8</v>
      </c>
      <c r="U44" s="1554">
        <f t="shared" si="13"/>
        <v>100</v>
      </c>
      <c r="V44" s="1553" t="s">
        <v>8</v>
      </c>
      <c r="W44" s="1554">
        <f t="shared" si="14"/>
        <v>100</v>
      </c>
      <c r="X44" s="1555"/>
      <c r="Y44" s="3415"/>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5"/>
      <c r="Q45" s="1557">
        <f t="shared" si="11"/>
        <v>111</v>
      </c>
      <c r="R45" s="1558" t="s">
        <v>8</v>
      </c>
      <c r="S45" s="1559">
        <f t="shared" si="12"/>
        <v>100</v>
      </c>
      <c r="T45" s="1558" t="s">
        <v>8</v>
      </c>
      <c r="U45" s="1559">
        <f t="shared" si="13"/>
        <v>100</v>
      </c>
      <c r="V45" s="1558" t="s">
        <v>8</v>
      </c>
      <c r="W45" s="1559">
        <f t="shared" si="14"/>
        <v>100</v>
      </c>
      <c r="X45" s="1552"/>
      <c r="Y45" s="3415"/>
      <c r="Z45" s="1560">
        <f t="shared" si="15"/>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73"/>
      <c r="Q46" s="1557">
        <f t="shared" si="11"/>
        <v>111</v>
      </c>
      <c r="R46" s="1558" t="s">
        <v>8</v>
      </c>
      <c r="S46" s="1559">
        <f t="shared" si="12"/>
        <v>100</v>
      </c>
      <c r="T46" s="1558" t="s">
        <v>8</v>
      </c>
      <c r="U46" s="1559">
        <f t="shared" si="13"/>
        <v>100</v>
      </c>
      <c r="V46" s="1558" t="s">
        <v>8</v>
      </c>
      <c r="W46" s="1559">
        <f t="shared" si="14"/>
        <v>100</v>
      </c>
      <c r="X46" s="1552"/>
      <c r="Y46" s="3473"/>
      <c r="Z46" s="1560">
        <f t="shared" si="15"/>
        <v>111</v>
      </c>
      <c r="AA46" s="1561">
        <f t="shared" si="3"/>
        <v>1</v>
      </c>
      <c r="AB46" s="1561">
        <f t="shared" si="4"/>
        <v>1</v>
      </c>
      <c r="AC46" s="1561">
        <f t="shared" si="5"/>
        <v>1</v>
      </c>
    </row>
    <row r="47" spans="1:29" ht="14.4">
      <c r="A47" s="607" t="s">
        <v>736</v>
      </c>
      <c r="B47" s="887"/>
      <c r="C47" s="2590" t="s">
        <v>1</v>
      </c>
      <c r="D47" s="2591"/>
      <c r="E47" s="2592"/>
      <c r="F47" s="2593"/>
      <c r="G47" s="2594"/>
      <c r="H47" s="2595"/>
      <c r="I47" s="2592"/>
      <c r="J47" s="2595"/>
      <c r="K47" s="1595"/>
      <c r="L47" s="2128"/>
      <c r="M47" s="2129"/>
      <c r="N47" s="2118"/>
      <c r="O47" s="2129"/>
      <c r="P47" s="3377" t="str">
        <f>A47</f>
        <v>成交单价（元/平方米）</v>
      </c>
      <c r="Q47" s="3377"/>
      <c r="R47" s="3472">
        <f>E47</f>
        <v>0</v>
      </c>
      <c r="S47" s="3472"/>
      <c r="T47" s="3472">
        <f>G47</f>
        <v>0</v>
      </c>
      <c r="U47" s="3472"/>
      <c r="V47" s="3472">
        <f>I47</f>
        <v>0</v>
      </c>
      <c r="W47" s="3472"/>
      <c r="X47" s="1544"/>
      <c r="Y47" s="1566"/>
      <c r="Z47" s="1544"/>
      <c r="AA47" s="1544"/>
      <c r="AB47" s="1544"/>
      <c r="AC47" s="1544"/>
    </row>
    <row r="48" spans="1:29" ht="15" thickBot="1">
      <c r="A48" s="615" t="s">
        <v>2757</v>
      </c>
      <c r="B48" s="888"/>
      <c r="C48" s="2596" t="e">
        <f>R49</f>
        <v>#DIV/0!</v>
      </c>
      <c r="D48" s="2597"/>
      <c r="E48" s="2598" t="e">
        <f>R48</f>
        <v>#DIV/0!</v>
      </c>
      <c r="F48" s="2598"/>
      <c r="G48" s="2596" t="e">
        <f>T48</f>
        <v>#DIV/0!</v>
      </c>
      <c r="H48" s="2597"/>
      <c r="I48" s="2598" t="e">
        <f>V48</f>
        <v>#DIV/0!</v>
      </c>
      <c r="J48" s="2597"/>
      <c r="K48" s="1596"/>
      <c r="L48" s="2128"/>
      <c r="M48" s="2129"/>
      <c r="N48" s="2118"/>
      <c r="O48" s="2129"/>
      <c r="P48" s="3377" t="str">
        <f>A48</f>
        <v>比较价格（元/平方米）</v>
      </c>
      <c r="Q48" s="337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4"/>
      <c r="Y48" s="1544"/>
      <c r="Z48" s="1544"/>
      <c r="AA48" s="1544"/>
      <c r="AB48" s="1544"/>
      <c r="AC48" s="1544"/>
    </row>
    <row r="49" spans="1:29" ht="15" thickBot="1">
      <c r="A49" s="621" t="s">
        <v>2924</v>
      </c>
      <c r="B49" s="622"/>
      <c r="C49" s="2599" t="e">
        <f>R49</f>
        <v>#DIV/0!</v>
      </c>
      <c r="D49" s="2599"/>
      <c r="E49" s="2599"/>
      <c r="F49" s="2599"/>
      <c r="G49" s="2599"/>
      <c r="H49" s="2599"/>
      <c r="I49" s="2599"/>
      <c r="J49" s="2599"/>
      <c r="K49" s="1597"/>
      <c r="L49" s="2128"/>
      <c r="M49" s="2129"/>
      <c r="N49" s="2118"/>
      <c r="O49" s="2129"/>
      <c r="P49" s="3374" t="str">
        <f>A49</f>
        <v>估价对象XX用房的比较价格（楼面单价，元/平方米）</v>
      </c>
      <c r="Q49" s="3375"/>
      <c r="R49" s="3471" t="e">
        <f>IF(F1="售价",ROUND(AVERAGE(R48:V48),0),ROUND(AVERAGE(R48:V48),1))</f>
        <v>#DIV/0!</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83" t="s">
        <v>522</v>
      </c>
      <c r="D4" s="3384"/>
      <c r="E4" s="3418" t="s">
        <v>523</v>
      </c>
      <c r="F4" s="3419"/>
      <c r="G4" s="3383" t="s">
        <v>524</v>
      </c>
      <c r="H4" s="3384"/>
      <c r="I4" s="3383" t="s">
        <v>525</v>
      </c>
      <c r="J4" s="3384"/>
      <c r="K4" s="514" t="s">
        <v>526</v>
      </c>
      <c r="L4" s="2117"/>
      <c r="M4" s="2118"/>
      <c r="N4" s="2118"/>
      <c r="O4" s="2118"/>
      <c r="P4" s="3499" t="s">
        <v>527</v>
      </c>
      <c r="Q4" s="3386"/>
      <c r="R4" s="3391" t="s">
        <v>523</v>
      </c>
      <c r="S4" s="3392"/>
      <c r="T4" s="3391" t="s">
        <v>524</v>
      </c>
      <c r="U4" s="3392"/>
      <c r="V4" s="3378" t="s">
        <v>525</v>
      </c>
      <c r="W4" s="3378"/>
      <c r="X4" s="1552"/>
      <c r="Y4" s="3391" t="s">
        <v>527</v>
      </c>
      <c r="Z4" s="3392"/>
      <c r="AA4" s="3380" t="s">
        <v>523</v>
      </c>
      <c r="AB4" s="3380" t="s">
        <v>524</v>
      </c>
      <c r="AC4" s="3380" t="s">
        <v>525</v>
      </c>
    </row>
    <row r="5" spans="1:29">
      <c r="A5" s="515"/>
      <c r="B5" s="516"/>
      <c r="C5" s="3401" t="s">
        <v>2918</v>
      </c>
      <c r="D5" s="3400"/>
      <c r="E5" s="3420" t="s">
        <v>2919</v>
      </c>
      <c r="F5" s="3421"/>
      <c r="G5" s="3401" t="s">
        <v>2920</v>
      </c>
      <c r="H5" s="3400"/>
      <c r="I5" s="3401" t="s">
        <v>2921</v>
      </c>
      <c r="J5" s="3400"/>
      <c r="K5" s="514"/>
      <c r="L5" s="2117"/>
      <c r="M5" s="2118"/>
      <c r="N5" s="2118"/>
      <c r="O5" s="2118"/>
      <c r="P5" s="3500"/>
      <c r="Q5" s="3388"/>
      <c r="R5" s="3393"/>
      <c r="S5" s="3394"/>
      <c r="T5" s="3393"/>
      <c r="U5" s="3394"/>
      <c r="V5" s="3378"/>
      <c r="W5" s="3378"/>
      <c r="X5" s="1552"/>
      <c r="Y5" s="3393"/>
      <c r="Z5" s="3394"/>
      <c r="AA5" s="3381"/>
      <c r="AB5" s="3381"/>
      <c r="AC5" s="3381"/>
    </row>
    <row r="6" spans="1:29" ht="15" thickBot="1">
      <c r="A6" s="517"/>
      <c r="B6" s="518"/>
      <c r="C6" s="3397" t="s">
        <v>2922</v>
      </c>
      <c r="D6" s="3398"/>
      <c r="E6" s="3416" t="s">
        <v>2922</v>
      </c>
      <c r="F6" s="3417"/>
      <c r="G6" s="3397" t="s">
        <v>2922</v>
      </c>
      <c r="H6" s="3398"/>
      <c r="I6" s="3397" t="s">
        <v>2922</v>
      </c>
      <c r="J6" s="3398"/>
      <c r="K6" s="514" t="s">
        <v>528</v>
      </c>
      <c r="L6" s="2117"/>
      <c r="M6" s="2118"/>
      <c r="N6" s="2118"/>
      <c r="O6" s="2118"/>
      <c r="P6" s="3501"/>
      <c r="Q6" s="3390"/>
      <c r="R6" s="3393"/>
      <c r="S6" s="3394"/>
      <c r="T6" s="3395"/>
      <c r="U6" s="3396"/>
      <c r="V6" s="3378"/>
      <c r="W6" s="3378"/>
      <c r="X6" s="1552"/>
      <c r="Y6" s="3395"/>
      <c r="Z6" s="3396"/>
      <c r="AA6" s="3382"/>
      <c r="AB6" s="3382"/>
      <c r="AC6" s="3382"/>
    </row>
    <row r="7" spans="1:29" s="1216" customFormat="1" ht="15" thickBot="1">
      <c r="A7" s="2866"/>
      <c r="B7" s="2873" t="s">
        <v>529</v>
      </c>
      <c r="C7" s="519">
        <f>'数据-取费表'!B2</f>
        <v>43969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1"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1" t="s">
        <v>533</v>
      </c>
      <c r="Q8" s="3410"/>
      <c r="R8" s="1553" t="s">
        <v>8</v>
      </c>
      <c r="S8" s="1554">
        <f t="shared" si="0"/>
        <v>0</v>
      </c>
      <c r="T8" s="1553" t="s">
        <v>8</v>
      </c>
      <c r="U8" s="1554">
        <f t="shared" si="1"/>
        <v>0</v>
      </c>
      <c r="V8" s="1553" t="s">
        <v>8</v>
      </c>
      <c r="W8" s="1554">
        <f t="shared" si="2"/>
        <v>0</v>
      </c>
      <c r="X8" s="1555"/>
      <c r="Y8" s="3409" t="s">
        <v>533</v>
      </c>
      <c r="Z8" s="3410"/>
      <c r="AA8" s="1556" t="e">
        <f t="shared" ref="AA8:AA47" si="3">D8/F8</f>
        <v>#DIV/0!</v>
      </c>
      <c r="AB8" s="1556" t="e">
        <f t="shared" ref="AB8:AB47" si="4">D8/H8</f>
        <v>#DIV/0!</v>
      </c>
      <c r="AC8" s="1556" t="e">
        <f t="shared" ref="AC8:AC47" si="5">D8/J8</f>
        <v>#DIV/0!</v>
      </c>
    </row>
    <row r="9" spans="1:29" s="1216"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7" t="s">
        <v>535</v>
      </c>
      <c r="Q9" s="1147" t="str">
        <f t="shared" ref="Q9:Q15" si="6">B9</f>
        <v>用途</v>
      </c>
      <c r="R9" s="1553" t="s">
        <v>8</v>
      </c>
      <c r="S9" s="1554">
        <f t="shared" si="0"/>
        <v>100</v>
      </c>
      <c r="T9" s="1553" t="s">
        <v>8</v>
      </c>
      <c r="U9" s="1554">
        <f t="shared" si="1"/>
        <v>100</v>
      </c>
      <c r="V9" s="1553" t="s">
        <v>8</v>
      </c>
      <c r="W9" s="1554">
        <f t="shared" si="2"/>
        <v>100</v>
      </c>
      <c r="X9" s="1555"/>
      <c r="Y9" s="3323" t="s">
        <v>536</v>
      </c>
      <c r="Z9" s="1146" t="str">
        <f t="shared" ref="Z9:Z15" si="7">Q9</f>
        <v>用途</v>
      </c>
      <c r="AA9" s="1556">
        <f t="shared" si="3"/>
        <v>1</v>
      </c>
      <c r="AB9" s="1556">
        <f t="shared" si="4"/>
        <v>1</v>
      </c>
      <c r="AC9" s="1556">
        <f t="shared" si="5"/>
        <v>1</v>
      </c>
    </row>
    <row r="10" spans="1:29" s="1334"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7"/>
      <c r="Q10" s="1147" t="str">
        <f t="shared" si="6"/>
        <v>土地使用年限（年）</v>
      </c>
      <c r="R10" s="1553" t="s">
        <v>8</v>
      </c>
      <c r="S10" s="1554">
        <f t="shared" si="0"/>
        <v>100</v>
      </c>
      <c r="T10" s="1553" t="s">
        <v>8</v>
      </c>
      <c r="U10" s="1554">
        <f t="shared" si="1"/>
        <v>100</v>
      </c>
      <c r="V10" s="1553" t="s">
        <v>8</v>
      </c>
      <c r="W10" s="1554">
        <f t="shared" si="2"/>
        <v>100</v>
      </c>
      <c r="X10" s="1555"/>
      <c r="Y10" s="332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7"/>
      <c r="Q11" s="1147" t="str">
        <f t="shared" si="6"/>
        <v>容积率</v>
      </c>
      <c r="R11" s="1553" t="s">
        <v>8</v>
      </c>
      <c r="S11" s="1554" t="e">
        <f t="shared" si="0"/>
        <v>#N/A</v>
      </c>
      <c r="T11" s="1553" t="s">
        <v>8</v>
      </c>
      <c r="U11" s="1554" t="e">
        <f t="shared" si="1"/>
        <v>#N/A</v>
      </c>
      <c r="V11" s="1553" t="s">
        <v>8</v>
      </c>
      <c r="W11" s="1554" t="e">
        <f t="shared" si="2"/>
        <v>#N/A</v>
      </c>
      <c r="X11" s="1555"/>
      <c r="Y11" s="332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7"/>
      <c r="Q12" s="1147">
        <f t="shared" si="6"/>
        <v>111</v>
      </c>
      <c r="R12" s="1553" t="s">
        <v>8</v>
      </c>
      <c r="S12" s="1554">
        <f t="shared" si="0"/>
        <v>100</v>
      </c>
      <c r="T12" s="1553" t="s">
        <v>8</v>
      </c>
      <c r="U12" s="1554">
        <f t="shared" si="1"/>
        <v>100</v>
      </c>
      <c r="V12" s="1553" t="s">
        <v>8</v>
      </c>
      <c r="W12" s="1554">
        <f t="shared" si="2"/>
        <v>100</v>
      </c>
      <c r="X12" s="1555"/>
      <c r="Y12" s="3323"/>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7"/>
      <c r="Q13" s="1147">
        <f t="shared" si="6"/>
        <v>111</v>
      </c>
      <c r="R13" s="1553" t="s">
        <v>8</v>
      </c>
      <c r="S13" s="1554">
        <f t="shared" si="0"/>
        <v>100</v>
      </c>
      <c r="T13" s="1553" t="s">
        <v>8</v>
      </c>
      <c r="U13" s="1554">
        <f t="shared" si="1"/>
        <v>100</v>
      </c>
      <c r="V13" s="1553" t="s">
        <v>8</v>
      </c>
      <c r="W13" s="1554">
        <f t="shared" si="2"/>
        <v>100</v>
      </c>
      <c r="X13" s="1555"/>
      <c r="Y13" s="3323"/>
      <c r="Z13" s="1146">
        <f t="shared" si="7"/>
        <v>111</v>
      </c>
      <c r="AA13" s="1556">
        <f t="shared" si="3"/>
        <v>1</v>
      </c>
      <c r="AB13" s="1556">
        <f t="shared" si="4"/>
        <v>1</v>
      </c>
      <c r="AC13" s="1556">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7"/>
      <c r="Q14" s="1147">
        <f t="shared" si="6"/>
        <v>111</v>
      </c>
      <c r="R14" s="1553" t="s">
        <v>8</v>
      </c>
      <c r="S14" s="1554">
        <f t="shared" si="0"/>
        <v>100</v>
      </c>
      <c r="T14" s="1553" t="s">
        <v>8</v>
      </c>
      <c r="U14" s="1554">
        <f t="shared" si="1"/>
        <v>100</v>
      </c>
      <c r="V14" s="1553" t="s">
        <v>8</v>
      </c>
      <c r="W14" s="1554">
        <f t="shared" si="2"/>
        <v>100</v>
      </c>
      <c r="X14" s="1555"/>
      <c r="Y14" s="3323"/>
      <c r="Z14" s="1146">
        <f t="shared" si="7"/>
        <v>111</v>
      </c>
      <c r="AA14" s="1556">
        <f t="shared" si="3"/>
        <v>1</v>
      </c>
      <c r="AB14" s="1556">
        <f t="shared" si="4"/>
        <v>1</v>
      </c>
      <c r="AC14" s="1556">
        <f t="shared" si="5"/>
        <v>1</v>
      </c>
    </row>
    <row r="15" spans="1:29" ht="15">
      <c r="A15" s="2864"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2" t="s">
        <v>540</v>
      </c>
      <c r="Q15" s="1557" t="str">
        <f t="shared" si="6"/>
        <v>办公集聚程度</v>
      </c>
      <c r="R15" s="1558" t="s">
        <v>8</v>
      </c>
      <c r="S15" s="1559">
        <f t="shared" si="0"/>
        <v>100</v>
      </c>
      <c r="T15" s="1558" t="s">
        <v>8</v>
      </c>
      <c r="U15" s="1559">
        <f t="shared" si="1"/>
        <v>100</v>
      </c>
      <c r="V15" s="1558" t="s">
        <v>8</v>
      </c>
      <c r="W15" s="1559">
        <f t="shared" si="2"/>
        <v>100</v>
      </c>
      <c r="X15" s="1552"/>
      <c r="Y15" s="3412"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3"/>
      <c r="Q16" s="1557"/>
      <c r="R16" s="1558"/>
      <c r="S16" s="1559"/>
      <c r="T16" s="1558"/>
      <c r="U16" s="1559"/>
      <c r="V16" s="1558"/>
      <c r="W16" s="1559"/>
      <c r="X16" s="1552"/>
      <c r="Y16" s="3413"/>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3"/>
      <c r="Q18" s="1557"/>
      <c r="R18" s="1558"/>
      <c r="S18" s="1559"/>
      <c r="T18" s="1558"/>
      <c r="U18" s="1559"/>
      <c r="V18" s="1558"/>
      <c r="W18" s="1559"/>
      <c r="X18" s="1552"/>
      <c r="Y18" s="3413"/>
      <c r="Z18" s="1560"/>
      <c r="AA18" s="1561">
        <v>1</v>
      </c>
      <c r="AB18" s="1561">
        <v>1</v>
      </c>
      <c r="AC18" s="1561">
        <v>1</v>
      </c>
    </row>
    <row r="19" spans="1:29" ht="15">
      <c r="A19" s="532"/>
      <c r="B19" s="2566"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3"/>
      <c r="Q20" s="1557"/>
      <c r="R20" s="1558"/>
      <c r="S20" s="1559"/>
      <c r="T20" s="1558"/>
      <c r="U20" s="1559"/>
      <c r="V20" s="1558"/>
      <c r="W20" s="1559"/>
      <c r="X20" s="1552"/>
      <c r="Y20" s="3413"/>
      <c r="Z20" s="1560"/>
      <c r="AA20" s="1561">
        <v>1</v>
      </c>
      <c r="AB20" s="1561">
        <v>1</v>
      </c>
      <c r="AC20" s="1561">
        <v>1</v>
      </c>
    </row>
    <row r="21" spans="1:29" ht="15">
      <c r="A21" s="532"/>
      <c r="B21" s="2554"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3"/>
      <c r="Q22" s="2542"/>
      <c r="R22" s="1558"/>
      <c r="S22" s="1559"/>
      <c r="T22" s="1558"/>
      <c r="U22" s="1559"/>
      <c r="V22" s="1558"/>
      <c r="W22" s="1559"/>
      <c r="X22" s="2544"/>
      <c r="Y22" s="3413"/>
      <c r="Z22" s="2543"/>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3"/>
      <c r="Q24" s="1557"/>
      <c r="R24" s="1558"/>
      <c r="S24" s="1559"/>
      <c r="T24" s="1558"/>
      <c r="U24" s="1559"/>
      <c r="V24" s="1558"/>
      <c r="W24" s="1559"/>
      <c r="X24" s="1552"/>
      <c r="Y24" s="3413"/>
      <c r="Z24" s="1560"/>
      <c r="AA24" s="1561">
        <v>1</v>
      </c>
      <c r="AB24" s="1561">
        <v>1</v>
      </c>
      <c r="AC24" s="1561">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3"/>
      <c r="Q25" s="1557" t="str">
        <f>B25</f>
        <v>毗邻道路的类型与等级</v>
      </c>
      <c r="R25" s="1558" t="s">
        <v>8</v>
      </c>
      <c r="S25" s="1559">
        <f>F25</f>
        <v>100</v>
      </c>
      <c r="T25" s="1558" t="s">
        <v>8</v>
      </c>
      <c r="U25" s="1559">
        <f>H25</f>
        <v>100</v>
      </c>
      <c r="V25" s="1558" t="s">
        <v>8</v>
      </c>
      <c r="W25" s="1559">
        <f>J25</f>
        <v>100</v>
      </c>
      <c r="X25" s="1552"/>
      <c r="Y25" s="3413"/>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3"/>
      <c r="Q26" s="1557"/>
      <c r="R26" s="1558"/>
      <c r="S26" s="1559"/>
      <c r="T26" s="1558"/>
      <c r="U26" s="1559"/>
      <c r="V26" s="1558"/>
      <c r="W26" s="1559"/>
      <c r="X26" s="1552"/>
      <c r="Y26" s="3413"/>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3"/>
      <c r="Q27" s="1557" t="str">
        <f t="shared" ref="Q27:Q47" si="11">B27</f>
        <v>楼层</v>
      </c>
      <c r="R27" s="1558" t="s">
        <v>8</v>
      </c>
      <c r="S27" s="1559">
        <f>F27</f>
        <v>100</v>
      </c>
      <c r="T27" s="1558" t="s">
        <v>8</v>
      </c>
      <c r="U27" s="1559">
        <f>H27</f>
        <v>100</v>
      </c>
      <c r="V27" s="1558" t="s">
        <v>8</v>
      </c>
      <c r="W27" s="1559">
        <f>J27</f>
        <v>100</v>
      </c>
      <c r="X27" s="1552"/>
      <c r="Y27" s="3413"/>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3"/>
      <c r="Q28" s="1147" t="str">
        <f t="shared" si="11"/>
        <v>朝向</v>
      </c>
      <c r="R28" s="1553" t="s">
        <v>8</v>
      </c>
      <c r="S28" s="1554">
        <f>F28</f>
        <v>100</v>
      </c>
      <c r="T28" s="1553" t="s">
        <v>8</v>
      </c>
      <c r="U28" s="1554">
        <f>H28</f>
        <v>100</v>
      </c>
      <c r="V28" s="1553" t="s">
        <v>8</v>
      </c>
      <c r="W28" s="1554">
        <f>J28</f>
        <v>100</v>
      </c>
      <c r="X28" s="1555"/>
      <c r="Y28" s="3413"/>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3"/>
      <c r="Q29" s="1557">
        <f t="shared" si="11"/>
        <v>111</v>
      </c>
      <c r="R29" s="1558" t="s">
        <v>8</v>
      </c>
      <c r="S29" s="1559">
        <f t="shared" ref="S29:S47" si="12">F29</f>
        <v>100</v>
      </c>
      <c r="T29" s="1558" t="s">
        <v>8</v>
      </c>
      <c r="U29" s="1559">
        <f t="shared" ref="U29:U47" si="13">H29</f>
        <v>100</v>
      </c>
      <c r="V29" s="1558" t="s">
        <v>8</v>
      </c>
      <c r="W29" s="1559">
        <f t="shared" ref="W29:W47" si="14">J29</f>
        <v>100</v>
      </c>
      <c r="X29" s="1552"/>
      <c r="Y29" s="3413"/>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3"/>
      <c r="Q30" s="1557">
        <f t="shared" si="11"/>
        <v>111</v>
      </c>
      <c r="R30" s="1558" t="s">
        <v>8</v>
      </c>
      <c r="S30" s="1559">
        <f t="shared" si="12"/>
        <v>100</v>
      </c>
      <c r="T30" s="1558" t="s">
        <v>8</v>
      </c>
      <c r="U30" s="1559">
        <f t="shared" si="13"/>
        <v>100</v>
      </c>
      <c r="V30" s="1558" t="s">
        <v>8</v>
      </c>
      <c r="W30" s="1559">
        <f t="shared" si="14"/>
        <v>100</v>
      </c>
      <c r="X30" s="1552"/>
      <c r="Y30" s="3413"/>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3"/>
      <c r="Q31" s="1557">
        <f t="shared" si="11"/>
        <v>111</v>
      </c>
      <c r="R31" s="1558" t="s">
        <v>8</v>
      </c>
      <c r="S31" s="1559">
        <f t="shared" si="12"/>
        <v>100</v>
      </c>
      <c r="T31" s="1558" t="s">
        <v>8</v>
      </c>
      <c r="U31" s="1559">
        <f t="shared" si="13"/>
        <v>100</v>
      </c>
      <c r="V31" s="1558" t="s">
        <v>8</v>
      </c>
      <c r="W31" s="1559">
        <f t="shared" si="14"/>
        <v>100</v>
      </c>
      <c r="X31" s="1552"/>
      <c r="Y31" s="3413"/>
      <c r="Z31" s="1560">
        <f t="shared" si="15"/>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3"/>
      <c r="Q32" s="1557">
        <f t="shared" si="11"/>
        <v>111</v>
      </c>
      <c r="R32" s="1558" t="s">
        <v>8</v>
      </c>
      <c r="S32" s="1559">
        <f t="shared" si="12"/>
        <v>100</v>
      </c>
      <c r="T32" s="1558" t="s">
        <v>8</v>
      </c>
      <c r="U32" s="1559">
        <f t="shared" si="13"/>
        <v>100</v>
      </c>
      <c r="V32" s="1558" t="s">
        <v>8</v>
      </c>
      <c r="W32" s="1559">
        <f t="shared" si="14"/>
        <v>100</v>
      </c>
      <c r="X32" s="1552"/>
      <c r="Y32" s="3413"/>
      <c r="Z32" s="1560">
        <f t="shared" si="15"/>
        <v>111</v>
      </c>
      <c r="AA32" s="1561">
        <f t="shared" si="3"/>
        <v>1</v>
      </c>
      <c r="AB32" s="1561">
        <f t="shared" si="4"/>
        <v>1</v>
      </c>
      <c r="AC32" s="1561">
        <f t="shared" si="5"/>
        <v>1</v>
      </c>
    </row>
    <row r="33" spans="1:29" ht="15">
      <c r="A33" s="2861"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4" t="s">
        <v>550</v>
      </c>
      <c r="Q33" s="1557" t="str">
        <f t="shared" si="11"/>
        <v>建筑类型</v>
      </c>
      <c r="R33" s="1558" t="s">
        <v>8</v>
      </c>
      <c r="S33" s="1559">
        <f t="shared" si="12"/>
        <v>100</v>
      </c>
      <c r="T33" s="1558" t="s">
        <v>8</v>
      </c>
      <c r="U33" s="1559">
        <f t="shared" si="13"/>
        <v>100</v>
      </c>
      <c r="V33" s="1558" t="s">
        <v>8</v>
      </c>
      <c r="W33" s="1559">
        <f t="shared" si="14"/>
        <v>100</v>
      </c>
      <c r="X33" s="1552"/>
      <c r="Y33" s="3415"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5"/>
      <c r="Q34" s="1589" t="str">
        <f t="shared" si="11"/>
        <v>项目建筑规模</v>
      </c>
      <c r="R34" s="1562" t="s">
        <v>8</v>
      </c>
      <c r="S34" s="1563" t="e">
        <f t="shared" si="12"/>
        <v>#N/A</v>
      </c>
      <c r="T34" s="1562" t="s">
        <v>8</v>
      </c>
      <c r="U34" s="1563" t="e">
        <f t="shared" si="13"/>
        <v>#N/A</v>
      </c>
      <c r="V34" s="1562" t="s">
        <v>8</v>
      </c>
      <c r="W34" s="1563" t="e">
        <f t="shared" si="14"/>
        <v>#N/A</v>
      </c>
      <c r="X34" s="1564"/>
      <c r="Y34" s="3415"/>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5"/>
      <c r="Q35" s="1557" t="str">
        <f t="shared" si="11"/>
        <v>建筑结构</v>
      </c>
      <c r="R35" s="1558" t="s">
        <v>8</v>
      </c>
      <c r="S35" s="1559">
        <f t="shared" si="12"/>
        <v>100</v>
      </c>
      <c r="T35" s="1558" t="s">
        <v>8</v>
      </c>
      <c r="U35" s="1559">
        <f t="shared" si="13"/>
        <v>100</v>
      </c>
      <c r="V35" s="1558" t="s">
        <v>8</v>
      </c>
      <c r="W35" s="1559">
        <f t="shared" si="14"/>
        <v>100</v>
      </c>
      <c r="X35" s="1552"/>
      <c r="Y35" s="3415"/>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5"/>
      <c r="Q36" s="1557" t="str">
        <f t="shared" si="11"/>
        <v>公共部分装修</v>
      </c>
      <c r="R36" s="1558" t="s">
        <v>8</v>
      </c>
      <c r="S36" s="1559">
        <f t="shared" si="12"/>
        <v>100</v>
      </c>
      <c r="T36" s="1558" t="s">
        <v>8</v>
      </c>
      <c r="U36" s="1559">
        <f t="shared" si="13"/>
        <v>100</v>
      </c>
      <c r="V36" s="1558" t="s">
        <v>8</v>
      </c>
      <c r="W36" s="1559">
        <f t="shared" si="14"/>
        <v>100</v>
      </c>
      <c r="X36" s="1552"/>
      <c r="Y36" s="3415"/>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5"/>
      <c r="Q37" s="1557" t="str">
        <f t="shared" si="11"/>
        <v>成新度</v>
      </c>
      <c r="R37" s="1558" t="s">
        <v>8</v>
      </c>
      <c r="S37" s="1559" t="e">
        <f t="shared" si="12"/>
        <v>#N/A</v>
      </c>
      <c r="T37" s="1558" t="s">
        <v>8</v>
      </c>
      <c r="U37" s="1559" t="e">
        <f t="shared" si="13"/>
        <v>#N/A</v>
      </c>
      <c r="V37" s="1558" t="s">
        <v>8</v>
      </c>
      <c r="W37" s="1559" t="e">
        <f t="shared" si="14"/>
        <v>#N/A</v>
      </c>
      <c r="X37" s="1552"/>
      <c r="Y37" s="3415"/>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5"/>
      <c r="Q38" s="1147" t="str">
        <f t="shared" si="11"/>
        <v>写字楼等级</v>
      </c>
      <c r="R38" s="1553" t="s">
        <v>8</v>
      </c>
      <c r="S38" s="1554">
        <f t="shared" si="12"/>
        <v>100</v>
      </c>
      <c r="T38" s="1553" t="s">
        <v>8</v>
      </c>
      <c r="U38" s="1554">
        <f t="shared" si="13"/>
        <v>100</v>
      </c>
      <c r="V38" s="1553" t="s">
        <v>8</v>
      </c>
      <c r="W38" s="1554">
        <f t="shared" si="14"/>
        <v>100</v>
      </c>
      <c r="X38" s="1555"/>
      <c r="Y38" s="3415"/>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5" t="s">
        <v>550</v>
      </c>
      <c r="Q39" s="1557" t="str">
        <f t="shared" si="11"/>
        <v>物业管理</v>
      </c>
      <c r="R39" s="1558" t="s">
        <v>8</v>
      </c>
      <c r="S39" s="1559">
        <f t="shared" si="12"/>
        <v>100</v>
      </c>
      <c r="T39" s="1558" t="s">
        <v>8</v>
      </c>
      <c r="U39" s="1559">
        <f t="shared" si="13"/>
        <v>100</v>
      </c>
      <c r="V39" s="1558" t="s">
        <v>8</v>
      </c>
      <c r="W39" s="1559">
        <f t="shared" si="14"/>
        <v>100</v>
      </c>
      <c r="X39" s="1552"/>
      <c r="Y39" s="3415"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5"/>
      <c r="Q40" s="1557" t="str">
        <f t="shared" si="11"/>
        <v>市政基础设施</v>
      </c>
      <c r="R40" s="1558" t="s">
        <v>8</v>
      </c>
      <c r="S40" s="1559">
        <f t="shared" si="12"/>
        <v>100</v>
      </c>
      <c r="T40" s="1558" t="s">
        <v>8</v>
      </c>
      <c r="U40" s="1559">
        <f t="shared" si="13"/>
        <v>100</v>
      </c>
      <c r="V40" s="1558" t="s">
        <v>8</v>
      </c>
      <c r="W40" s="1559">
        <f t="shared" si="14"/>
        <v>100</v>
      </c>
      <c r="X40" s="1552"/>
      <c r="Y40" s="3415"/>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5"/>
      <c r="Q41" s="1557" t="str">
        <f t="shared" si="11"/>
        <v>层高</v>
      </c>
      <c r="R41" s="1558" t="s">
        <v>8</v>
      </c>
      <c r="S41" s="1559">
        <f t="shared" si="12"/>
        <v>100</v>
      </c>
      <c r="T41" s="1558" t="s">
        <v>8</v>
      </c>
      <c r="U41" s="1559">
        <f t="shared" si="13"/>
        <v>100</v>
      </c>
      <c r="V41" s="1558" t="s">
        <v>8</v>
      </c>
      <c r="W41" s="1559">
        <f t="shared" si="14"/>
        <v>100</v>
      </c>
      <c r="X41" s="1552"/>
      <c r="Y41" s="3415"/>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5"/>
      <c r="Q42" s="1589" t="str">
        <f t="shared" si="11"/>
        <v>单套建筑面积</v>
      </c>
      <c r="R42" s="1562" t="s">
        <v>8</v>
      </c>
      <c r="S42" s="1563">
        <f t="shared" si="12"/>
        <v>100</v>
      </c>
      <c r="T42" s="1562" t="s">
        <v>8</v>
      </c>
      <c r="U42" s="1563">
        <f t="shared" si="13"/>
        <v>100</v>
      </c>
      <c r="V42" s="1562" t="s">
        <v>8</v>
      </c>
      <c r="W42" s="1563">
        <f t="shared" si="14"/>
        <v>100</v>
      </c>
      <c r="X42" s="1564"/>
      <c r="Y42" s="3415"/>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5"/>
      <c r="Q43" s="1557" t="str">
        <f t="shared" si="11"/>
        <v>内部装修</v>
      </c>
      <c r="R43" s="1558" t="s">
        <v>8</v>
      </c>
      <c r="S43" s="1559">
        <f t="shared" si="12"/>
        <v>100</v>
      </c>
      <c r="T43" s="1558" t="s">
        <v>8</v>
      </c>
      <c r="U43" s="1559">
        <f t="shared" si="13"/>
        <v>100</v>
      </c>
      <c r="V43" s="1558" t="s">
        <v>8</v>
      </c>
      <c r="W43" s="1559">
        <f t="shared" si="14"/>
        <v>100</v>
      </c>
      <c r="X43" s="1552"/>
      <c r="Y43" s="3415"/>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5"/>
      <c r="Q44" s="1557" t="str">
        <f t="shared" si="11"/>
        <v>内部装修维护情况</v>
      </c>
      <c r="R44" s="1558" t="s">
        <v>8</v>
      </c>
      <c r="S44" s="1559">
        <f t="shared" si="12"/>
        <v>100</v>
      </c>
      <c r="T44" s="1558" t="s">
        <v>8</v>
      </c>
      <c r="U44" s="1559">
        <f t="shared" si="13"/>
        <v>100</v>
      </c>
      <c r="V44" s="1558" t="s">
        <v>8</v>
      </c>
      <c r="W44" s="1559">
        <f t="shared" si="14"/>
        <v>100</v>
      </c>
      <c r="X44" s="1552"/>
      <c r="Y44" s="3415"/>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5"/>
      <c r="Q45" s="1147">
        <f t="shared" si="11"/>
        <v>111</v>
      </c>
      <c r="R45" s="1553" t="s">
        <v>8</v>
      </c>
      <c r="S45" s="1554">
        <f t="shared" si="12"/>
        <v>100</v>
      </c>
      <c r="T45" s="1553" t="s">
        <v>8</v>
      </c>
      <c r="U45" s="1554">
        <f t="shared" si="13"/>
        <v>100</v>
      </c>
      <c r="V45" s="1553" t="s">
        <v>8</v>
      </c>
      <c r="W45" s="1554">
        <f t="shared" si="14"/>
        <v>100</v>
      </c>
      <c r="X45" s="1555"/>
      <c r="Y45" s="3415"/>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5"/>
      <c r="Q46" s="1557">
        <f t="shared" si="11"/>
        <v>111</v>
      </c>
      <c r="R46" s="1558" t="s">
        <v>8</v>
      </c>
      <c r="S46" s="1559">
        <f t="shared" si="12"/>
        <v>100</v>
      </c>
      <c r="T46" s="1558" t="s">
        <v>8</v>
      </c>
      <c r="U46" s="1559">
        <f t="shared" si="13"/>
        <v>100</v>
      </c>
      <c r="V46" s="1558" t="s">
        <v>8</v>
      </c>
      <c r="W46" s="1559">
        <f t="shared" si="14"/>
        <v>100</v>
      </c>
      <c r="X46" s="1552"/>
      <c r="Y46" s="3415"/>
      <c r="Z46" s="1560">
        <f t="shared" si="15"/>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73"/>
      <c r="Q47" s="1557">
        <f t="shared" si="11"/>
        <v>111</v>
      </c>
      <c r="R47" s="1558" t="s">
        <v>8</v>
      </c>
      <c r="S47" s="1559">
        <f t="shared" si="12"/>
        <v>100</v>
      </c>
      <c r="T47" s="1558" t="s">
        <v>8</v>
      </c>
      <c r="U47" s="1559">
        <f t="shared" si="13"/>
        <v>100</v>
      </c>
      <c r="V47" s="1558" t="s">
        <v>8</v>
      </c>
      <c r="W47" s="1559">
        <f t="shared" si="14"/>
        <v>100</v>
      </c>
      <c r="X47" s="1552"/>
      <c r="Y47" s="3473"/>
      <c r="Z47" s="1560">
        <f t="shared" si="15"/>
        <v>111</v>
      </c>
      <c r="AA47" s="1561">
        <f t="shared" si="3"/>
        <v>1</v>
      </c>
      <c r="AB47" s="1561">
        <f t="shared" si="4"/>
        <v>1</v>
      </c>
      <c r="AC47" s="1561">
        <f t="shared" si="5"/>
        <v>1</v>
      </c>
    </row>
    <row r="48" spans="1:29" ht="14.4">
      <c r="A48" s="607" t="s">
        <v>736</v>
      </c>
      <c r="B48" s="887"/>
      <c r="C48" s="2590" t="s">
        <v>1</v>
      </c>
      <c r="D48" s="2591"/>
      <c r="E48" s="2592"/>
      <c r="F48" s="2593"/>
      <c r="G48" s="2594"/>
      <c r="H48" s="2595"/>
      <c r="I48" s="2592"/>
      <c r="J48" s="2595"/>
      <c r="K48" s="1595"/>
      <c r="L48" s="2128"/>
      <c r="M48" s="2118"/>
      <c r="N48" s="2118"/>
      <c r="O48" s="2118"/>
      <c r="P48" s="3375" t="str">
        <f>A48</f>
        <v>成交单价（元/平方米）</v>
      </c>
      <c r="Q48" s="3377"/>
      <c r="R48" s="3472">
        <f>E48</f>
        <v>0</v>
      </c>
      <c r="S48" s="3472"/>
      <c r="T48" s="3472">
        <f>G48</f>
        <v>0</v>
      </c>
      <c r="U48" s="3472"/>
      <c r="V48" s="3472">
        <f>I48</f>
        <v>0</v>
      </c>
      <c r="W48" s="3472"/>
      <c r="X48" s="1544"/>
      <c r="Y48" s="1566"/>
      <c r="Z48" s="1544"/>
      <c r="AA48" s="1544"/>
      <c r="AB48" s="1544"/>
      <c r="AC48" s="1544"/>
    </row>
    <row r="49" spans="1:29" ht="15" thickBot="1">
      <c r="A49" s="615" t="s">
        <v>2757</v>
      </c>
      <c r="B49" s="888"/>
      <c r="C49" s="2596" t="e">
        <f>R50</f>
        <v>#DIV/0!</v>
      </c>
      <c r="D49" s="2597"/>
      <c r="E49" s="2598" t="e">
        <f>R49</f>
        <v>#DIV/0!</v>
      </c>
      <c r="F49" s="2598"/>
      <c r="G49" s="2596" t="e">
        <f>T49</f>
        <v>#DIV/0!</v>
      </c>
      <c r="H49" s="2597"/>
      <c r="I49" s="2598" t="e">
        <f>V49</f>
        <v>#DIV/0!</v>
      </c>
      <c r="J49" s="2597"/>
      <c r="K49" s="1596"/>
      <c r="L49" s="2128"/>
      <c r="M49" s="2118"/>
      <c r="N49" s="2118"/>
      <c r="O49" s="2118"/>
      <c r="P49" s="3375" t="str">
        <f>A49</f>
        <v>比较价格（元/平方米）</v>
      </c>
      <c r="Q49" s="3377"/>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4"/>
      <c r="Y49" s="1544"/>
      <c r="Z49" s="1544"/>
      <c r="AA49" s="1544"/>
      <c r="AB49" s="1544"/>
      <c r="AC49" s="1544"/>
    </row>
    <row r="50" spans="1:29" ht="15" thickBot="1">
      <c r="A50" s="621" t="s">
        <v>2924</v>
      </c>
      <c r="B50" s="622"/>
      <c r="C50" s="2599" t="e">
        <f>R50</f>
        <v>#DIV/0!</v>
      </c>
      <c r="D50" s="2599"/>
      <c r="E50" s="2599"/>
      <c r="F50" s="2599"/>
      <c r="G50" s="2599"/>
      <c r="H50" s="2599"/>
      <c r="I50" s="2599"/>
      <c r="J50" s="2599"/>
      <c r="K50" s="1597"/>
      <c r="L50" s="2128"/>
      <c r="M50" s="2118"/>
      <c r="N50" s="2118"/>
      <c r="O50" s="2118"/>
      <c r="P50" s="3498" t="str">
        <f>A50</f>
        <v>估价对象XX用房的比较价格（楼面单价，元/平方米）</v>
      </c>
      <c r="Q50" s="3375"/>
      <c r="R50" s="3471" t="e">
        <f>IF(F1="售价",ROUND(AVERAGE(R49:V49),0),ROUND(AVERAGE(R49:V49),1))</f>
        <v>#DIV/0!</v>
      </c>
      <c r="S50" s="3471"/>
      <c r="T50" s="3471"/>
      <c r="U50" s="3471"/>
      <c r="V50" s="3471"/>
      <c r="W50" s="347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2024</v>
      </c>
    </row>
    <row r="11" spans="1:4" ht="17.399999999999999">
      <c r="A11" s="1764" t="str">
        <f>TEXT(项目基本情况!D3,"yyyy年m月d日;;")&amp;IF(项目基本情况!B3=项目基本情况!D3,"（评估专业人员勘察现场之日）","")</f>
        <v>2020年5月18日（评估专业人员勘察现场之日）</v>
      </c>
    </row>
    <row r="12" spans="1:4" ht="17.399999999999999">
      <c r="A12" s="1781" t="s">
        <v>2023</v>
      </c>
    </row>
    <row r="13" spans="1:4" ht="17.399999999999999">
      <c r="A13" s="1775" t="s">
        <v>2069</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2070</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2071</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2072</v>
      </c>
    </row>
    <row r="23" spans="1:1" ht="17.399999999999999">
      <c r="A23" s="2829" t="s">
        <v>2746</v>
      </c>
    </row>
    <row r="24" spans="1:1" ht="17.399999999999999">
      <c r="A24" s="1775" t="s">
        <v>2073</v>
      </c>
    </row>
    <row r="25" spans="1:1" ht="87">
      <c r="A25" s="1775"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2025</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83" t="s">
        <v>522</v>
      </c>
      <c r="D4" s="3384"/>
      <c r="E4" s="3418" t="s">
        <v>523</v>
      </c>
      <c r="F4" s="3419"/>
      <c r="G4" s="3383" t="s">
        <v>524</v>
      </c>
      <c r="H4" s="3384"/>
      <c r="I4" s="3383" t="s">
        <v>525</v>
      </c>
      <c r="J4" s="3384"/>
      <c r="K4" s="514" t="s">
        <v>526</v>
      </c>
      <c r="L4" s="2117"/>
      <c r="M4" s="2118"/>
      <c r="N4" s="2118"/>
      <c r="O4" s="2118"/>
      <c r="P4" s="3385" t="s">
        <v>527</v>
      </c>
      <c r="Q4" s="3386"/>
      <c r="R4" s="3391" t="s">
        <v>523</v>
      </c>
      <c r="S4" s="3392"/>
      <c r="T4" s="3391" t="s">
        <v>524</v>
      </c>
      <c r="U4" s="3392"/>
      <c r="V4" s="3378" t="s">
        <v>525</v>
      </c>
      <c r="W4" s="3378"/>
      <c r="X4" s="1552"/>
      <c r="Y4" s="3391" t="s">
        <v>527</v>
      </c>
      <c r="Z4" s="3392"/>
      <c r="AA4" s="3380" t="s">
        <v>523</v>
      </c>
      <c r="AB4" s="3381" t="s">
        <v>524</v>
      </c>
      <c r="AC4" s="3380" t="s">
        <v>525</v>
      </c>
    </row>
    <row r="5" spans="1:29">
      <c r="A5" s="515"/>
      <c r="B5" s="516"/>
      <c r="C5" s="3401" t="s">
        <v>2918</v>
      </c>
      <c r="D5" s="3400"/>
      <c r="E5" s="3420" t="s">
        <v>2919</v>
      </c>
      <c r="F5" s="3421"/>
      <c r="G5" s="3401" t="s">
        <v>2920</v>
      </c>
      <c r="H5" s="3400"/>
      <c r="I5" s="3401" t="s">
        <v>2921</v>
      </c>
      <c r="J5" s="3400"/>
      <c r="K5" s="514"/>
      <c r="L5" s="2117"/>
      <c r="M5" s="2118"/>
      <c r="N5" s="2118"/>
      <c r="O5" s="2118"/>
      <c r="P5" s="3387"/>
      <c r="Q5" s="3388"/>
      <c r="R5" s="3393"/>
      <c r="S5" s="3394"/>
      <c r="T5" s="3393"/>
      <c r="U5" s="3394"/>
      <c r="V5" s="3378"/>
      <c r="W5" s="3378"/>
      <c r="X5" s="1552"/>
      <c r="Y5" s="3393"/>
      <c r="Z5" s="3394"/>
      <c r="AA5" s="3381"/>
      <c r="AB5" s="3381"/>
      <c r="AC5" s="3381"/>
    </row>
    <row r="6" spans="1:29" ht="15" thickBot="1">
      <c r="A6" s="517"/>
      <c r="B6" s="518"/>
      <c r="C6" s="3397" t="s">
        <v>2922</v>
      </c>
      <c r="D6" s="3398"/>
      <c r="E6" s="3416" t="s">
        <v>2922</v>
      </c>
      <c r="F6" s="3417"/>
      <c r="G6" s="3397" t="s">
        <v>2922</v>
      </c>
      <c r="H6" s="3398"/>
      <c r="I6" s="3397" t="s">
        <v>2922</v>
      </c>
      <c r="J6" s="3398"/>
      <c r="K6" s="514" t="s">
        <v>528</v>
      </c>
      <c r="L6" s="2117"/>
      <c r="M6" s="2118"/>
      <c r="N6" s="2118"/>
      <c r="O6" s="2118"/>
      <c r="P6" s="3389"/>
      <c r="Q6" s="3390"/>
      <c r="R6" s="3393"/>
      <c r="S6" s="3394"/>
      <c r="T6" s="3395"/>
      <c r="U6" s="3396"/>
      <c r="V6" s="3378"/>
      <c r="W6" s="3378"/>
      <c r="X6" s="1552"/>
      <c r="Y6" s="3395"/>
      <c r="Z6" s="3396"/>
      <c r="AA6" s="3382"/>
      <c r="AB6" s="3382"/>
      <c r="AC6" s="3382"/>
    </row>
    <row r="7" spans="1:29" s="1216" customFormat="1" ht="15" thickBot="1">
      <c r="A7" s="2866"/>
      <c r="B7" s="2873" t="s">
        <v>529</v>
      </c>
      <c r="C7" s="519">
        <f>'数据-取费表'!B2</f>
        <v>43969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9" t="s">
        <v>530</v>
      </c>
      <c r="Q7" s="3411"/>
      <c r="R7" s="1553" t="s">
        <v>8</v>
      </c>
      <c r="S7" s="1554">
        <f t="shared" ref="S7:S15" si="0">F7</f>
        <v>0</v>
      </c>
      <c r="T7" s="1553" t="s">
        <v>8</v>
      </c>
      <c r="U7" s="1554">
        <f t="shared" ref="U7:U15" si="1">H7</f>
        <v>0</v>
      </c>
      <c r="V7" s="1553" t="s">
        <v>8</v>
      </c>
      <c r="W7" s="1554">
        <f t="shared" ref="W7:W15" si="2">J7</f>
        <v>0</v>
      </c>
      <c r="X7" s="1555"/>
      <c r="Y7" s="3409" t="s">
        <v>530</v>
      </c>
      <c r="Z7" s="3410"/>
      <c r="AA7" s="1556" t="e">
        <f>D7/F7</f>
        <v>#DIV/0!</v>
      </c>
      <c r="AB7" s="1556" t="e">
        <f>D7/H7</f>
        <v>#DIV/0!</v>
      </c>
      <c r="AC7" s="1556"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40" si="3">D8/F8</f>
        <v>#DIV/0!</v>
      </c>
      <c r="AB8" s="1556" t="e">
        <f t="shared" ref="AB8:AB40" si="4">D8/H8</f>
        <v>#DIV/0!</v>
      </c>
      <c r="AC8" s="1556" t="e">
        <f t="shared" ref="AC8:AC40" si="5">D8/J8</f>
        <v>#DIV/0!</v>
      </c>
    </row>
    <row r="9" spans="1:29" s="1216"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7" t="s">
        <v>535</v>
      </c>
      <c r="Q9" s="1147" t="str">
        <f t="shared" ref="Q9:Q15" si="6">B9</f>
        <v>用途</v>
      </c>
      <c r="R9" s="1553" t="s">
        <v>8</v>
      </c>
      <c r="S9" s="1554">
        <f t="shared" si="0"/>
        <v>100</v>
      </c>
      <c r="T9" s="1553" t="s">
        <v>8</v>
      </c>
      <c r="U9" s="1554">
        <f t="shared" si="1"/>
        <v>100</v>
      </c>
      <c r="V9" s="1553" t="s">
        <v>8</v>
      </c>
      <c r="W9" s="1554">
        <f t="shared" si="2"/>
        <v>100</v>
      </c>
      <c r="X9" s="1555"/>
      <c r="Y9" s="3323" t="s">
        <v>536</v>
      </c>
      <c r="Z9" s="1146" t="str">
        <f t="shared" ref="Z9:Z15" si="7">Q9</f>
        <v>用途</v>
      </c>
      <c r="AA9" s="1556">
        <f t="shared" si="3"/>
        <v>1</v>
      </c>
      <c r="AB9" s="1556">
        <f t="shared" si="4"/>
        <v>1</v>
      </c>
      <c r="AC9" s="1556">
        <f t="shared" si="5"/>
        <v>1</v>
      </c>
    </row>
    <row r="10" spans="1:29" s="1334"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7"/>
      <c r="Q10" s="1147" t="str">
        <f t="shared" si="6"/>
        <v>土地使用年限（年）</v>
      </c>
      <c r="R10" s="1553" t="s">
        <v>8</v>
      </c>
      <c r="S10" s="1554">
        <f t="shared" si="0"/>
        <v>100</v>
      </c>
      <c r="T10" s="1553" t="s">
        <v>8</v>
      </c>
      <c r="U10" s="1554">
        <f t="shared" si="1"/>
        <v>100</v>
      </c>
      <c r="V10" s="1553" t="s">
        <v>8</v>
      </c>
      <c r="W10" s="1554">
        <f t="shared" si="2"/>
        <v>100</v>
      </c>
      <c r="X10" s="1555"/>
      <c r="Y10" s="332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7"/>
      <c r="Q11" s="1147" t="str">
        <f t="shared" si="6"/>
        <v>容积率</v>
      </c>
      <c r="R11" s="1553" t="s">
        <v>8</v>
      </c>
      <c r="S11" s="1554" t="e">
        <f t="shared" si="0"/>
        <v>#N/A</v>
      </c>
      <c r="T11" s="1553" t="s">
        <v>8</v>
      </c>
      <c r="U11" s="1554" t="e">
        <f t="shared" si="1"/>
        <v>#N/A</v>
      </c>
      <c r="V11" s="1553" t="s">
        <v>8</v>
      </c>
      <c r="W11" s="1554" t="e">
        <f t="shared" si="2"/>
        <v>#N/A</v>
      </c>
      <c r="X11" s="1555"/>
      <c r="Y11" s="332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7"/>
      <c r="Q12" s="1147">
        <f t="shared" si="6"/>
        <v>111</v>
      </c>
      <c r="R12" s="1553" t="s">
        <v>8</v>
      </c>
      <c r="S12" s="1554">
        <f t="shared" si="0"/>
        <v>100</v>
      </c>
      <c r="T12" s="1553" t="s">
        <v>8</v>
      </c>
      <c r="U12" s="1554">
        <f t="shared" si="1"/>
        <v>100</v>
      </c>
      <c r="V12" s="1553" t="s">
        <v>8</v>
      </c>
      <c r="W12" s="1554">
        <f t="shared" si="2"/>
        <v>100</v>
      </c>
      <c r="X12" s="1555"/>
      <c r="Y12" s="3323"/>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7"/>
      <c r="Q13" s="1147">
        <f t="shared" si="6"/>
        <v>111</v>
      </c>
      <c r="R13" s="1553" t="s">
        <v>8</v>
      </c>
      <c r="S13" s="1554">
        <f t="shared" si="0"/>
        <v>100</v>
      </c>
      <c r="T13" s="1553" t="s">
        <v>8</v>
      </c>
      <c r="U13" s="1554">
        <f t="shared" si="1"/>
        <v>100</v>
      </c>
      <c r="V13" s="1553" t="s">
        <v>8</v>
      </c>
      <c r="W13" s="1554">
        <f t="shared" si="2"/>
        <v>100</v>
      </c>
      <c r="X13" s="1555"/>
      <c r="Y13" s="3323"/>
      <c r="Z13" s="1146">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7"/>
      <c r="Q14" s="1147">
        <f t="shared" si="6"/>
        <v>111</v>
      </c>
      <c r="R14" s="1553" t="s">
        <v>8</v>
      </c>
      <c r="S14" s="1554">
        <f t="shared" si="0"/>
        <v>100</v>
      </c>
      <c r="T14" s="1553" t="s">
        <v>8</v>
      </c>
      <c r="U14" s="1554">
        <f t="shared" si="1"/>
        <v>100</v>
      </c>
      <c r="V14" s="1553" t="s">
        <v>8</v>
      </c>
      <c r="W14" s="1554">
        <f t="shared" si="2"/>
        <v>100</v>
      </c>
      <c r="X14" s="1555"/>
      <c r="Y14" s="3323"/>
      <c r="Z14" s="1146">
        <f t="shared" si="7"/>
        <v>111</v>
      </c>
      <c r="AA14" s="1556">
        <f t="shared" si="3"/>
        <v>1</v>
      </c>
      <c r="AB14" s="1556">
        <f t="shared" si="4"/>
        <v>1</v>
      </c>
      <c r="AC14" s="1556">
        <f t="shared" si="5"/>
        <v>1</v>
      </c>
    </row>
    <row r="15" spans="1:29" ht="15">
      <c r="A15" s="2864" t="s">
        <v>2751</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2" t="s">
        <v>540</v>
      </c>
      <c r="Q15" s="1557" t="str">
        <f t="shared" si="6"/>
        <v>产业集聚程度</v>
      </c>
      <c r="R15" s="1558" t="s">
        <v>8</v>
      </c>
      <c r="S15" s="1559">
        <f t="shared" si="0"/>
        <v>100</v>
      </c>
      <c r="T15" s="1558" t="s">
        <v>8</v>
      </c>
      <c r="U15" s="1559">
        <f t="shared" si="1"/>
        <v>100</v>
      </c>
      <c r="V15" s="1558" t="s">
        <v>8</v>
      </c>
      <c r="W15" s="1559">
        <f t="shared" si="2"/>
        <v>100</v>
      </c>
      <c r="X15" s="1552"/>
      <c r="Y15" s="3412"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3"/>
      <c r="Q16" s="1557"/>
      <c r="R16" s="1558"/>
      <c r="S16" s="1559"/>
      <c r="T16" s="1558"/>
      <c r="U16" s="1559"/>
      <c r="V16" s="1558"/>
      <c r="W16" s="1559"/>
      <c r="X16" s="1552"/>
      <c r="Y16" s="3413"/>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3"/>
      <c r="Q18" s="1557"/>
      <c r="R18" s="1558"/>
      <c r="S18" s="1559"/>
      <c r="T18" s="1558"/>
      <c r="U18" s="1559"/>
      <c r="V18" s="1558"/>
      <c r="W18" s="1559"/>
      <c r="X18" s="1552"/>
      <c r="Y18" s="3413"/>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3"/>
      <c r="Q20" s="1557"/>
      <c r="R20" s="1558"/>
      <c r="S20" s="1559"/>
      <c r="T20" s="1558"/>
      <c r="U20" s="1559"/>
      <c r="V20" s="1558"/>
      <c r="W20" s="1559"/>
      <c r="X20" s="1552"/>
      <c r="Y20" s="3413"/>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3"/>
      <c r="Q21" s="2542" t="str">
        <f>B21</f>
        <v>基础设施水平</v>
      </c>
      <c r="R21" s="1558" t="s">
        <v>8</v>
      </c>
      <c r="S21" s="1559">
        <f>F21</f>
        <v>100</v>
      </c>
      <c r="T21" s="1558" t="s">
        <v>8</v>
      </c>
      <c r="U21" s="1559">
        <f>H21</f>
        <v>100</v>
      </c>
      <c r="V21" s="1558" t="s">
        <v>8</v>
      </c>
      <c r="W21" s="1559">
        <f>J21</f>
        <v>100</v>
      </c>
      <c r="X21" s="2544"/>
      <c r="Y21" s="3413"/>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3"/>
      <c r="Q22" s="2542"/>
      <c r="R22" s="1558"/>
      <c r="S22" s="1559"/>
      <c r="T22" s="1558"/>
      <c r="U22" s="1559"/>
      <c r="V22" s="1558"/>
      <c r="W22" s="1559"/>
      <c r="X22" s="2544"/>
      <c r="Y22" s="3413"/>
      <c r="Z22" s="2543"/>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3"/>
      <c r="Q24" s="1557"/>
      <c r="R24" s="1558"/>
      <c r="S24" s="1559"/>
      <c r="T24" s="1558"/>
      <c r="U24" s="1559"/>
      <c r="V24" s="1558"/>
      <c r="W24" s="1559"/>
      <c r="X24" s="1552"/>
      <c r="Y24" s="3413"/>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3"/>
      <c r="Q25" s="1557">
        <f>B25</f>
        <v>111</v>
      </c>
      <c r="R25" s="1558" t="s">
        <v>8</v>
      </c>
      <c r="S25" s="1559">
        <f>F25</f>
        <v>100</v>
      </c>
      <c r="T25" s="1558" t="s">
        <v>8</v>
      </c>
      <c r="U25" s="1559">
        <f>H25</f>
        <v>100</v>
      </c>
      <c r="V25" s="1558" t="s">
        <v>8</v>
      </c>
      <c r="W25" s="1559">
        <f>J25</f>
        <v>100</v>
      </c>
      <c r="X25" s="1552"/>
      <c r="Y25" s="3413"/>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3"/>
      <c r="Q26" s="1557">
        <f t="shared" ref="Q26:Q40" si="11">B26</f>
        <v>111</v>
      </c>
      <c r="R26" s="1558" t="s">
        <v>8</v>
      </c>
      <c r="S26" s="1559">
        <f>F26</f>
        <v>100</v>
      </c>
      <c r="T26" s="1558" t="s">
        <v>8</v>
      </c>
      <c r="U26" s="1559">
        <f>H26</f>
        <v>100</v>
      </c>
      <c r="V26" s="1558" t="s">
        <v>8</v>
      </c>
      <c r="W26" s="1559">
        <f>J26</f>
        <v>100</v>
      </c>
      <c r="X26" s="1552"/>
      <c r="Y26" s="3413"/>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3"/>
      <c r="Q27" s="1147">
        <f t="shared" si="11"/>
        <v>111</v>
      </c>
      <c r="R27" s="1553" t="s">
        <v>8</v>
      </c>
      <c r="S27" s="1554">
        <f>F27</f>
        <v>100</v>
      </c>
      <c r="T27" s="1553" t="s">
        <v>8</v>
      </c>
      <c r="U27" s="1554">
        <f>H27</f>
        <v>100</v>
      </c>
      <c r="V27" s="1553" t="s">
        <v>8</v>
      </c>
      <c r="W27" s="1554">
        <f>J27</f>
        <v>100</v>
      </c>
      <c r="X27" s="1555"/>
      <c r="Y27" s="3413"/>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3"/>
      <c r="Q28" s="1557">
        <f t="shared" si="11"/>
        <v>111</v>
      </c>
      <c r="R28" s="1558" t="s">
        <v>8</v>
      </c>
      <c r="S28" s="1559">
        <f t="shared" ref="S28:S40" si="12">F28</f>
        <v>100</v>
      </c>
      <c r="T28" s="1558" t="s">
        <v>8</v>
      </c>
      <c r="U28" s="1559">
        <f t="shared" ref="U28:U40" si="13">H28</f>
        <v>100</v>
      </c>
      <c r="V28" s="1558" t="s">
        <v>8</v>
      </c>
      <c r="W28" s="1559">
        <f t="shared" ref="W28:W40" si="14">J28</f>
        <v>100</v>
      </c>
      <c r="X28" s="1552"/>
      <c r="Y28" s="3413"/>
      <c r="Z28" s="1560">
        <f t="shared" ref="Z28:Z40" si="15">Q28</f>
        <v>111</v>
      </c>
      <c r="AA28" s="1561">
        <f t="shared" si="3"/>
        <v>1</v>
      </c>
      <c r="AB28" s="1561">
        <f t="shared" si="4"/>
        <v>1</v>
      </c>
      <c r="AC28" s="1561">
        <f t="shared" si="5"/>
        <v>1</v>
      </c>
    </row>
    <row r="29" spans="1:29" ht="15">
      <c r="A29" s="2861"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4" t="s">
        <v>550</v>
      </c>
      <c r="Q29" s="1557" t="str">
        <f t="shared" si="11"/>
        <v>建筑类型</v>
      </c>
      <c r="R29" s="1558" t="s">
        <v>8</v>
      </c>
      <c r="S29" s="1559">
        <f t="shared" si="12"/>
        <v>100</v>
      </c>
      <c r="T29" s="1558" t="s">
        <v>8</v>
      </c>
      <c r="U29" s="1559">
        <f t="shared" si="13"/>
        <v>100</v>
      </c>
      <c r="V29" s="1558" t="s">
        <v>8</v>
      </c>
      <c r="W29" s="1559">
        <f t="shared" si="14"/>
        <v>100</v>
      </c>
      <c r="X29" s="1552"/>
      <c r="Y29" s="3415"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5"/>
      <c r="Q30" s="1589" t="str">
        <f t="shared" si="11"/>
        <v>项目建筑规模</v>
      </c>
      <c r="R30" s="1562" t="s">
        <v>8</v>
      </c>
      <c r="S30" s="1563" t="e">
        <f t="shared" si="12"/>
        <v>#N/A</v>
      </c>
      <c r="T30" s="1562" t="s">
        <v>8</v>
      </c>
      <c r="U30" s="1563" t="e">
        <f t="shared" si="13"/>
        <v>#N/A</v>
      </c>
      <c r="V30" s="1562" t="s">
        <v>8</v>
      </c>
      <c r="W30" s="1563" t="e">
        <f t="shared" si="14"/>
        <v>#N/A</v>
      </c>
      <c r="X30" s="1564"/>
      <c r="Y30" s="3415"/>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5"/>
      <c r="Q31" s="1557" t="str">
        <f t="shared" si="11"/>
        <v>建筑结构</v>
      </c>
      <c r="R31" s="1558" t="s">
        <v>8</v>
      </c>
      <c r="S31" s="1559">
        <f t="shared" si="12"/>
        <v>100</v>
      </c>
      <c r="T31" s="1558" t="s">
        <v>8</v>
      </c>
      <c r="U31" s="1559">
        <f t="shared" si="13"/>
        <v>100</v>
      </c>
      <c r="V31" s="1558" t="s">
        <v>8</v>
      </c>
      <c r="W31" s="1559">
        <f t="shared" si="14"/>
        <v>100</v>
      </c>
      <c r="X31" s="1552"/>
      <c r="Y31" s="3415"/>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5"/>
      <c r="Q32" s="1557" t="str">
        <f t="shared" si="11"/>
        <v>公共部分装修</v>
      </c>
      <c r="R32" s="1558" t="s">
        <v>8</v>
      </c>
      <c r="S32" s="1559">
        <f t="shared" si="12"/>
        <v>100</v>
      </c>
      <c r="T32" s="1558" t="s">
        <v>8</v>
      </c>
      <c r="U32" s="1559">
        <f t="shared" si="13"/>
        <v>100</v>
      </c>
      <c r="V32" s="1558" t="s">
        <v>8</v>
      </c>
      <c r="W32" s="1559">
        <f t="shared" si="14"/>
        <v>100</v>
      </c>
      <c r="X32" s="1552"/>
      <c r="Y32" s="3415"/>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5"/>
      <c r="Q33" s="1557" t="str">
        <f t="shared" si="11"/>
        <v>成新度</v>
      </c>
      <c r="R33" s="1558" t="s">
        <v>8</v>
      </c>
      <c r="S33" s="1559" t="e">
        <f t="shared" si="12"/>
        <v>#N/A</v>
      </c>
      <c r="T33" s="1558" t="s">
        <v>8</v>
      </c>
      <c r="U33" s="1559" t="e">
        <f t="shared" si="13"/>
        <v>#N/A</v>
      </c>
      <c r="V33" s="1558" t="s">
        <v>8</v>
      </c>
      <c r="W33" s="1559" t="e">
        <f t="shared" si="14"/>
        <v>#N/A</v>
      </c>
      <c r="X33" s="1552"/>
      <c r="Y33" s="3415"/>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5"/>
      <c r="Q34" s="1147" t="str">
        <f t="shared" si="11"/>
        <v>物业管理</v>
      </c>
      <c r="R34" s="1553" t="s">
        <v>8</v>
      </c>
      <c r="S34" s="1554">
        <f t="shared" si="12"/>
        <v>100</v>
      </c>
      <c r="T34" s="1553" t="s">
        <v>8</v>
      </c>
      <c r="U34" s="1554">
        <f t="shared" si="13"/>
        <v>100</v>
      </c>
      <c r="V34" s="1553" t="s">
        <v>8</v>
      </c>
      <c r="W34" s="1554">
        <f t="shared" si="14"/>
        <v>100</v>
      </c>
      <c r="X34" s="1555"/>
      <c r="Y34" s="3415"/>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5" t="s">
        <v>550</v>
      </c>
      <c r="Q35" s="1557" t="str">
        <f t="shared" si="11"/>
        <v>市政基础设施</v>
      </c>
      <c r="R35" s="1558" t="s">
        <v>8</v>
      </c>
      <c r="S35" s="1559">
        <f t="shared" si="12"/>
        <v>100</v>
      </c>
      <c r="T35" s="1558" t="s">
        <v>8</v>
      </c>
      <c r="U35" s="1559">
        <f t="shared" si="13"/>
        <v>100</v>
      </c>
      <c r="V35" s="1558" t="s">
        <v>8</v>
      </c>
      <c r="W35" s="1559">
        <f t="shared" si="14"/>
        <v>100</v>
      </c>
      <c r="X35" s="1552"/>
      <c r="Y35" s="3415"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5"/>
      <c r="Q36" s="1557" t="str">
        <f t="shared" si="11"/>
        <v>内部装修</v>
      </c>
      <c r="R36" s="1558" t="s">
        <v>8</v>
      </c>
      <c r="S36" s="1559">
        <f t="shared" si="12"/>
        <v>100</v>
      </c>
      <c r="T36" s="1558" t="s">
        <v>8</v>
      </c>
      <c r="U36" s="1559">
        <f t="shared" si="13"/>
        <v>100</v>
      </c>
      <c r="V36" s="1558" t="s">
        <v>8</v>
      </c>
      <c r="W36" s="1559">
        <f t="shared" si="14"/>
        <v>100</v>
      </c>
      <c r="X36" s="1552"/>
      <c r="Y36" s="3415"/>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5"/>
      <c r="Q37" s="1557" t="str">
        <f t="shared" si="11"/>
        <v>内部装修状况</v>
      </c>
      <c r="R37" s="1558" t="s">
        <v>8</v>
      </c>
      <c r="S37" s="1559">
        <f t="shared" si="12"/>
        <v>100</v>
      </c>
      <c r="T37" s="1558" t="s">
        <v>8</v>
      </c>
      <c r="U37" s="1559">
        <f t="shared" si="13"/>
        <v>100</v>
      </c>
      <c r="V37" s="1558" t="s">
        <v>8</v>
      </c>
      <c r="W37" s="1559">
        <f t="shared" si="14"/>
        <v>100</v>
      </c>
      <c r="X37" s="1552"/>
      <c r="Y37" s="3415"/>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5"/>
      <c r="Q38" s="1589">
        <f t="shared" si="11"/>
        <v>111</v>
      </c>
      <c r="R38" s="1562" t="s">
        <v>8</v>
      </c>
      <c r="S38" s="1563">
        <f t="shared" si="12"/>
        <v>100</v>
      </c>
      <c r="T38" s="1562" t="s">
        <v>8</v>
      </c>
      <c r="U38" s="1563">
        <f t="shared" si="13"/>
        <v>100</v>
      </c>
      <c r="V38" s="1562" t="s">
        <v>8</v>
      </c>
      <c r="W38" s="1563">
        <f t="shared" si="14"/>
        <v>100</v>
      </c>
      <c r="X38" s="1564"/>
      <c r="Y38" s="3415"/>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5"/>
      <c r="Q39" s="1557">
        <f t="shared" si="11"/>
        <v>111</v>
      </c>
      <c r="R39" s="1558" t="s">
        <v>8</v>
      </c>
      <c r="S39" s="1559">
        <f t="shared" si="12"/>
        <v>100</v>
      </c>
      <c r="T39" s="1558" t="s">
        <v>8</v>
      </c>
      <c r="U39" s="1559">
        <f t="shared" si="13"/>
        <v>100</v>
      </c>
      <c r="V39" s="1558" t="s">
        <v>8</v>
      </c>
      <c r="W39" s="1559">
        <f t="shared" si="14"/>
        <v>100</v>
      </c>
      <c r="X39" s="1552"/>
      <c r="Y39" s="3415"/>
      <c r="Z39" s="1560">
        <f t="shared" si="15"/>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73"/>
      <c r="Q40" s="1557">
        <f t="shared" si="11"/>
        <v>111</v>
      </c>
      <c r="R40" s="1558" t="s">
        <v>8</v>
      </c>
      <c r="S40" s="1559">
        <f t="shared" si="12"/>
        <v>100</v>
      </c>
      <c r="T40" s="1558" t="s">
        <v>8</v>
      </c>
      <c r="U40" s="1559">
        <f t="shared" si="13"/>
        <v>100</v>
      </c>
      <c r="V40" s="1558" t="s">
        <v>8</v>
      </c>
      <c r="W40" s="1559">
        <f t="shared" si="14"/>
        <v>100</v>
      </c>
      <c r="X40" s="1552"/>
      <c r="Y40" s="3473"/>
      <c r="Z40" s="1560">
        <f t="shared" si="15"/>
        <v>111</v>
      </c>
      <c r="AA40" s="1561">
        <f t="shared" si="3"/>
        <v>1</v>
      </c>
      <c r="AB40" s="1561">
        <f t="shared" si="4"/>
        <v>1</v>
      </c>
      <c r="AC40" s="1561">
        <f t="shared" si="5"/>
        <v>1</v>
      </c>
    </row>
    <row r="41" spans="1:29" ht="14.4">
      <c r="A41" s="607" t="s">
        <v>736</v>
      </c>
      <c r="B41" s="887"/>
      <c r="C41" s="2590" t="s">
        <v>1</v>
      </c>
      <c r="D41" s="2591"/>
      <c r="E41" s="2592"/>
      <c r="F41" s="2593"/>
      <c r="G41" s="2594"/>
      <c r="H41" s="2595"/>
      <c r="I41" s="2592"/>
      <c r="J41" s="2595"/>
      <c r="K41" s="1595"/>
      <c r="L41" s="2128"/>
      <c r="M41" s="2129"/>
      <c r="N41" s="2118"/>
      <c r="O41" s="2129"/>
      <c r="P41" s="3377" t="str">
        <f>A41</f>
        <v>成交单价（元/平方米）</v>
      </c>
      <c r="Q41" s="3377"/>
      <c r="R41" s="3472">
        <f>E41</f>
        <v>0</v>
      </c>
      <c r="S41" s="3472"/>
      <c r="T41" s="3472">
        <f>G41</f>
        <v>0</v>
      </c>
      <c r="U41" s="3472"/>
      <c r="V41" s="3472">
        <f>I41</f>
        <v>0</v>
      </c>
      <c r="W41" s="3472"/>
      <c r="X41" s="1544"/>
      <c r="Y41" s="1566"/>
      <c r="Z41" s="1544"/>
      <c r="AA41" s="1544"/>
      <c r="AB41" s="1544"/>
      <c r="AC41" s="1544"/>
    </row>
    <row r="42" spans="1:29" ht="15" thickBot="1">
      <c r="A42" s="615" t="s">
        <v>2757</v>
      </c>
      <c r="B42" s="888"/>
      <c r="C42" s="2596" t="e">
        <f>R43</f>
        <v>#DIV/0!</v>
      </c>
      <c r="D42" s="2597"/>
      <c r="E42" s="2598" t="e">
        <f>R42</f>
        <v>#DIV/0!</v>
      </c>
      <c r="F42" s="2598"/>
      <c r="G42" s="2596" t="e">
        <f>T42</f>
        <v>#DIV/0!</v>
      </c>
      <c r="H42" s="2597"/>
      <c r="I42" s="2598" t="e">
        <f>V42</f>
        <v>#DIV/0!</v>
      </c>
      <c r="J42" s="2597"/>
      <c r="K42" s="1596"/>
      <c r="L42" s="2128"/>
      <c r="M42" s="2129"/>
      <c r="N42" s="2118"/>
      <c r="O42" s="2129"/>
      <c r="P42" s="3377" t="str">
        <f>A42</f>
        <v>比较价格（元/平方米）</v>
      </c>
      <c r="Q42" s="3377"/>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4"/>
      <c r="Y42" s="1544"/>
      <c r="Z42" s="1544"/>
      <c r="AA42" s="1544"/>
      <c r="AB42" s="1544"/>
      <c r="AC42" s="1544"/>
    </row>
    <row r="43" spans="1:29" ht="15" thickBot="1">
      <c r="A43" s="621" t="s">
        <v>2924</v>
      </c>
      <c r="B43" s="622"/>
      <c r="C43" s="2599" t="e">
        <f>R43</f>
        <v>#DIV/0!</v>
      </c>
      <c r="D43" s="2599"/>
      <c r="E43" s="2599"/>
      <c r="F43" s="2599"/>
      <c r="G43" s="2599"/>
      <c r="H43" s="2599"/>
      <c r="I43" s="2599"/>
      <c r="J43" s="2599"/>
      <c r="K43" s="1597"/>
      <c r="L43" s="2128"/>
      <c r="M43" s="2129"/>
      <c r="N43" s="2129"/>
      <c r="O43" s="2129"/>
      <c r="P43" s="3374" t="str">
        <f>A43</f>
        <v>估价对象XX用房的比较价格（楼面单价，元/平方米）</v>
      </c>
      <c r="Q43" s="3375"/>
      <c r="R43" s="3471" t="e">
        <f>IF(F1="售价",ROUND(AVERAGE(R42:V42),0),ROUND(AVERAGE(R42:V42),1))</f>
        <v>#DIV/0!</v>
      </c>
      <c r="S43" s="3471"/>
      <c r="T43" s="3471"/>
      <c r="U43" s="3471"/>
      <c r="V43" s="3471"/>
      <c r="W43" s="347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3" t="s">
        <v>798</v>
      </c>
      <c r="D4" s="3384"/>
      <c r="E4" s="3383" t="s">
        <v>799</v>
      </c>
      <c r="F4" s="3384"/>
      <c r="G4" s="3383" t="s">
        <v>800</v>
      </c>
      <c r="H4" s="3384"/>
      <c r="I4" s="3383" t="s">
        <v>801</v>
      </c>
      <c r="J4" s="3384"/>
      <c r="K4" s="514" t="s">
        <v>802</v>
      </c>
      <c r="L4" s="2117"/>
      <c r="M4" s="2118"/>
      <c r="N4" s="2118"/>
      <c r="O4" s="2118"/>
      <c r="P4" s="3385" t="s">
        <v>803</v>
      </c>
      <c r="Q4" s="3386"/>
      <c r="R4" s="3391" t="s">
        <v>799</v>
      </c>
      <c r="S4" s="3392"/>
      <c r="T4" s="3391" t="s">
        <v>800</v>
      </c>
      <c r="U4" s="3392"/>
      <c r="V4" s="3378" t="s">
        <v>801</v>
      </c>
      <c r="W4" s="3378"/>
      <c r="X4" s="1552"/>
      <c r="Y4" s="3391" t="s">
        <v>803</v>
      </c>
      <c r="Z4" s="3392"/>
      <c r="AA4" s="3380" t="s">
        <v>799</v>
      </c>
      <c r="AB4" s="3381" t="s">
        <v>800</v>
      </c>
      <c r="AC4" s="3380" t="s">
        <v>801</v>
      </c>
    </row>
    <row r="5" spans="1:29">
      <c r="A5" s="515"/>
      <c r="B5" s="516"/>
      <c r="C5" s="3401" t="s">
        <v>2918</v>
      </c>
      <c r="D5" s="3400"/>
      <c r="E5" s="3401" t="s">
        <v>2919</v>
      </c>
      <c r="F5" s="3400"/>
      <c r="G5" s="3401" t="s">
        <v>2920</v>
      </c>
      <c r="H5" s="3400"/>
      <c r="I5" s="3401" t="s">
        <v>2921</v>
      </c>
      <c r="J5" s="3400"/>
      <c r="K5" s="514"/>
      <c r="L5" s="2117"/>
      <c r="M5" s="2118"/>
      <c r="N5" s="2118"/>
      <c r="O5" s="2118"/>
      <c r="P5" s="3387"/>
      <c r="Q5" s="3388"/>
      <c r="R5" s="3393"/>
      <c r="S5" s="3394"/>
      <c r="T5" s="3393"/>
      <c r="U5" s="3394"/>
      <c r="V5" s="3378"/>
      <c r="W5" s="3378"/>
      <c r="X5" s="1552"/>
      <c r="Y5" s="3393"/>
      <c r="Z5" s="3394"/>
      <c r="AA5" s="3381"/>
      <c r="AB5" s="3381"/>
      <c r="AC5" s="3381"/>
    </row>
    <row r="6" spans="1:29" ht="15" thickBot="1">
      <c r="A6" s="517"/>
      <c r="B6" s="518"/>
      <c r="C6" s="3397" t="s">
        <v>2922</v>
      </c>
      <c r="D6" s="3398"/>
      <c r="E6" s="3402" t="s">
        <v>2922</v>
      </c>
      <c r="F6" s="3403"/>
      <c r="G6" s="3397" t="s">
        <v>2922</v>
      </c>
      <c r="H6" s="3398"/>
      <c r="I6" s="3397" t="s">
        <v>2922</v>
      </c>
      <c r="J6" s="3398"/>
      <c r="K6" s="514" t="s">
        <v>528</v>
      </c>
      <c r="L6" s="2117"/>
      <c r="M6" s="2118"/>
      <c r="N6" s="2118"/>
      <c r="O6" s="2118"/>
      <c r="P6" s="3389"/>
      <c r="Q6" s="3390"/>
      <c r="R6" s="3393"/>
      <c r="S6" s="3394"/>
      <c r="T6" s="3395"/>
      <c r="U6" s="3396"/>
      <c r="V6" s="3378"/>
      <c r="W6" s="3378"/>
      <c r="X6" s="1552"/>
      <c r="Y6" s="3395"/>
      <c r="Z6" s="3396"/>
      <c r="AA6" s="3382"/>
      <c r="AB6" s="3382"/>
      <c r="AC6" s="3382"/>
    </row>
    <row r="7" spans="1:29" s="1216" customFormat="1" ht="15" thickBot="1">
      <c r="A7" s="2866"/>
      <c r="B7" s="2873" t="s">
        <v>529</v>
      </c>
      <c r="C7" s="519">
        <f>'数据-取费表'!B2</f>
        <v>43969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9" t="s">
        <v>530</v>
      </c>
      <c r="Q7" s="3411"/>
      <c r="R7" s="1553" t="s">
        <v>8</v>
      </c>
      <c r="S7" s="1554">
        <f t="shared" ref="S7:S14" si="0">F7</f>
        <v>0</v>
      </c>
      <c r="T7" s="1553" t="s">
        <v>8</v>
      </c>
      <c r="U7" s="1554">
        <f t="shared" ref="U7:U14" si="1">H7</f>
        <v>0</v>
      </c>
      <c r="V7" s="1553" t="s">
        <v>8</v>
      </c>
      <c r="W7" s="1554">
        <f t="shared" ref="W7:W14" si="2">J7</f>
        <v>0</v>
      </c>
      <c r="X7" s="1555"/>
      <c r="Y7" s="3409" t="s">
        <v>530</v>
      </c>
      <c r="Z7" s="3410"/>
      <c r="AA7" s="1556" t="e">
        <f>D7/F7</f>
        <v>#DIV/0!</v>
      </c>
      <c r="AB7" s="1556" t="e">
        <f>D7/H7</f>
        <v>#DIV/0!</v>
      </c>
      <c r="AC7" s="1556"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36" si="3">D8/F8</f>
        <v>#DIV/0!</v>
      </c>
      <c r="AB8" s="1556" t="e">
        <f t="shared" ref="AB8:AB36" si="4">D8/H8</f>
        <v>#DIV/0!</v>
      </c>
      <c r="AC8" s="1556" t="e">
        <f t="shared" ref="AC8:AC36" si="5">D8/J8</f>
        <v>#DIV/0!</v>
      </c>
    </row>
    <row r="9" spans="1:29" s="1216"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7" t="s">
        <v>535</v>
      </c>
      <c r="Q9" s="1147" t="str">
        <f t="shared" ref="Q9:Q14" si="6">B9</f>
        <v>用途</v>
      </c>
      <c r="R9" s="1553" t="s">
        <v>8</v>
      </c>
      <c r="S9" s="1554">
        <f t="shared" si="0"/>
        <v>100</v>
      </c>
      <c r="T9" s="1553" t="s">
        <v>8</v>
      </c>
      <c r="U9" s="1554">
        <f t="shared" si="1"/>
        <v>100</v>
      </c>
      <c r="V9" s="1553" t="s">
        <v>8</v>
      </c>
      <c r="W9" s="1554">
        <f t="shared" si="2"/>
        <v>100</v>
      </c>
      <c r="X9" s="1555"/>
      <c r="Y9" s="3323" t="s">
        <v>536</v>
      </c>
      <c r="Z9" s="1146" t="str">
        <f t="shared" ref="Z9:Z14" si="7">Q9</f>
        <v>用途</v>
      </c>
      <c r="AA9" s="1556">
        <f t="shared" si="3"/>
        <v>1</v>
      </c>
      <c r="AB9" s="1556">
        <f t="shared" si="4"/>
        <v>1</v>
      </c>
      <c r="AC9" s="1556">
        <f t="shared" si="5"/>
        <v>1</v>
      </c>
    </row>
    <row r="10" spans="1:29" s="1334"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7"/>
      <c r="Q10" s="1147" t="str">
        <f t="shared" si="6"/>
        <v>土地使用年限（年）</v>
      </c>
      <c r="R10" s="1553" t="s">
        <v>8</v>
      </c>
      <c r="S10" s="1554">
        <f t="shared" si="0"/>
        <v>100</v>
      </c>
      <c r="T10" s="1553" t="s">
        <v>8</v>
      </c>
      <c r="U10" s="1554">
        <f t="shared" si="1"/>
        <v>100</v>
      </c>
      <c r="V10" s="1553" t="s">
        <v>8</v>
      </c>
      <c r="W10" s="1554">
        <f t="shared" si="2"/>
        <v>100</v>
      </c>
      <c r="X10" s="1555"/>
      <c r="Y10" s="3323"/>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7"/>
      <c r="Q11" s="1147">
        <f t="shared" si="6"/>
        <v>111</v>
      </c>
      <c r="R11" s="1553" t="s">
        <v>8</v>
      </c>
      <c r="S11" s="1554">
        <f t="shared" si="0"/>
        <v>100</v>
      </c>
      <c r="T11" s="1553" t="s">
        <v>8</v>
      </c>
      <c r="U11" s="1554">
        <f t="shared" si="1"/>
        <v>100</v>
      </c>
      <c r="V11" s="1553" t="s">
        <v>8</v>
      </c>
      <c r="W11" s="1554">
        <f t="shared" si="2"/>
        <v>100</v>
      </c>
      <c r="X11" s="1555"/>
      <c r="Y11" s="3323"/>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7"/>
      <c r="Q12" s="1147">
        <f t="shared" si="6"/>
        <v>111</v>
      </c>
      <c r="R12" s="1553" t="s">
        <v>8</v>
      </c>
      <c r="S12" s="1554">
        <f t="shared" si="0"/>
        <v>100</v>
      </c>
      <c r="T12" s="1553" t="s">
        <v>8</v>
      </c>
      <c r="U12" s="1554">
        <f t="shared" si="1"/>
        <v>100</v>
      </c>
      <c r="V12" s="1553" t="s">
        <v>8</v>
      </c>
      <c r="W12" s="1554">
        <f t="shared" si="2"/>
        <v>100</v>
      </c>
      <c r="X12" s="1555"/>
      <c r="Y12" s="3323"/>
      <c r="Z12" s="1146">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7"/>
      <c r="Q13" s="1147">
        <f t="shared" si="6"/>
        <v>111</v>
      </c>
      <c r="R13" s="1553" t="s">
        <v>8</v>
      </c>
      <c r="S13" s="1554">
        <f t="shared" si="0"/>
        <v>100</v>
      </c>
      <c r="T13" s="1553" t="s">
        <v>8</v>
      </c>
      <c r="U13" s="1554">
        <f t="shared" si="1"/>
        <v>100</v>
      </c>
      <c r="V13" s="1553" t="s">
        <v>8</v>
      </c>
      <c r="W13" s="1554">
        <f t="shared" si="2"/>
        <v>100</v>
      </c>
      <c r="X13" s="1555"/>
      <c r="Y13" s="3323"/>
      <c r="Z13" s="1146">
        <f t="shared" si="7"/>
        <v>111</v>
      </c>
      <c r="AA13" s="1556">
        <f t="shared" si="3"/>
        <v>1</v>
      </c>
      <c r="AB13" s="1556">
        <f t="shared" si="4"/>
        <v>1</v>
      </c>
      <c r="AC13" s="1556">
        <f t="shared" si="5"/>
        <v>1</v>
      </c>
    </row>
    <row r="14" spans="1:29" ht="15">
      <c r="A14" s="2864"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2" t="s">
        <v>540</v>
      </c>
      <c r="Q14" s="1557" t="str">
        <f t="shared" si="6"/>
        <v>交通便捷度</v>
      </c>
      <c r="R14" s="1558" t="s">
        <v>8</v>
      </c>
      <c r="S14" s="1559">
        <f t="shared" si="0"/>
        <v>100</v>
      </c>
      <c r="T14" s="1558" t="s">
        <v>8</v>
      </c>
      <c r="U14" s="1559">
        <f t="shared" si="1"/>
        <v>100</v>
      </c>
      <c r="V14" s="1558" t="s">
        <v>8</v>
      </c>
      <c r="W14" s="1559">
        <f t="shared" si="2"/>
        <v>100</v>
      </c>
      <c r="X14" s="1552"/>
      <c r="Y14" s="3412"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3"/>
      <c r="Q15" s="1557"/>
      <c r="R15" s="1558"/>
      <c r="S15" s="1559"/>
      <c r="T15" s="1558"/>
      <c r="U15" s="1559"/>
      <c r="V15" s="1558"/>
      <c r="W15" s="1559"/>
      <c r="X15" s="1552"/>
      <c r="Y15" s="3413"/>
      <c r="Z15" s="1560"/>
      <c r="AA15" s="1561">
        <v>1</v>
      </c>
      <c r="AB15" s="1561">
        <v>1</v>
      </c>
      <c r="AC15" s="1561">
        <v>1</v>
      </c>
    </row>
    <row r="16" spans="1:29" ht="15">
      <c r="A16" s="515"/>
      <c r="B16" s="2566"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3"/>
      <c r="Q17" s="1557"/>
      <c r="R17" s="1558"/>
      <c r="S17" s="1559"/>
      <c r="T17" s="1558"/>
      <c r="U17" s="1559"/>
      <c r="V17" s="1558"/>
      <c r="W17" s="1559"/>
      <c r="X17" s="1552"/>
      <c r="Y17" s="3413"/>
      <c r="Z17" s="1560"/>
      <c r="AA17" s="1561">
        <v>1</v>
      </c>
      <c r="AB17" s="1561">
        <v>1</v>
      </c>
      <c r="AC17" s="1561">
        <v>1</v>
      </c>
    </row>
    <row r="18" spans="1:29" ht="15">
      <c r="A18" s="515"/>
      <c r="B18" s="2554"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3"/>
      <c r="Q18" s="2542" t="str">
        <f>B18</f>
        <v>基础设施水平</v>
      </c>
      <c r="R18" s="1558" t="s">
        <v>8</v>
      </c>
      <c r="S18" s="1559">
        <f>F18</f>
        <v>100</v>
      </c>
      <c r="T18" s="1558" t="s">
        <v>8</v>
      </c>
      <c r="U18" s="1559">
        <f>H18</f>
        <v>100</v>
      </c>
      <c r="V18" s="1558" t="s">
        <v>8</v>
      </c>
      <c r="W18" s="1559">
        <f>J18</f>
        <v>100</v>
      </c>
      <c r="X18" s="2544"/>
      <c r="Y18" s="3413"/>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3"/>
      <c r="Q19" s="2542"/>
      <c r="R19" s="1558"/>
      <c r="S19" s="1559"/>
      <c r="T19" s="1558"/>
      <c r="U19" s="1559"/>
      <c r="V19" s="1558"/>
      <c r="W19" s="1559"/>
      <c r="X19" s="2544"/>
      <c r="Y19" s="3413"/>
      <c r="Z19" s="2543"/>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3"/>
      <c r="Q21" s="1557"/>
      <c r="R21" s="1558"/>
      <c r="S21" s="1559"/>
      <c r="T21" s="1558"/>
      <c r="U21" s="1559"/>
      <c r="V21" s="1558"/>
      <c r="W21" s="1559"/>
      <c r="X21" s="1552"/>
      <c r="Y21" s="3413"/>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3"/>
      <c r="Q24" s="1557">
        <f t="shared" ref="Q24:Q36" si="11">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3"/>
      <c r="Q25" s="1147">
        <f t="shared" si="11"/>
        <v>111</v>
      </c>
      <c r="R25" s="1553" t="s">
        <v>8</v>
      </c>
      <c r="S25" s="1554">
        <f>F25</f>
        <v>100</v>
      </c>
      <c r="T25" s="1553" t="s">
        <v>8</v>
      </c>
      <c r="U25" s="1554">
        <f>H25</f>
        <v>100</v>
      </c>
      <c r="V25" s="1553" t="s">
        <v>8</v>
      </c>
      <c r="W25" s="1554">
        <f>J25</f>
        <v>100</v>
      </c>
      <c r="X25" s="1555"/>
      <c r="Y25" s="3413"/>
      <c r="Z25" s="1146">
        <f>Q25</f>
        <v>111</v>
      </c>
      <c r="AA25" s="1561">
        <f>D25/F25</f>
        <v>1</v>
      </c>
      <c r="AB25" s="1561">
        <f>D25/H25</f>
        <v>1</v>
      </c>
      <c r="AC25" s="1561">
        <f>D25/J25</f>
        <v>1</v>
      </c>
    </row>
    <row r="26" spans="1:29" ht="15">
      <c r="A26" s="2861"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5"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5"/>
      <c r="Q27" s="1589" t="str">
        <f t="shared" si="11"/>
        <v>项目停车位配比</v>
      </c>
      <c r="R27" s="1562" t="s">
        <v>8</v>
      </c>
      <c r="S27" s="1563">
        <f t="shared" si="12"/>
        <v>100</v>
      </c>
      <c r="T27" s="1562" t="s">
        <v>8</v>
      </c>
      <c r="U27" s="1563">
        <f t="shared" si="13"/>
        <v>100</v>
      </c>
      <c r="V27" s="1562" t="s">
        <v>8</v>
      </c>
      <c r="W27" s="1563">
        <f t="shared" si="14"/>
        <v>100</v>
      </c>
      <c r="X27" s="1564"/>
      <c r="Y27" s="3415"/>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5"/>
      <c r="Q28" s="1557" t="str">
        <f t="shared" si="11"/>
        <v>公共部分装修</v>
      </c>
      <c r="R28" s="1558" t="s">
        <v>8</v>
      </c>
      <c r="S28" s="1559">
        <f t="shared" si="12"/>
        <v>100</v>
      </c>
      <c r="T28" s="1558" t="s">
        <v>8</v>
      </c>
      <c r="U28" s="1559">
        <f t="shared" si="13"/>
        <v>100</v>
      </c>
      <c r="V28" s="1558" t="s">
        <v>8</v>
      </c>
      <c r="W28" s="1559">
        <f t="shared" si="14"/>
        <v>100</v>
      </c>
      <c r="X28" s="1552"/>
      <c r="Y28" s="3415"/>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5"/>
      <c r="Q29" s="1557" t="str">
        <f t="shared" si="11"/>
        <v>成新率</v>
      </c>
      <c r="R29" s="1558" t="s">
        <v>8</v>
      </c>
      <c r="S29" s="1559" t="e">
        <f t="shared" si="12"/>
        <v>#N/A</v>
      </c>
      <c r="T29" s="1558" t="s">
        <v>8</v>
      </c>
      <c r="U29" s="1559" t="e">
        <f t="shared" si="13"/>
        <v>#N/A</v>
      </c>
      <c r="V29" s="1558" t="s">
        <v>8</v>
      </c>
      <c r="W29" s="1559" t="e">
        <f t="shared" si="14"/>
        <v>#N/A</v>
      </c>
      <c r="X29" s="1552"/>
      <c r="Y29" s="3415"/>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5"/>
      <c r="Q30" s="1557" t="str">
        <f t="shared" si="11"/>
        <v>物业等级</v>
      </c>
      <c r="R30" s="1558" t="s">
        <v>8</v>
      </c>
      <c r="S30" s="1559">
        <f t="shared" si="12"/>
        <v>100</v>
      </c>
      <c r="T30" s="1558" t="s">
        <v>8</v>
      </c>
      <c r="U30" s="1559">
        <f t="shared" si="13"/>
        <v>100</v>
      </c>
      <c r="V30" s="1558" t="s">
        <v>8</v>
      </c>
      <c r="W30" s="1559">
        <f t="shared" si="14"/>
        <v>100</v>
      </c>
      <c r="X30" s="1552"/>
      <c r="Y30" s="3415"/>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5"/>
      <c r="Q31" s="1147" t="str">
        <f t="shared" si="11"/>
        <v>停车位面积</v>
      </c>
      <c r="R31" s="1553" t="s">
        <v>8</v>
      </c>
      <c r="S31" s="1554" t="e">
        <f t="shared" si="12"/>
        <v>#N/A</v>
      </c>
      <c r="T31" s="1553" t="s">
        <v>8</v>
      </c>
      <c r="U31" s="1554" t="e">
        <f t="shared" si="13"/>
        <v>#N/A</v>
      </c>
      <c r="V31" s="1553" t="s">
        <v>8</v>
      </c>
      <c r="W31" s="1554" t="e">
        <f t="shared" si="14"/>
        <v>#N/A</v>
      </c>
      <c r="X31" s="1555"/>
      <c r="Y31" s="3415"/>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5" t="s">
        <v>550</v>
      </c>
      <c r="Q32" s="1557" t="str">
        <f t="shared" si="11"/>
        <v>车位类型</v>
      </c>
      <c r="R32" s="1558" t="s">
        <v>8</v>
      </c>
      <c r="S32" s="1559">
        <f t="shared" si="12"/>
        <v>100</v>
      </c>
      <c r="T32" s="1558" t="s">
        <v>8</v>
      </c>
      <c r="U32" s="1559">
        <f t="shared" si="13"/>
        <v>100</v>
      </c>
      <c r="V32" s="1558" t="s">
        <v>8</v>
      </c>
      <c r="W32" s="1559">
        <f t="shared" si="14"/>
        <v>100</v>
      </c>
      <c r="X32" s="1552"/>
      <c r="Y32" s="3415"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5"/>
      <c r="Q33" s="1557" t="str">
        <f t="shared" si="11"/>
        <v>是否直接入户</v>
      </c>
      <c r="R33" s="1558" t="s">
        <v>8</v>
      </c>
      <c r="S33" s="1559">
        <f t="shared" si="12"/>
        <v>100</v>
      </c>
      <c r="T33" s="1558" t="s">
        <v>8</v>
      </c>
      <c r="U33" s="1559">
        <f t="shared" si="13"/>
        <v>100</v>
      </c>
      <c r="V33" s="1558" t="s">
        <v>8</v>
      </c>
      <c r="W33" s="1559">
        <f t="shared" si="14"/>
        <v>100</v>
      </c>
      <c r="X33" s="1552"/>
      <c r="Y33" s="3415"/>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5"/>
      <c r="Q34" s="1557">
        <f t="shared" si="11"/>
        <v>111</v>
      </c>
      <c r="R34" s="1558" t="s">
        <v>8</v>
      </c>
      <c r="S34" s="1559">
        <f t="shared" si="12"/>
        <v>100</v>
      </c>
      <c r="T34" s="1558" t="s">
        <v>8</v>
      </c>
      <c r="U34" s="1559">
        <f t="shared" si="13"/>
        <v>100</v>
      </c>
      <c r="V34" s="1558" t="s">
        <v>8</v>
      </c>
      <c r="W34" s="1559">
        <f t="shared" si="14"/>
        <v>100</v>
      </c>
      <c r="X34" s="1552"/>
      <c r="Y34" s="3415"/>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5"/>
      <c r="Q35" s="1589">
        <f t="shared" si="11"/>
        <v>111</v>
      </c>
      <c r="R35" s="1562" t="s">
        <v>8</v>
      </c>
      <c r="S35" s="1563">
        <f t="shared" si="12"/>
        <v>100</v>
      </c>
      <c r="T35" s="1562" t="s">
        <v>8</v>
      </c>
      <c r="U35" s="1563">
        <f t="shared" si="13"/>
        <v>100</v>
      </c>
      <c r="V35" s="1562" t="s">
        <v>8</v>
      </c>
      <c r="W35" s="1563">
        <f t="shared" si="14"/>
        <v>100</v>
      </c>
      <c r="X35" s="1564"/>
      <c r="Y35" s="3415"/>
      <c r="Z35" s="1565">
        <f t="shared" si="15"/>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5"/>
      <c r="Q36" s="1557">
        <f t="shared" si="11"/>
        <v>111</v>
      </c>
      <c r="R36" s="1558" t="s">
        <v>8</v>
      </c>
      <c r="S36" s="1559">
        <f t="shared" si="12"/>
        <v>100</v>
      </c>
      <c r="T36" s="1558" t="s">
        <v>8</v>
      </c>
      <c r="U36" s="1559">
        <f t="shared" si="13"/>
        <v>100</v>
      </c>
      <c r="V36" s="1558" t="s">
        <v>8</v>
      </c>
      <c r="W36" s="1559">
        <f t="shared" si="14"/>
        <v>100</v>
      </c>
      <c r="X36" s="1552"/>
      <c r="Y36" s="3415"/>
      <c r="Z36" s="1560">
        <f t="shared" si="15"/>
        <v>111</v>
      </c>
      <c r="AA36" s="1561">
        <f t="shared" si="3"/>
        <v>1</v>
      </c>
      <c r="AB36" s="1561">
        <f t="shared" si="4"/>
        <v>1</v>
      </c>
      <c r="AC36" s="1561">
        <f t="shared" si="5"/>
        <v>1</v>
      </c>
    </row>
    <row r="37" spans="1:29" ht="14.4">
      <c r="A37" s="1830" t="s">
        <v>2075</v>
      </c>
      <c r="B37" s="1831" t="s">
        <v>2076</v>
      </c>
      <c r="C37" s="2590" t="s">
        <v>1</v>
      </c>
      <c r="D37" s="2591"/>
      <c r="E37" s="2592"/>
      <c r="F37" s="2593"/>
      <c r="G37" s="2594"/>
      <c r="H37" s="2595"/>
      <c r="I37" s="2592"/>
      <c r="J37" s="2595"/>
      <c r="K37" s="1595"/>
      <c r="L37" s="2128"/>
      <c r="M37" s="2129"/>
      <c r="N37" s="2118"/>
      <c r="O37" s="2129"/>
      <c r="P37" s="3377" t="str">
        <f>A37</f>
        <v>成交单价</v>
      </c>
      <c r="Q37" s="3377"/>
      <c r="R37" s="3472">
        <f>E37</f>
        <v>0</v>
      </c>
      <c r="S37" s="3472"/>
      <c r="T37" s="3472">
        <f>G37</f>
        <v>0</v>
      </c>
      <c r="U37" s="3472"/>
      <c r="V37" s="3472">
        <f>I37</f>
        <v>0</v>
      </c>
      <c r="W37" s="3472"/>
      <c r="X37" s="1544"/>
      <c r="Y37" s="1566"/>
      <c r="Z37" s="1544"/>
      <c r="AA37" s="1544"/>
      <c r="AB37" s="1544"/>
      <c r="AC37" s="1544"/>
    </row>
    <row r="38" spans="1:29" ht="15" thickBot="1">
      <c r="A38" s="615" t="s">
        <v>2757</v>
      </c>
      <c r="B38" s="888"/>
      <c r="C38" s="2596" t="e">
        <f>R39</f>
        <v>#DIV/0!</v>
      </c>
      <c r="D38" s="2597"/>
      <c r="E38" s="2598" t="e">
        <f>R38</f>
        <v>#DIV/0!</v>
      </c>
      <c r="F38" s="2598"/>
      <c r="G38" s="2596" t="e">
        <f>T38</f>
        <v>#DIV/0!</v>
      </c>
      <c r="H38" s="2597"/>
      <c r="I38" s="2598" t="e">
        <f>V38</f>
        <v>#DIV/0!</v>
      </c>
      <c r="J38" s="2597"/>
      <c r="K38" s="1596"/>
      <c r="L38" s="2128"/>
      <c r="M38" s="2129"/>
      <c r="N38" s="2129"/>
      <c r="O38" s="2129"/>
      <c r="P38" s="3377" t="str">
        <f>A38</f>
        <v>比较价格（元/平方米）</v>
      </c>
      <c r="Q38" s="3377"/>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4"/>
      <c r="Y38" s="1544"/>
      <c r="Z38" s="1544"/>
      <c r="AA38" s="1544"/>
      <c r="AB38" s="1544"/>
      <c r="AC38" s="1544"/>
    </row>
    <row r="39" spans="1:29" ht="15" thickBot="1">
      <c r="A39" s="621" t="s">
        <v>2924</v>
      </c>
      <c r="B39" s="622"/>
      <c r="C39" s="2599" t="e">
        <f>R39</f>
        <v>#DIV/0!</v>
      </c>
      <c r="D39" s="2599"/>
      <c r="E39" s="2599"/>
      <c r="F39" s="2599"/>
      <c r="G39" s="2599"/>
      <c r="H39" s="2599"/>
      <c r="I39" s="2599"/>
      <c r="J39" s="2599"/>
      <c r="K39" s="1597"/>
      <c r="L39" s="2128"/>
      <c r="M39" s="2129"/>
      <c r="N39" s="2129"/>
      <c r="O39" s="2129"/>
      <c r="P39" s="3374" t="str">
        <f>A39</f>
        <v>估价对象XX用房的比较价格（楼面单价，元/平方米）</v>
      </c>
      <c r="Q39" s="3375"/>
      <c r="R39" s="3471" t="e">
        <f>IF(F1="售价",ROUND(AVERAGE(R38:V38),0),ROUND(AVERAGE(R38:V38),1))</f>
        <v>#DIV/0!</v>
      </c>
      <c r="S39" s="3471"/>
      <c r="T39" s="3471"/>
      <c r="U39" s="3471"/>
      <c r="V39" s="3471"/>
      <c r="W39" s="347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3" t="s">
        <v>798</v>
      </c>
      <c r="D4" s="3384"/>
      <c r="E4" s="3418" t="s">
        <v>799</v>
      </c>
      <c r="F4" s="3419"/>
      <c r="G4" s="3383" t="s">
        <v>800</v>
      </c>
      <c r="H4" s="3384"/>
      <c r="I4" s="3383" t="s">
        <v>801</v>
      </c>
      <c r="J4" s="3384"/>
      <c r="K4" s="514" t="s">
        <v>802</v>
      </c>
      <c r="L4" s="2117"/>
      <c r="M4" s="2118"/>
      <c r="N4" s="2118"/>
      <c r="O4" s="2118"/>
      <c r="P4" s="3385" t="s">
        <v>803</v>
      </c>
      <c r="Q4" s="3386"/>
      <c r="R4" s="3391" t="s">
        <v>799</v>
      </c>
      <c r="S4" s="3392"/>
      <c r="T4" s="3391" t="s">
        <v>800</v>
      </c>
      <c r="U4" s="3392"/>
      <c r="V4" s="3378" t="s">
        <v>801</v>
      </c>
      <c r="W4" s="3378"/>
      <c r="X4" s="1552"/>
      <c r="Y4" s="3391" t="s">
        <v>803</v>
      </c>
      <c r="Z4" s="3392"/>
      <c r="AA4" s="3380" t="s">
        <v>799</v>
      </c>
      <c r="AB4" s="3381" t="s">
        <v>800</v>
      </c>
      <c r="AC4" s="3380" t="s">
        <v>801</v>
      </c>
    </row>
    <row r="5" spans="1:29">
      <c r="A5" s="515"/>
      <c r="B5" s="516"/>
      <c r="C5" s="3401" t="s">
        <v>2918</v>
      </c>
      <c r="D5" s="3400"/>
      <c r="E5" s="3420" t="s">
        <v>2919</v>
      </c>
      <c r="F5" s="3421"/>
      <c r="G5" s="3401" t="s">
        <v>2920</v>
      </c>
      <c r="H5" s="3400"/>
      <c r="I5" s="3401" t="s">
        <v>2921</v>
      </c>
      <c r="J5" s="3400"/>
      <c r="K5" s="514"/>
      <c r="L5" s="2117"/>
      <c r="M5" s="2118"/>
      <c r="N5" s="2118"/>
      <c r="O5" s="2118"/>
      <c r="P5" s="3387"/>
      <c r="Q5" s="3388"/>
      <c r="R5" s="3393"/>
      <c r="S5" s="3394"/>
      <c r="T5" s="3393"/>
      <c r="U5" s="3394"/>
      <c r="V5" s="3378"/>
      <c r="W5" s="3378"/>
      <c r="X5" s="1552"/>
      <c r="Y5" s="3393"/>
      <c r="Z5" s="3394"/>
      <c r="AA5" s="3381"/>
      <c r="AB5" s="3381"/>
      <c r="AC5" s="3381"/>
    </row>
    <row r="6" spans="1:29" ht="15" thickBot="1">
      <c r="A6" s="517"/>
      <c r="B6" s="518"/>
      <c r="C6" s="3397" t="s">
        <v>2922</v>
      </c>
      <c r="D6" s="3398"/>
      <c r="E6" s="3416" t="s">
        <v>2922</v>
      </c>
      <c r="F6" s="3417"/>
      <c r="G6" s="3397" t="s">
        <v>2922</v>
      </c>
      <c r="H6" s="3398"/>
      <c r="I6" s="3397" t="s">
        <v>2922</v>
      </c>
      <c r="J6" s="3398"/>
      <c r="K6" s="514" t="s">
        <v>528</v>
      </c>
      <c r="L6" s="2117"/>
      <c r="M6" s="2118"/>
      <c r="N6" s="2118"/>
      <c r="O6" s="2118"/>
      <c r="P6" s="3389"/>
      <c r="Q6" s="3390"/>
      <c r="R6" s="3393"/>
      <c r="S6" s="3394"/>
      <c r="T6" s="3395"/>
      <c r="U6" s="3396"/>
      <c r="V6" s="3378"/>
      <c r="W6" s="3378"/>
      <c r="X6" s="1552"/>
      <c r="Y6" s="3395"/>
      <c r="Z6" s="3396"/>
      <c r="AA6" s="3382"/>
      <c r="AB6" s="3382"/>
      <c r="AC6" s="3382"/>
    </row>
    <row r="7" spans="1:29" s="1216" customFormat="1" ht="15" thickBot="1">
      <c r="A7" s="2866"/>
      <c r="B7" s="2873" t="s">
        <v>529</v>
      </c>
      <c r="C7" s="519">
        <f>'数据-取费表'!B2</f>
        <v>43969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9" t="s">
        <v>530</v>
      </c>
      <c r="Q7" s="3411"/>
      <c r="R7" s="1553" t="s">
        <v>8</v>
      </c>
      <c r="S7" s="1554">
        <f t="shared" ref="S7:S14" si="0">F7</f>
        <v>0</v>
      </c>
      <c r="T7" s="1553" t="s">
        <v>8</v>
      </c>
      <c r="U7" s="1554">
        <f t="shared" ref="U7:U14" si="1">H7</f>
        <v>0</v>
      </c>
      <c r="V7" s="1553" t="s">
        <v>8</v>
      </c>
      <c r="W7" s="1554">
        <f t="shared" ref="W7:W14" si="2">J7</f>
        <v>0</v>
      </c>
      <c r="X7" s="1555"/>
      <c r="Y7" s="3409" t="s">
        <v>530</v>
      </c>
      <c r="Z7" s="3410"/>
      <c r="AA7" s="1556" t="e">
        <f>D7/F7</f>
        <v>#DIV/0!</v>
      </c>
      <c r="AB7" s="1556" t="e">
        <f>D7/H7</f>
        <v>#DIV/0!</v>
      </c>
      <c r="AC7" s="1556"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9" t="s">
        <v>533</v>
      </c>
      <c r="Q8" s="3410"/>
      <c r="R8" s="1553" t="s">
        <v>8</v>
      </c>
      <c r="S8" s="1554">
        <f t="shared" si="0"/>
        <v>0</v>
      </c>
      <c r="T8" s="1553" t="s">
        <v>8</v>
      </c>
      <c r="U8" s="1554">
        <f t="shared" si="1"/>
        <v>0</v>
      </c>
      <c r="V8" s="1553" t="s">
        <v>8</v>
      </c>
      <c r="W8" s="1554">
        <f t="shared" si="2"/>
        <v>0</v>
      </c>
      <c r="X8" s="1555"/>
      <c r="Y8" s="3409" t="s">
        <v>533</v>
      </c>
      <c r="Z8" s="3410"/>
      <c r="AA8" s="1556" t="e">
        <f t="shared" ref="AA8:AA34" si="3">D8/F8</f>
        <v>#DIV/0!</v>
      </c>
      <c r="AB8" s="1556" t="e">
        <f t="shared" ref="AB8:AB34" si="4">D8/H8</f>
        <v>#DIV/0!</v>
      </c>
      <c r="AC8" s="1556" t="e">
        <f t="shared" ref="AC8:AC34" si="5">D8/J8</f>
        <v>#DIV/0!</v>
      </c>
    </row>
    <row r="9" spans="1:29" s="1216"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7" t="s">
        <v>535</v>
      </c>
      <c r="Q9" s="1147" t="str">
        <f t="shared" ref="Q9:Q14" si="6">B9</f>
        <v>用途</v>
      </c>
      <c r="R9" s="1553" t="s">
        <v>8</v>
      </c>
      <c r="S9" s="1554">
        <f t="shared" si="0"/>
        <v>100</v>
      </c>
      <c r="T9" s="1553" t="s">
        <v>8</v>
      </c>
      <c r="U9" s="1554">
        <f t="shared" si="1"/>
        <v>100</v>
      </c>
      <c r="V9" s="1553" t="s">
        <v>8</v>
      </c>
      <c r="W9" s="1554">
        <f t="shared" si="2"/>
        <v>100</v>
      </c>
      <c r="X9" s="1555"/>
      <c r="Y9" s="3323" t="s">
        <v>536</v>
      </c>
      <c r="Z9" s="1146" t="str">
        <f t="shared" ref="Z9:Z14" si="7">Q9</f>
        <v>用途</v>
      </c>
      <c r="AA9" s="1556">
        <f t="shared" si="3"/>
        <v>1</v>
      </c>
      <c r="AB9" s="1556">
        <f t="shared" si="4"/>
        <v>1</v>
      </c>
      <c r="AC9" s="1556">
        <f t="shared" si="5"/>
        <v>1</v>
      </c>
    </row>
    <row r="10" spans="1:29" s="1334"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7"/>
      <c r="Q10" s="1147" t="str">
        <f t="shared" si="6"/>
        <v>土地使用年限（年）</v>
      </c>
      <c r="R10" s="1553" t="s">
        <v>8</v>
      </c>
      <c r="S10" s="1554">
        <f t="shared" si="0"/>
        <v>100</v>
      </c>
      <c r="T10" s="1553" t="s">
        <v>8</v>
      </c>
      <c r="U10" s="1554">
        <f t="shared" si="1"/>
        <v>100</v>
      </c>
      <c r="V10" s="1553" t="s">
        <v>8</v>
      </c>
      <c r="W10" s="1554">
        <f t="shared" si="2"/>
        <v>100</v>
      </c>
      <c r="X10" s="1555"/>
      <c r="Y10" s="3323"/>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7"/>
      <c r="Q11" s="1147">
        <f t="shared" si="6"/>
        <v>111</v>
      </c>
      <c r="R11" s="1553" t="s">
        <v>8</v>
      </c>
      <c r="S11" s="1554">
        <f t="shared" si="0"/>
        <v>100</v>
      </c>
      <c r="T11" s="1553" t="s">
        <v>8</v>
      </c>
      <c r="U11" s="1554">
        <f t="shared" si="1"/>
        <v>100</v>
      </c>
      <c r="V11" s="1553" t="s">
        <v>8</v>
      </c>
      <c r="W11" s="1554">
        <f t="shared" si="2"/>
        <v>100</v>
      </c>
      <c r="X11" s="1555"/>
      <c r="Y11" s="3323"/>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7"/>
      <c r="Q12" s="1147">
        <f t="shared" si="6"/>
        <v>111</v>
      </c>
      <c r="R12" s="1553" t="s">
        <v>8</v>
      </c>
      <c r="S12" s="1554">
        <f t="shared" si="0"/>
        <v>100</v>
      </c>
      <c r="T12" s="1553" t="s">
        <v>8</v>
      </c>
      <c r="U12" s="1554">
        <f t="shared" si="1"/>
        <v>100</v>
      </c>
      <c r="V12" s="1553" t="s">
        <v>8</v>
      </c>
      <c r="W12" s="1554">
        <f t="shared" si="2"/>
        <v>100</v>
      </c>
      <c r="X12" s="1555"/>
      <c r="Y12" s="3323"/>
      <c r="Z12" s="1146">
        <f t="shared" si="7"/>
        <v>111</v>
      </c>
      <c r="AA12" s="1556">
        <f>D12/F12</f>
        <v>1</v>
      </c>
      <c r="AB12" s="1556">
        <f>D12/H12</f>
        <v>1</v>
      </c>
      <c r="AC12" s="1556">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7"/>
      <c r="Q13" s="1147">
        <f t="shared" si="6"/>
        <v>111</v>
      </c>
      <c r="R13" s="1553" t="s">
        <v>8</v>
      </c>
      <c r="S13" s="1554">
        <f t="shared" si="0"/>
        <v>100</v>
      </c>
      <c r="T13" s="1553" t="s">
        <v>8</v>
      </c>
      <c r="U13" s="1554">
        <f t="shared" si="1"/>
        <v>100</v>
      </c>
      <c r="V13" s="1553" t="s">
        <v>8</v>
      </c>
      <c r="W13" s="1554">
        <f t="shared" si="2"/>
        <v>100</v>
      </c>
      <c r="X13" s="1555"/>
      <c r="Y13" s="3323"/>
      <c r="Z13" s="1146">
        <f t="shared" si="7"/>
        <v>111</v>
      </c>
      <c r="AA13" s="1556">
        <f t="shared" si="3"/>
        <v>1</v>
      </c>
      <c r="AB13" s="1556">
        <f t="shared" si="4"/>
        <v>1</v>
      </c>
      <c r="AC13" s="1556">
        <f t="shared" si="5"/>
        <v>1</v>
      </c>
    </row>
    <row r="14" spans="1:29" ht="15">
      <c r="A14" s="2864"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2" t="s">
        <v>540</v>
      </c>
      <c r="Q14" s="1557" t="str">
        <f t="shared" si="6"/>
        <v>交通便捷度</v>
      </c>
      <c r="R14" s="1558" t="s">
        <v>8</v>
      </c>
      <c r="S14" s="1559">
        <f t="shared" si="0"/>
        <v>100</v>
      </c>
      <c r="T14" s="1558" t="s">
        <v>8</v>
      </c>
      <c r="U14" s="1559">
        <f t="shared" si="1"/>
        <v>100</v>
      </c>
      <c r="V14" s="1558" t="s">
        <v>8</v>
      </c>
      <c r="W14" s="1559">
        <f t="shared" si="2"/>
        <v>100</v>
      </c>
      <c r="X14" s="1552"/>
      <c r="Y14" s="3412"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3"/>
      <c r="Q15" s="1557"/>
      <c r="R15" s="1558"/>
      <c r="S15" s="1559"/>
      <c r="T15" s="1558"/>
      <c r="U15" s="1559"/>
      <c r="V15" s="1558"/>
      <c r="W15" s="1559"/>
      <c r="X15" s="1552"/>
      <c r="Y15" s="3413"/>
      <c r="Z15" s="1560"/>
      <c r="AA15" s="1561">
        <v>1</v>
      </c>
      <c r="AB15" s="1561">
        <v>1</v>
      </c>
      <c r="AC15" s="1561">
        <v>1</v>
      </c>
    </row>
    <row r="16" spans="1:29" ht="15">
      <c r="A16" s="532"/>
      <c r="B16" s="2566"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3"/>
      <c r="Q17" s="1557"/>
      <c r="R17" s="1558"/>
      <c r="S17" s="1559"/>
      <c r="T17" s="1558"/>
      <c r="U17" s="1559"/>
      <c r="V17" s="1558"/>
      <c r="W17" s="1559"/>
      <c r="X17" s="1552"/>
      <c r="Y17" s="3413"/>
      <c r="Z17" s="1560"/>
      <c r="AA17" s="1561">
        <v>1</v>
      </c>
      <c r="AB17" s="1561">
        <v>1</v>
      </c>
      <c r="AC17" s="1561">
        <v>1</v>
      </c>
    </row>
    <row r="18" spans="1:29" ht="15">
      <c r="A18" s="532"/>
      <c r="B18" s="2554"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3"/>
      <c r="Q18" s="2542" t="str">
        <f>B18</f>
        <v>基础设施水平</v>
      </c>
      <c r="R18" s="1558" t="s">
        <v>8</v>
      </c>
      <c r="S18" s="1559">
        <f>F18</f>
        <v>100</v>
      </c>
      <c r="T18" s="1558" t="s">
        <v>8</v>
      </c>
      <c r="U18" s="1559">
        <f>H18</f>
        <v>100</v>
      </c>
      <c r="V18" s="1558" t="s">
        <v>8</v>
      </c>
      <c r="W18" s="1559">
        <f>J18</f>
        <v>100</v>
      </c>
      <c r="X18" s="2544"/>
      <c r="Y18" s="3413"/>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3"/>
      <c r="Q19" s="2542"/>
      <c r="R19" s="1558"/>
      <c r="S19" s="1559"/>
      <c r="T19" s="1558"/>
      <c r="U19" s="1559"/>
      <c r="V19" s="1558"/>
      <c r="W19" s="1559"/>
      <c r="X19" s="2544"/>
      <c r="Y19" s="3413"/>
      <c r="Z19" s="2543"/>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3"/>
      <c r="Q21" s="1557"/>
      <c r="R21" s="1558"/>
      <c r="S21" s="1559"/>
      <c r="T21" s="1558"/>
      <c r="U21" s="1559"/>
      <c r="V21" s="1558"/>
      <c r="W21" s="1559"/>
      <c r="X21" s="1552"/>
      <c r="Y21" s="3413"/>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3"/>
      <c r="Q24" s="1557">
        <f t="shared" ref="Q24:Q34" si="11">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3"/>
      <c r="Q25" s="1147">
        <f t="shared" si="11"/>
        <v>111</v>
      </c>
      <c r="R25" s="1553" t="s">
        <v>8</v>
      </c>
      <c r="S25" s="1554">
        <f>F25</f>
        <v>100</v>
      </c>
      <c r="T25" s="1553" t="s">
        <v>8</v>
      </c>
      <c r="U25" s="1554">
        <f>H25</f>
        <v>100</v>
      </c>
      <c r="V25" s="1553" t="s">
        <v>8</v>
      </c>
      <c r="W25" s="1554">
        <f>J25</f>
        <v>100</v>
      </c>
      <c r="X25" s="1555"/>
      <c r="Y25" s="3413"/>
      <c r="Z25" s="1146">
        <f>Q25</f>
        <v>111</v>
      </c>
      <c r="AA25" s="1561">
        <f>D25/F25</f>
        <v>1</v>
      </c>
      <c r="AB25" s="1561">
        <f>D25/H25</f>
        <v>1</v>
      </c>
      <c r="AC25" s="1561">
        <f>D25/J25</f>
        <v>1</v>
      </c>
    </row>
    <row r="26" spans="1:29" ht="15">
      <c r="A26" s="2861"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5"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5"/>
      <c r="Q27" s="1589" t="str">
        <f t="shared" si="11"/>
        <v>成新率</v>
      </c>
      <c r="R27" s="1562" t="s">
        <v>8</v>
      </c>
      <c r="S27" s="1563" t="e">
        <f t="shared" si="12"/>
        <v>#N/A</v>
      </c>
      <c r="T27" s="1562" t="s">
        <v>8</v>
      </c>
      <c r="U27" s="1563" t="e">
        <f t="shared" si="13"/>
        <v>#N/A</v>
      </c>
      <c r="V27" s="1562" t="s">
        <v>8</v>
      </c>
      <c r="W27" s="1563" t="e">
        <f t="shared" si="14"/>
        <v>#N/A</v>
      </c>
      <c r="X27" s="1564"/>
      <c r="Y27" s="3415"/>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5"/>
      <c r="Q28" s="1557" t="str">
        <f t="shared" si="11"/>
        <v>物业等级</v>
      </c>
      <c r="R28" s="1558" t="s">
        <v>8</v>
      </c>
      <c r="S28" s="1559">
        <f t="shared" si="12"/>
        <v>100</v>
      </c>
      <c r="T28" s="1558" t="s">
        <v>8</v>
      </c>
      <c r="U28" s="1559">
        <f t="shared" si="13"/>
        <v>100</v>
      </c>
      <c r="V28" s="1558" t="s">
        <v>8</v>
      </c>
      <c r="W28" s="1559">
        <f t="shared" si="14"/>
        <v>100</v>
      </c>
      <c r="X28" s="1552"/>
      <c r="Y28" s="3415"/>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5"/>
      <c r="Q29" s="1557" t="str">
        <f t="shared" si="11"/>
        <v>有无电梯</v>
      </c>
      <c r="R29" s="1558" t="s">
        <v>8</v>
      </c>
      <c r="S29" s="1559">
        <f t="shared" si="12"/>
        <v>100</v>
      </c>
      <c r="T29" s="1558" t="s">
        <v>8</v>
      </c>
      <c r="U29" s="1559">
        <f t="shared" si="13"/>
        <v>100</v>
      </c>
      <c r="V29" s="1558" t="s">
        <v>8</v>
      </c>
      <c r="W29" s="1559">
        <f t="shared" si="14"/>
        <v>100</v>
      </c>
      <c r="X29" s="1552"/>
      <c r="Y29" s="3415"/>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5"/>
      <c r="Q30" s="1557" t="str">
        <f t="shared" si="11"/>
        <v>建筑面积</v>
      </c>
      <c r="R30" s="1558" t="s">
        <v>8</v>
      </c>
      <c r="S30" s="1559" t="e">
        <f t="shared" si="12"/>
        <v>#N/A</v>
      </c>
      <c r="T30" s="1558" t="s">
        <v>8</v>
      </c>
      <c r="U30" s="1559" t="e">
        <f t="shared" si="13"/>
        <v>#N/A</v>
      </c>
      <c r="V30" s="1558" t="s">
        <v>8</v>
      </c>
      <c r="W30" s="1559" t="e">
        <f t="shared" si="14"/>
        <v>#N/A</v>
      </c>
      <c r="X30" s="1552"/>
      <c r="Y30" s="3415"/>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5"/>
      <c r="Q31" s="1147" t="str">
        <f t="shared" si="11"/>
        <v>是否封闭</v>
      </c>
      <c r="R31" s="1553" t="s">
        <v>8</v>
      </c>
      <c r="S31" s="1554">
        <f t="shared" si="12"/>
        <v>100</v>
      </c>
      <c r="T31" s="1553" t="s">
        <v>8</v>
      </c>
      <c r="U31" s="1554">
        <f t="shared" si="13"/>
        <v>100</v>
      </c>
      <c r="V31" s="1553" t="s">
        <v>8</v>
      </c>
      <c r="W31" s="1554">
        <f t="shared" si="14"/>
        <v>100</v>
      </c>
      <c r="X31" s="1555"/>
      <c r="Y31" s="3415"/>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5" t="s">
        <v>550</v>
      </c>
      <c r="Q32" s="1557">
        <f t="shared" si="11"/>
        <v>111</v>
      </c>
      <c r="R32" s="1558" t="s">
        <v>8</v>
      </c>
      <c r="S32" s="1559">
        <f t="shared" si="12"/>
        <v>100</v>
      </c>
      <c r="T32" s="1558" t="s">
        <v>8</v>
      </c>
      <c r="U32" s="1559">
        <f t="shared" si="13"/>
        <v>100</v>
      </c>
      <c r="V32" s="1558" t="s">
        <v>8</v>
      </c>
      <c r="W32" s="1559">
        <f t="shared" si="14"/>
        <v>100</v>
      </c>
      <c r="X32" s="1552"/>
      <c r="Y32" s="3415"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5"/>
      <c r="Q33" s="1557">
        <f t="shared" si="11"/>
        <v>111</v>
      </c>
      <c r="R33" s="1558" t="s">
        <v>8</v>
      </c>
      <c r="S33" s="1559">
        <f t="shared" si="12"/>
        <v>100</v>
      </c>
      <c r="T33" s="1558" t="s">
        <v>8</v>
      </c>
      <c r="U33" s="1559">
        <f t="shared" si="13"/>
        <v>100</v>
      </c>
      <c r="V33" s="1558" t="s">
        <v>8</v>
      </c>
      <c r="W33" s="1559">
        <f t="shared" si="14"/>
        <v>100</v>
      </c>
      <c r="X33" s="1552"/>
      <c r="Y33" s="3415"/>
      <c r="Z33" s="1560">
        <f t="shared" si="15"/>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5"/>
      <c r="Q34" s="1557">
        <f t="shared" si="11"/>
        <v>111</v>
      </c>
      <c r="R34" s="1558" t="s">
        <v>8</v>
      </c>
      <c r="S34" s="1559">
        <f t="shared" si="12"/>
        <v>100</v>
      </c>
      <c r="T34" s="1558" t="s">
        <v>8</v>
      </c>
      <c r="U34" s="1559">
        <f t="shared" si="13"/>
        <v>100</v>
      </c>
      <c r="V34" s="1558" t="s">
        <v>8</v>
      </c>
      <c r="W34" s="1559">
        <f t="shared" si="14"/>
        <v>100</v>
      </c>
      <c r="X34" s="1552"/>
      <c r="Y34" s="3415"/>
      <c r="Z34" s="1560">
        <f t="shared" si="15"/>
        <v>111</v>
      </c>
      <c r="AA34" s="1561">
        <f t="shared" si="3"/>
        <v>1</v>
      </c>
      <c r="AB34" s="1561">
        <f t="shared" si="4"/>
        <v>1</v>
      </c>
      <c r="AC34" s="1561">
        <f t="shared" si="5"/>
        <v>1</v>
      </c>
    </row>
    <row r="35" spans="1:29" ht="14.4">
      <c r="A35" s="607" t="s">
        <v>736</v>
      </c>
      <c r="B35" s="887"/>
      <c r="C35" s="2590" t="s">
        <v>1</v>
      </c>
      <c r="D35" s="2591"/>
      <c r="E35" s="2592"/>
      <c r="F35" s="2593"/>
      <c r="G35" s="2594"/>
      <c r="H35" s="2595"/>
      <c r="I35" s="2592"/>
      <c r="J35" s="2595"/>
      <c r="K35" s="1595"/>
      <c r="L35" s="2128"/>
      <c r="M35" s="2129"/>
      <c r="N35" s="2118"/>
      <c r="O35" s="2129"/>
      <c r="P35" s="3377" t="str">
        <f>A35</f>
        <v>成交单价（元/平方米）</v>
      </c>
      <c r="Q35" s="3377"/>
      <c r="R35" s="3472">
        <f>E35</f>
        <v>0</v>
      </c>
      <c r="S35" s="3472"/>
      <c r="T35" s="3472">
        <f>G35</f>
        <v>0</v>
      </c>
      <c r="U35" s="3472"/>
      <c r="V35" s="3472">
        <f>I35</f>
        <v>0</v>
      </c>
      <c r="W35" s="3472"/>
      <c r="X35" s="1544"/>
      <c r="Y35" s="1566"/>
      <c r="Z35" s="1544"/>
      <c r="AA35" s="1544"/>
      <c r="AB35" s="1544"/>
      <c r="AC35" s="1544"/>
    </row>
    <row r="36" spans="1:29" ht="15" thickBot="1">
      <c r="A36" s="615" t="s">
        <v>2757</v>
      </c>
      <c r="B36" s="888"/>
      <c r="C36" s="2596" t="e">
        <f>R37</f>
        <v>#DIV/0!</v>
      </c>
      <c r="D36" s="2597"/>
      <c r="E36" s="2598" t="e">
        <f>R36</f>
        <v>#DIV/0!</v>
      </c>
      <c r="F36" s="2598"/>
      <c r="G36" s="2596" t="e">
        <f>T36</f>
        <v>#DIV/0!</v>
      </c>
      <c r="H36" s="2597"/>
      <c r="I36" s="2598" t="e">
        <f>V36</f>
        <v>#DIV/0!</v>
      </c>
      <c r="J36" s="2597"/>
      <c r="K36" s="1596"/>
      <c r="L36" s="2128"/>
      <c r="M36" s="2129"/>
      <c r="N36" s="2118"/>
      <c r="O36" s="2129"/>
      <c r="P36" s="3377" t="str">
        <f>A36</f>
        <v>比较价格（元/平方米）</v>
      </c>
      <c r="Q36" s="3377"/>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4"/>
      <c r="Y36" s="1544"/>
      <c r="Z36" s="1544"/>
      <c r="AA36" s="1544"/>
      <c r="AB36" s="1544"/>
      <c r="AC36" s="1544"/>
    </row>
    <row r="37" spans="1:29" ht="15" thickBot="1">
      <c r="A37" s="621" t="s">
        <v>2924</v>
      </c>
      <c r="B37" s="622"/>
      <c r="C37" s="2599" t="e">
        <f>R37</f>
        <v>#DIV/0!</v>
      </c>
      <c r="D37" s="2599"/>
      <c r="E37" s="2599"/>
      <c r="F37" s="2599"/>
      <c r="G37" s="2599"/>
      <c r="H37" s="2599"/>
      <c r="I37" s="2599"/>
      <c r="J37" s="2599"/>
      <c r="K37" s="1597"/>
      <c r="L37" s="2128"/>
      <c r="M37" s="2129"/>
      <c r="N37" s="2129"/>
      <c r="O37" s="2129"/>
      <c r="P37" s="3374" t="str">
        <f>A37</f>
        <v>估价对象XX用房的比较价格（楼面单价，元/平方米）</v>
      </c>
      <c r="Q37" s="3375"/>
      <c r="R37" s="3471" t="e">
        <f>IF(F1="售价",ROUND(AVERAGE(R36:V36),0),ROUND(AVERAGE(R36:V36),1))</f>
        <v>#DIV/0!</v>
      </c>
      <c r="S37" s="3471"/>
      <c r="T37" s="3471"/>
      <c r="U37" s="3471"/>
      <c r="V37" s="3471"/>
      <c r="W37" s="347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05" t="s">
        <v>2302</v>
      </c>
      <c r="D1" s="3506"/>
      <c r="E1" s="3506"/>
      <c r="F1" s="3506"/>
      <c r="G1" s="3506"/>
      <c r="H1" s="3506"/>
      <c r="I1" s="3506"/>
      <c r="J1" s="3506"/>
      <c r="K1" s="3506"/>
      <c r="L1" s="3506"/>
      <c r="M1" s="3506"/>
      <c r="N1" s="3506"/>
      <c r="O1" s="3506"/>
      <c r="P1" s="3506"/>
      <c r="Q1" s="3506"/>
      <c r="R1" s="3506"/>
      <c r="S1" s="3507"/>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6" t="s">
        <v>2917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8" t="s">
        <v>2916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8" t="s">
        <v>2915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6" t="s">
        <v>2928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6" t="s">
        <v>2914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6" t="s">
        <v>2913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43969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57" sqref="O57"/>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70" zoomScaleNormal="70" workbookViewId="0">
      <selection activeCell="R2" sqref="R1:R2"/>
    </sheetView>
  </sheetViews>
  <sheetFormatPr defaultRowHeight="14.4"/>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2036</v>
      </c>
      <c r="B1" s="3214"/>
      <c r="C1" s="3214"/>
      <c r="D1" s="3214"/>
      <c r="E1" s="3214"/>
      <c r="F1" s="3214"/>
      <c r="G1" s="3214"/>
      <c r="H1" s="3214"/>
      <c r="I1" s="3214"/>
      <c r="J1" s="3214"/>
      <c r="K1" s="3214"/>
      <c r="L1" s="3214"/>
      <c r="M1" s="3214"/>
      <c r="N1" s="3214"/>
      <c r="O1" s="3214"/>
      <c r="P1" s="3214"/>
      <c r="Q1" s="3214"/>
      <c r="R1" s="3214"/>
    </row>
    <row r="2" spans="1:18">
      <c r="A2" s="1791" t="s">
        <v>2038</v>
      </c>
      <c r="B2" s="1791"/>
      <c r="C2" s="1791"/>
      <c r="D2" s="1791"/>
      <c r="E2" s="1791"/>
      <c r="F2" s="1791"/>
      <c r="G2" s="1791"/>
      <c r="H2" s="1791"/>
      <c r="I2" s="1792"/>
      <c r="J2" s="1792"/>
      <c r="K2" s="1793" t="str">
        <f>"估价期日："&amp;TEXT(项目基本情况!D3,"yyyy年m月d日;;")</f>
        <v>估价期日：2020年5月18日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5" t="s">
        <v>2027</v>
      </c>
      <c r="B3" s="3215" t="s">
        <v>2728</v>
      </c>
      <c r="C3" s="3216" t="s">
        <v>2028</v>
      </c>
      <c r="D3" s="3215" t="s">
        <v>2732</v>
      </c>
      <c r="E3" s="3210" t="s">
        <v>2029</v>
      </c>
      <c r="F3" s="3210"/>
      <c r="G3" s="3210"/>
      <c r="H3" s="3210" t="s">
        <v>2030</v>
      </c>
      <c r="I3" s="3210"/>
      <c r="J3" s="3210"/>
      <c r="K3" s="3216" t="s">
        <v>2031</v>
      </c>
      <c r="L3" s="3216" t="s">
        <v>2032</v>
      </c>
      <c r="M3" s="3215" t="s">
        <v>2729</v>
      </c>
      <c r="N3" s="3217" t="str">
        <f>"（分摊）"&amp;项目基本情况!B16&amp;"国有建设用地使用权面积/㎡"</f>
        <v>（分摊）出让国有建设用地使用权面积/㎡</v>
      </c>
      <c r="O3" s="3215" t="s">
        <v>2061</v>
      </c>
      <c r="P3" s="3216" t="s">
        <v>2041</v>
      </c>
      <c r="Q3" s="3216" t="s">
        <v>2062</v>
      </c>
      <c r="R3" s="3216" t="s">
        <v>2033</v>
      </c>
    </row>
    <row r="4" spans="1:18" ht="36.75" customHeight="1">
      <c r="A4" s="3215"/>
      <c r="B4" s="3215"/>
      <c r="C4" s="3216"/>
      <c r="D4" s="3215"/>
      <c r="E4" s="2612" t="s">
        <v>2040</v>
      </c>
      <c r="F4" s="2612" t="s">
        <v>2741</v>
      </c>
      <c r="G4" s="2612" t="s">
        <v>2034</v>
      </c>
      <c r="H4" s="2612" t="s">
        <v>2035</v>
      </c>
      <c r="I4" s="2612" t="s">
        <v>2742</v>
      </c>
      <c r="J4" s="2612" t="s">
        <v>2034</v>
      </c>
      <c r="K4" s="3216"/>
      <c r="L4" s="3216"/>
      <c r="M4" s="3215"/>
      <c r="N4" s="3217"/>
      <c r="O4" s="3215"/>
      <c r="P4" s="3216"/>
      <c r="Q4" s="3216"/>
      <c r="R4" s="3216"/>
    </row>
    <row r="5" spans="1:18" ht="135" customHeight="1">
      <c r="A5" s="1927" t="s">
        <v>2652</v>
      </c>
      <c r="B5" s="2821" t="s">
        <v>2650</v>
      </c>
      <c r="C5" s="2611">
        <v>22</v>
      </c>
      <c r="D5" s="2610" t="s">
        <v>2651</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53313</v>
      </c>
      <c r="O5" s="1794">
        <f>项目基本情况!C21</f>
        <v>302059</v>
      </c>
      <c r="P5" s="1794">
        <f ca="1">结果表!E42</f>
        <v>19470</v>
      </c>
      <c r="Q5" s="1794">
        <f ca="1">结果表!D42</f>
        <v>3436</v>
      </c>
      <c r="R5" s="1795">
        <f ca="1">结果表!C42</f>
        <v>103798</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6">
        <f ca="1">结果表!O39</f>
        <v>103798</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6"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9" t="s">
        <v>2063</v>
      </c>
      <c r="B1" s="3219"/>
      <c r="C1" s="3219"/>
      <c r="D1" s="3219"/>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18" t="s">
        <v>2064</v>
      </c>
      <c r="B5" s="3218"/>
      <c r="C5" s="3218"/>
      <c r="D5" s="3218"/>
    </row>
    <row r="6" spans="1:4">
      <c r="A6" s="3219" t="s">
        <v>2042</v>
      </c>
      <c r="B6" s="3219"/>
      <c r="C6" s="3219"/>
      <c r="D6" s="3219"/>
    </row>
    <row r="7" spans="1:4" ht="33" customHeight="1">
      <c r="A7" s="3219" t="s">
        <v>2572</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18" t="s">
        <v>2066</v>
      </c>
      <c r="B12" s="3218"/>
      <c r="C12" s="3218"/>
      <c r="D12" s="3218"/>
    </row>
    <row r="13" spans="1:4">
      <c r="A13" s="3222" t="s">
        <v>2743</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2699</v>
      </c>
      <c r="B17" s="3219"/>
      <c r="C17" s="3219"/>
      <c r="D17" s="3219"/>
    </row>
    <row r="18" spans="1:4">
      <c r="A18" s="3219" t="s">
        <v>2691</v>
      </c>
      <c r="B18" s="3219"/>
      <c r="C18" s="3219"/>
      <c r="D18" s="3219"/>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19" t="s">
        <v>2696</v>
      </c>
      <c r="B23" s="3219"/>
      <c r="C23" s="3219"/>
      <c r="D23" s="3219"/>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30" t="s">
        <v>53</v>
      </c>
      <c r="B15" s="3231" t="s">
        <v>846</v>
      </c>
      <c r="C15" s="3227"/>
    </row>
    <row r="16" spans="1:7" ht="14.4">
      <c r="A16" s="3230"/>
      <c r="B16" s="3228" t="s">
        <v>54</v>
      </c>
      <c r="C16" s="1168" t="s">
        <v>53</v>
      </c>
    </row>
    <row r="17" spans="1:3" ht="14.4">
      <c r="A17" s="3230"/>
      <c r="B17" s="3228"/>
      <c r="C17" s="1168" t="s">
        <v>55</v>
      </c>
    </row>
    <row r="18" spans="1:3" ht="14.4">
      <c r="A18" s="3230"/>
      <c r="B18" s="3228"/>
      <c r="C18" s="1168" t="s">
        <v>56</v>
      </c>
    </row>
    <row r="19" spans="1:3" ht="14.4">
      <c r="A19" s="3230"/>
      <c r="B19" s="3226" t="s">
        <v>57</v>
      </c>
      <c r="C19" s="3227"/>
    </row>
    <row r="20" spans="1:3" ht="14.4">
      <c r="A20" s="1169" t="s">
        <v>58</v>
      </c>
      <c r="B20" s="1170"/>
      <c r="C20" s="1171"/>
    </row>
    <row r="21" spans="1:3" ht="14.4">
      <c r="A21" s="3229" t="s">
        <v>59</v>
      </c>
      <c r="B21" s="3226" t="s">
        <v>60</v>
      </c>
      <c r="C21" s="3227"/>
    </row>
    <row r="22" spans="1:3" ht="14.4">
      <c r="A22" s="3229"/>
      <c r="B22" s="3226" t="s">
        <v>61</v>
      </c>
      <c r="C22" s="3227"/>
    </row>
    <row r="23" spans="1:3" ht="14.4">
      <c r="A23" s="3229"/>
      <c r="B23" s="3226" t="s">
        <v>62</v>
      </c>
      <c r="C23" s="3227"/>
    </row>
    <row r="24" spans="1:3" ht="14.4">
      <c r="A24" s="3229"/>
      <c r="B24" s="3232" t="s">
        <v>63</v>
      </c>
      <c r="C24" s="1172" t="s">
        <v>837</v>
      </c>
    </row>
    <row r="25" spans="1:3" ht="14.4">
      <c r="A25" s="3229"/>
      <c r="B25" s="3233"/>
      <c r="C25" s="1172" t="s">
        <v>838</v>
      </c>
    </row>
    <row r="26" spans="1:3" ht="14.4">
      <c r="A26" s="3229"/>
      <c r="B26" s="3233"/>
      <c r="C26" s="1172" t="s">
        <v>839</v>
      </c>
    </row>
    <row r="27" spans="1:3" ht="14.4">
      <c r="A27" s="3229"/>
      <c r="B27" s="3233"/>
      <c r="C27" s="1172" t="s">
        <v>840</v>
      </c>
    </row>
    <row r="28" spans="1:3" ht="14.4">
      <c r="A28" s="3229"/>
      <c r="B28" s="3233"/>
      <c r="C28" s="1172" t="s">
        <v>841</v>
      </c>
    </row>
    <row r="29" spans="1:3" ht="14.4">
      <c r="A29" s="3229"/>
      <c r="B29" s="3233"/>
      <c r="C29" s="1172" t="s">
        <v>842</v>
      </c>
    </row>
    <row r="30" spans="1:3" ht="14.4">
      <c r="A30" s="3229"/>
      <c r="B30" s="3233"/>
      <c r="C30" s="1172" t="s">
        <v>843</v>
      </c>
    </row>
    <row r="31" spans="1:3" ht="14.4">
      <c r="A31" s="3229"/>
      <c r="B31" s="3233"/>
      <c r="C31" s="1172" t="s">
        <v>844</v>
      </c>
    </row>
    <row r="32" spans="1:3" ht="14.4">
      <c r="A32" s="3229"/>
      <c r="B32" s="3233"/>
      <c r="C32" s="1172" t="s">
        <v>1646</v>
      </c>
    </row>
    <row r="33" spans="1:3" ht="14.4">
      <c r="A33" s="3229"/>
      <c r="B33" s="3223" t="s">
        <v>1652</v>
      </c>
      <c r="C33" s="1172" t="s">
        <v>1647</v>
      </c>
    </row>
    <row r="34" spans="1:3" ht="14.4">
      <c r="A34" s="3229"/>
      <c r="B34" s="3224"/>
      <c r="C34" s="1177" t="s">
        <v>1648</v>
      </c>
    </row>
    <row r="35" spans="1:3" ht="14.4">
      <c r="A35" s="3229"/>
      <c r="B35" s="3224"/>
      <c r="C35" s="1178" t="s">
        <v>1649</v>
      </c>
    </row>
    <row r="36" spans="1:3" ht="14.4">
      <c r="A36" s="3229"/>
      <c r="B36" s="3224"/>
      <c r="C36" s="1178" t="s">
        <v>1650</v>
      </c>
    </row>
    <row r="37" spans="1:3" ht="14.4">
      <c r="A37" s="3229"/>
      <c r="B37" s="3225"/>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1907</v>
      </c>
      <c r="B2" s="3122">
        <f ca="1">TODAY()</f>
        <v>43975</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44876</v>
      </c>
      <c r="D4" s="3126" t="s">
        <v>1914</v>
      </c>
      <c r="E4" s="3126">
        <f ca="1">IF(F4&lt;B2,"已过期",96010014)</f>
        <v>96010014</v>
      </c>
      <c r="F4" s="3129">
        <v>47118</v>
      </c>
    </row>
    <row r="5" spans="1:6" ht="20.25" customHeight="1">
      <c r="A5" s="3126"/>
      <c r="B5" s="3126"/>
      <c r="C5" s="3128"/>
      <c r="D5" s="3126"/>
      <c r="E5" s="3126"/>
      <c r="F5" s="3129"/>
    </row>
    <row r="6" spans="1:6" ht="20.25" customHeight="1">
      <c r="A6" s="3126" t="s">
        <v>1915</v>
      </c>
      <c r="B6" s="3126">
        <f ca="1">IF(C6&lt;B2,"已过期",1119970111)</f>
        <v>1119970111</v>
      </c>
      <c r="C6" s="3128">
        <v>44876</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44876</v>
      </c>
      <c r="D8" s="3126" t="s">
        <v>1917</v>
      </c>
      <c r="E8" s="3126">
        <f ca="1">IF(F8&lt;B2,"已过期",2000110082)</f>
        <v>2000110082</v>
      </c>
      <c r="F8" s="3129">
        <v>46387</v>
      </c>
    </row>
    <row r="9" spans="1:6" ht="20.25" customHeight="1">
      <c r="A9" s="3126" t="s">
        <v>1918</v>
      </c>
      <c r="B9" s="3126">
        <f ca="1">IF(C9&lt;B2,"已过期",1419970001)</f>
        <v>1419970001</v>
      </c>
      <c r="C9" s="3128">
        <v>44899</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44849</v>
      </c>
      <c r="D13" s="3126" t="s">
        <v>1921</v>
      </c>
      <c r="E13" s="3126">
        <f ca="1">IF(F13&lt;B2,"已过期",2014110011)</f>
        <v>2014110011</v>
      </c>
      <c r="F13" s="3129">
        <v>49302</v>
      </c>
    </row>
    <row r="14" spans="1:6" ht="20.25" customHeight="1">
      <c r="A14" s="3126" t="s">
        <v>2969</v>
      </c>
      <c r="B14" s="3126">
        <f ca="1">IF(C14&lt;B2,"已过期",1120040230)</f>
        <v>1120040230</v>
      </c>
      <c r="C14" s="3130">
        <v>44864</v>
      </c>
      <c r="D14" s="3131" t="s">
        <v>2970</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2983</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t="s">
        <v>2985</v>
      </c>
      <c r="B23" s="3126">
        <v>1119980106</v>
      </c>
      <c r="C23" s="3128">
        <v>43916</v>
      </c>
      <c r="D23" s="3126" t="s">
        <v>2987</v>
      </c>
      <c r="E23" s="3126">
        <v>96010063</v>
      </c>
      <c r="F23" s="3129">
        <v>47118</v>
      </c>
    </row>
    <row r="24" spans="1:7" s="3134" customFormat="1" ht="20.25" customHeight="1">
      <c r="A24" s="3125" t="s">
        <v>2051</v>
      </c>
      <c r="B24" s="3125" t="s">
        <v>2051</v>
      </c>
      <c r="C24" s="3128"/>
      <c r="D24" s="3133" t="s">
        <v>2051</v>
      </c>
      <c r="E24" s="3125" t="s">
        <v>2051</v>
      </c>
      <c r="F24" s="3132"/>
    </row>
    <row r="25" spans="1:7" ht="20.25" customHeight="1">
      <c r="A25" s="3234" t="s">
        <v>1924</v>
      </c>
      <c r="B25" s="3234"/>
      <c r="C25" s="3234"/>
      <c r="D25" s="3234"/>
      <c r="E25" s="3234"/>
      <c r="F25" s="3234"/>
      <c r="G25" s="3234"/>
    </row>
    <row r="26" spans="1:7" ht="20.25" customHeight="1">
      <c r="A26" s="3235" t="s">
        <v>1925</v>
      </c>
      <c r="B26" s="3235"/>
      <c r="C26" s="3235"/>
      <c r="D26" s="3235" t="s">
        <v>1926</v>
      </c>
      <c r="E26" s="3235"/>
      <c r="F26" s="3235"/>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44820</v>
      </c>
      <c r="D28" s="3137" t="s">
        <v>1932</v>
      </c>
      <c r="E28" s="3137" t="s">
        <v>1933</v>
      </c>
      <c r="F28" s="3138">
        <v>44377</v>
      </c>
    </row>
    <row r="29" spans="1:7" s="3121" customFormat="1" ht="20.25" customHeight="1">
      <c r="A29" s="3137"/>
      <c r="B29" s="3137"/>
      <c r="C29" s="3139"/>
      <c r="D29" s="3137" t="s">
        <v>1934</v>
      </c>
      <c r="E29" s="3137" t="s">
        <v>2984</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52" priority="151">
      <formula>AND($C24-TODAY()&lt;30,TODAY()&lt;$C24)</formula>
    </cfRule>
  </conditionalFormatting>
  <conditionalFormatting sqref="C28">
    <cfRule type="expression" dxfId="251" priority="150">
      <formula>AND($C28-TODAY()&lt;30,TODAY()&lt;$C28)</formula>
    </cfRule>
  </conditionalFormatting>
  <conditionalFormatting sqref="C28 F4">
    <cfRule type="cellIs" dxfId="250" priority="152" stopIfTrue="1" operator="lessThan">
      <formula>$B$2</formula>
    </cfRule>
  </conditionalFormatting>
  <conditionalFormatting sqref="F5">
    <cfRule type="cellIs" dxfId="249" priority="148" stopIfTrue="1" operator="lessThan">
      <formula>$B$2</formula>
    </cfRule>
  </conditionalFormatting>
  <conditionalFormatting sqref="F6 F8 F10">
    <cfRule type="cellIs" dxfId="248" priority="146" stopIfTrue="1" operator="lessThan">
      <formula>$B$2</formula>
    </cfRule>
  </conditionalFormatting>
  <conditionalFormatting sqref="C24:D24">
    <cfRule type="expression" dxfId="247" priority="144">
      <formula>AND($C24-TODAY()&lt;30,TODAY()&lt;$C24)</formula>
    </cfRule>
  </conditionalFormatting>
  <conditionalFormatting sqref="F7 F9 F11 C24:D24">
    <cfRule type="cellIs" dxfId="246" priority="145" stopIfTrue="1" operator="lessThan">
      <formula>$B$2</formula>
    </cfRule>
  </conditionalFormatting>
  <conditionalFormatting sqref="F22">
    <cfRule type="cellIs" dxfId="245" priority="116" stopIfTrue="1" operator="lessThan">
      <formula>$B$2</formula>
    </cfRule>
  </conditionalFormatting>
  <conditionalFormatting sqref="F21">
    <cfRule type="cellIs" dxfId="244" priority="115" stopIfTrue="1" operator="lessThan">
      <formula>$B$2</formula>
    </cfRule>
  </conditionalFormatting>
  <conditionalFormatting sqref="B4:B11 E4:E11 E19:E22 B17 B13 E13 B19:B23">
    <cfRule type="cellIs" dxfId="243" priority="113" stopIfTrue="1" operator="equal">
      <formula>"已过期"</formula>
    </cfRule>
  </conditionalFormatting>
  <conditionalFormatting sqref="F28">
    <cfRule type="cellIs" dxfId="242" priority="110" stopIfTrue="1" operator="lessThan">
      <formula>$B$2</formula>
    </cfRule>
  </conditionalFormatting>
  <conditionalFormatting sqref="F28">
    <cfRule type="expression" dxfId="241" priority="154">
      <formula>AND($E28-TODAY()&lt;30,TODAY()&lt;$E28)</formula>
    </cfRule>
  </conditionalFormatting>
  <conditionalFormatting sqref="C5">
    <cfRule type="expression" dxfId="240" priority="105">
      <formula>AND($C5-TODAY()&lt;30,TODAY()&lt;$C5)</formula>
    </cfRule>
  </conditionalFormatting>
  <conditionalFormatting sqref="C5">
    <cfRule type="cellIs" dxfId="239" priority="106" stopIfTrue="1" operator="lessThan">
      <formula>$B$2</formula>
    </cfRule>
  </conditionalFormatting>
  <conditionalFormatting sqref="C5:C6">
    <cfRule type="expression" dxfId="238" priority="103">
      <formula>AND($C5-TODAY()&lt;30,TODAY()&lt;$C5)</formula>
    </cfRule>
  </conditionalFormatting>
  <conditionalFormatting sqref="C5:C6">
    <cfRule type="cellIs" dxfId="237" priority="104" stopIfTrue="1" operator="lessThan">
      <formula>$B$2</formula>
    </cfRule>
  </conditionalFormatting>
  <conditionalFormatting sqref="C7">
    <cfRule type="expression" dxfId="236" priority="84">
      <formula>AND($C7-TODAY()&lt;30,TODAY()&lt;$C7)</formula>
    </cfRule>
  </conditionalFormatting>
  <conditionalFormatting sqref="C7">
    <cfRule type="cellIs" dxfId="235" priority="85" stopIfTrue="1" operator="lessThan">
      <formula>$B$2</formula>
    </cfRule>
  </conditionalFormatting>
  <conditionalFormatting sqref="C13 C23 C17 C19:C21">
    <cfRule type="expression" dxfId="234" priority="82">
      <formula>AND($C13-TODAY()&lt;30,TODAY()&lt;$C13)</formula>
    </cfRule>
  </conditionalFormatting>
  <conditionalFormatting sqref="C13 C23 C17 C19:C21">
    <cfRule type="cellIs" dxfId="233" priority="83" stopIfTrue="1" operator="lessThan">
      <formula>$B$2</formula>
    </cfRule>
  </conditionalFormatting>
  <conditionalFormatting sqref="F13">
    <cfRule type="cellIs" dxfId="232" priority="81" stopIfTrue="1" operator="lessThan">
      <formula>$B$2</formula>
    </cfRule>
  </conditionalFormatting>
  <conditionalFormatting sqref="F12">
    <cfRule type="cellIs" dxfId="231" priority="73" stopIfTrue="1" operator="lessThan">
      <formula>$B$2</formula>
    </cfRule>
  </conditionalFormatting>
  <conditionalFormatting sqref="B12 E12">
    <cfRule type="cellIs" dxfId="230" priority="72" stopIfTrue="1" operator="equal">
      <formula>"已过期"</formula>
    </cfRule>
  </conditionalFormatting>
  <conditionalFormatting sqref="C12">
    <cfRule type="expression" dxfId="229" priority="70">
      <formula>AND($C12-TODAY()&lt;30,TODAY()&lt;$C12)</formula>
    </cfRule>
  </conditionalFormatting>
  <conditionalFormatting sqref="C12">
    <cfRule type="cellIs" dxfId="228" priority="71" stopIfTrue="1" operator="lessThan">
      <formula>$B$2</formula>
    </cfRule>
  </conditionalFormatting>
  <conditionalFormatting sqref="C22">
    <cfRule type="expression" dxfId="227" priority="62">
      <formula>AND($C22-TODAY()&lt;30,TODAY()&lt;$C22)</formula>
    </cfRule>
  </conditionalFormatting>
  <conditionalFormatting sqref="C22">
    <cfRule type="cellIs" dxfId="226" priority="63" stopIfTrue="1" operator="lessThan">
      <formula>$B$2</formula>
    </cfRule>
  </conditionalFormatting>
  <conditionalFormatting sqref="C16">
    <cfRule type="expression" dxfId="225" priority="60">
      <formula>AND($C16-TODAY()&lt;30,TODAY()&lt;$C16)</formula>
    </cfRule>
  </conditionalFormatting>
  <conditionalFormatting sqref="C16">
    <cfRule type="cellIs" dxfId="224" priority="61" stopIfTrue="1" operator="lessThan">
      <formula>$B$2</formula>
    </cfRule>
  </conditionalFormatting>
  <conditionalFormatting sqref="C16">
    <cfRule type="expression" dxfId="223" priority="58">
      <formula>AND($C16-TODAY()&lt;30,TODAY()&lt;$C16)</formula>
    </cfRule>
  </conditionalFormatting>
  <conditionalFormatting sqref="C16">
    <cfRule type="cellIs" dxfId="222" priority="59" stopIfTrue="1" operator="lessThan">
      <formula>$B$2</formula>
    </cfRule>
  </conditionalFormatting>
  <conditionalFormatting sqref="B16">
    <cfRule type="cellIs" dxfId="221" priority="57" stopIfTrue="1" operator="equal">
      <formula>"已过期"</formula>
    </cfRule>
  </conditionalFormatting>
  <conditionalFormatting sqref="C14:C15">
    <cfRule type="expression" dxfId="220" priority="55">
      <formula>AND($C14-TODAY()&lt;30,TODAY()&lt;$C14)</formula>
    </cfRule>
  </conditionalFormatting>
  <conditionalFormatting sqref="C14:C15">
    <cfRule type="cellIs" dxfId="219" priority="56" stopIfTrue="1" operator="lessThan">
      <formula>$B$2</formula>
    </cfRule>
  </conditionalFormatting>
  <conditionalFormatting sqref="C14">
    <cfRule type="expression" dxfId="218" priority="53">
      <formula>AND($C14-TODAY()&lt;30,TODAY()&lt;$C14)</formula>
    </cfRule>
  </conditionalFormatting>
  <conditionalFormatting sqref="C14">
    <cfRule type="cellIs" dxfId="217" priority="54" stopIfTrue="1" operator="lessThan">
      <formula>$B$2</formula>
    </cfRule>
  </conditionalFormatting>
  <conditionalFormatting sqref="C15">
    <cfRule type="expression" dxfId="216" priority="51">
      <formula>AND($C15-TODAY()&lt;30,TODAY()&lt;$C15)</formula>
    </cfRule>
  </conditionalFormatting>
  <conditionalFormatting sqref="C15">
    <cfRule type="cellIs" dxfId="215" priority="52" stopIfTrue="1" operator="lessThan">
      <formula>$B$2</formula>
    </cfRule>
  </conditionalFormatting>
  <conditionalFormatting sqref="B14">
    <cfRule type="cellIs" dxfId="214" priority="50" stopIfTrue="1" operator="equal">
      <formula>"已过期"</formula>
    </cfRule>
  </conditionalFormatting>
  <conditionalFormatting sqref="B15">
    <cfRule type="cellIs" dxfId="213" priority="49" stopIfTrue="1" operator="equal">
      <formula>"已过期"</formula>
    </cfRule>
  </conditionalFormatting>
  <conditionalFormatting sqref="A15">
    <cfRule type="cellIs" dxfId="212" priority="48" stopIfTrue="1" operator="equal">
      <formula>"已过期"</formula>
    </cfRule>
  </conditionalFormatting>
  <conditionalFormatting sqref="C15">
    <cfRule type="expression" dxfId="211" priority="47">
      <formula>AND($C15-TODAY()&lt;30,TODAY()&lt;$C15)</formula>
    </cfRule>
  </conditionalFormatting>
  <conditionalFormatting sqref="F16">
    <cfRule type="cellIs" dxfId="210" priority="46" stopIfTrue="1" operator="lessThan">
      <formula>$B$2</formula>
    </cfRule>
  </conditionalFormatting>
  <conditionalFormatting sqref="E16">
    <cfRule type="cellIs" dxfId="209" priority="45" stopIfTrue="1" operator="equal">
      <formula>"已过期"</formula>
    </cfRule>
  </conditionalFormatting>
  <conditionalFormatting sqref="E15">
    <cfRule type="cellIs" dxfId="208" priority="44" stopIfTrue="1" operator="equal">
      <formula>"已过期"</formula>
    </cfRule>
  </conditionalFormatting>
  <conditionalFormatting sqref="D15">
    <cfRule type="cellIs" dxfId="207" priority="43" stopIfTrue="1" operator="equal">
      <formula>"已过期"</formula>
    </cfRule>
  </conditionalFormatting>
  <conditionalFormatting sqref="F17">
    <cfRule type="cellIs" dxfId="206" priority="42" stopIfTrue="1" operator="lessThan">
      <formula>$B$2</formula>
    </cfRule>
  </conditionalFormatting>
  <conditionalFormatting sqref="E17">
    <cfRule type="cellIs" dxfId="205" priority="41" stopIfTrue="1" operator="equal">
      <formula>"已过期"</formula>
    </cfRule>
  </conditionalFormatting>
  <conditionalFormatting sqref="E14">
    <cfRule type="cellIs" dxfId="204" priority="40" stopIfTrue="1" operator="equal">
      <formula>"已过期"</formula>
    </cfRule>
  </conditionalFormatting>
  <conditionalFormatting sqref="F14">
    <cfRule type="cellIs" dxfId="203" priority="39" stopIfTrue="1" operator="lessThan">
      <formula>$B$2</formula>
    </cfRule>
  </conditionalFormatting>
  <conditionalFormatting sqref="C10:C11">
    <cfRule type="expression" dxfId="202" priority="35">
      <formula>AND($C10-TODAY()&lt;30,TODAY()&lt;$C10)</formula>
    </cfRule>
  </conditionalFormatting>
  <conditionalFormatting sqref="C10:C11">
    <cfRule type="cellIs" dxfId="201" priority="36" stopIfTrue="1" operator="lessThan">
      <formula>$B$2</formula>
    </cfRule>
  </conditionalFormatting>
  <conditionalFormatting sqref="C18">
    <cfRule type="expression" dxfId="200" priority="24">
      <formula>AND($C18-TODAY()&lt;30,TODAY()&lt;$C18)</formula>
    </cfRule>
  </conditionalFormatting>
  <conditionalFormatting sqref="C18">
    <cfRule type="cellIs" dxfId="199" priority="25" stopIfTrue="1" operator="lessThan">
      <formula>$B$2</formula>
    </cfRule>
  </conditionalFormatting>
  <conditionalFormatting sqref="C18">
    <cfRule type="expression" dxfId="198" priority="22">
      <formula>AND($C18-TODAY()&lt;30,TODAY()&lt;$C18)</formula>
    </cfRule>
  </conditionalFormatting>
  <conditionalFormatting sqref="C18">
    <cfRule type="cellIs" dxfId="197" priority="23" stopIfTrue="1" operator="lessThan">
      <formula>$B$2</formula>
    </cfRule>
  </conditionalFormatting>
  <conditionalFormatting sqref="B18">
    <cfRule type="cellIs" dxfId="196" priority="21" stopIfTrue="1" operator="equal">
      <formula>"已过期"</formula>
    </cfRule>
  </conditionalFormatting>
  <conditionalFormatting sqref="F18">
    <cfRule type="cellIs" dxfId="195" priority="20" stopIfTrue="1" operator="lessThan">
      <formula>$B$2</formula>
    </cfRule>
  </conditionalFormatting>
  <conditionalFormatting sqref="E18">
    <cfRule type="cellIs" dxfId="194" priority="19" stopIfTrue="1" operator="equal">
      <formula>"已过期"</formula>
    </cfRule>
  </conditionalFormatting>
  <conditionalFormatting sqref="F29">
    <cfRule type="cellIs" dxfId="193" priority="15" stopIfTrue="1" operator="lessThan">
      <formula>$B$2</formula>
    </cfRule>
  </conditionalFormatting>
  <conditionalFormatting sqref="F29">
    <cfRule type="expression" dxfId="192" priority="16">
      <formula>AND($E29-TODAY()&lt;30,TODAY()&lt;$E29)</formula>
    </cfRule>
  </conditionalFormatting>
  <conditionalFormatting sqref="C4">
    <cfRule type="expression" dxfId="191" priority="11">
      <formula>AND($C4-TODAY()&lt;30,TODAY()&lt;$C4)</formula>
    </cfRule>
  </conditionalFormatting>
  <conditionalFormatting sqref="C4">
    <cfRule type="cellIs" dxfId="190" priority="12" stopIfTrue="1" operator="lessThan">
      <formula>$B$2</formula>
    </cfRule>
  </conditionalFormatting>
  <conditionalFormatting sqref="C8:C9">
    <cfRule type="expression" dxfId="189" priority="5">
      <formula>AND($C8-TODAY()&lt;30,TODAY()&lt;$C8)</formula>
    </cfRule>
  </conditionalFormatting>
  <conditionalFormatting sqref="C8:C9">
    <cfRule type="cellIs" dxfId="188" priority="6" stopIfTrue="1" operator="lessThan">
      <formula>$B$2</formula>
    </cfRule>
  </conditionalFormatting>
  <conditionalFormatting sqref="F23">
    <cfRule type="cellIs" dxfId="187" priority="2" stopIfTrue="1" operator="lessThan">
      <formula>$B$2</formula>
    </cfRule>
  </conditionalFormatting>
  <conditionalFormatting sqref="E23">
    <cfRule type="cellIs" dxfId="186"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ht="14.4">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ht="14.4">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9" t="s">
        <v>2943</v>
      </c>
      <c r="C18" s="1539"/>
    </row>
    <row r="19" spans="1:3" ht="14.4">
      <c r="A19" s="8" t="s">
        <v>120</v>
      </c>
      <c r="B19" s="3059" t="s">
        <v>2951</v>
      </c>
      <c r="C19" s="1539"/>
    </row>
    <row r="20" spans="1:3" ht="14.4">
      <c r="A20" s="8" t="s">
        <v>121</v>
      </c>
      <c r="B20" s="8" t="s">
        <v>3276</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751"/>
      <c r="E53" s="1751"/>
    </row>
    <row r="54" spans="1:5">
      <c r="A54" s="323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不动产收益法-商业</vt:lpstr>
      <vt:lpstr>不动产收益法-公寓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2020-05-24T09:58:18Z</dcterms:modified>
</cp:coreProperties>
</file>