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110" tabRatio="899" firstSheet="17"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9" r:id="rId45"/>
    <sheet name="Sheet1" sheetId="78" r:id="rId46"/>
    <sheet name="Sheet2" sheetId="80"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7">'收益法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21" l="1"/>
  <c r="I47" i="21"/>
  <c r="G47" i="21"/>
  <c r="D18" i="31" l="1"/>
  <c r="E18" i="31"/>
  <c r="C18" i="31"/>
  <c r="B25" i="31"/>
  <c r="B26" i="31"/>
  <c r="B27" i="31"/>
  <c r="B28" i="31"/>
  <c r="B29" i="31"/>
  <c r="B30" i="31"/>
  <c r="B31" i="31"/>
  <c r="B32" i="31"/>
  <c r="B33" i="31"/>
  <c r="A25" i="31"/>
  <c r="A26" i="31"/>
  <c r="A27" i="31"/>
  <c r="A28" i="31"/>
  <c r="A29" i="31"/>
  <c r="A30" i="31"/>
  <c r="A31" i="31"/>
  <c r="A32" i="31"/>
  <c r="A33" i="31"/>
  <c r="B24" i="31"/>
  <c r="A24" i="31"/>
  <c r="C33" i="21"/>
  <c r="Y6" i="1"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c r="D50" i="71"/>
  <c r="Q49" i="71"/>
  <c r="P49" i="71"/>
  <c r="O49" i="71"/>
  <c r="N49" i="71"/>
  <c r="Q48" i="71"/>
  <c r="P48" i="71"/>
  <c r="O48" i="71"/>
  <c r="N48" i="71"/>
  <c r="Q47" i="71"/>
  <c r="P47" i="71"/>
  <c r="O47" i="71"/>
  <c r="C48" i="71" s="1"/>
  <c r="N47" i="71"/>
  <c r="Q46" i="71"/>
  <c r="F47" i="71" s="1"/>
  <c r="F48" i="71" s="1"/>
  <c r="F49" i="71" s="1"/>
  <c r="V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P35" i="71"/>
  <c r="AA35" i="71" s="1"/>
  <c r="O35" i="71"/>
  <c r="Y35" i="71"/>
  <c r="Z35" i="71" s="1"/>
  <c r="N35" i="71"/>
  <c r="X35" i="71" s="1"/>
  <c r="V37" i="71"/>
  <c r="Q34" i="71"/>
  <c r="F35" i="71" s="1"/>
  <c r="F36" i="71" s="1"/>
  <c r="F37" i="71" s="1"/>
  <c r="P34" i="71"/>
  <c r="E35" i="71" s="1"/>
  <c r="E36" i="71" s="1"/>
  <c r="E37" i="71" s="1"/>
  <c r="U37" i="71" s="1"/>
  <c r="O34" i="71"/>
  <c r="N34" i="71"/>
  <c r="D34" i="71"/>
  <c r="Q33" i="71"/>
  <c r="P33" i="71"/>
  <c r="O33" i="71"/>
  <c r="Y33" i="71"/>
  <c r="Z33" i="71" s="1"/>
  <c r="N33" i="71"/>
  <c r="Q32" i="71"/>
  <c r="AB32" i="71"/>
  <c r="P32" i="71"/>
  <c r="O32" i="71"/>
  <c r="N32" i="71"/>
  <c r="Q31" i="71"/>
  <c r="P31" i="71"/>
  <c r="O31" i="71"/>
  <c r="N31" i="71"/>
  <c r="Q30" i="71"/>
  <c r="F31" i="71" s="1"/>
  <c r="F32" i="71" s="1"/>
  <c r="F33" i="71" s="1"/>
  <c r="V33" i="71" s="1"/>
  <c r="P30" i="71"/>
  <c r="O30" i="71"/>
  <c r="N30" i="71"/>
  <c r="D30" i="71"/>
  <c r="Q29" i="71"/>
  <c r="P29" i="71"/>
  <c r="O29" i="71"/>
  <c r="Y29" i="71"/>
  <c r="Z29" i="71" s="1"/>
  <c r="N29" i="71"/>
  <c r="Q28" i="71"/>
  <c r="P28" i="71"/>
  <c r="O28" i="71"/>
  <c r="N28" i="71"/>
  <c r="Q27" i="71"/>
  <c r="P27" i="71"/>
  <c r="O27" i="71"/>
  <c r="N27" i="71"/>
  <c r="Q26" i="71"/>
  <c r="F27" i="71" s="1"/>
  <c r="F28" i="71" s="1"/>
  <c r="F29" i="71" s="1"/>
  <c r="V29" i="71" s="1"/>
  <c r="P26" i="71"/>
  <c r="O26" i="71"/>
  <c r="N26" i="71"/>
  <c r="D26" i="71"/>
  <c r="O25" i="71"/>
  <c r="N25" i="71"/>
  <c r="B27" i="71"/>
  <c r="X26" i="71"/>
  <c r="B31" i="71"/>
  <c r="B32" i="71" s="1"/>
  <c r="B33" i="71"/>
  <c r="S33" i="71" s="1"/>
  <c r="E31" i="71"/>
  <c r="C27" i="71"/>
  <c r="C31" i="71"/>
  <c r="C32" i="71"/>
  <c r="C35" i="71"/>
  <c r="Y34" i="71"/>
  <c r="Z34" i="71"/>
  <c r="B25" i="71"/>
  <c r="B24" i="71" s="1"/>
  <c r="B23" i="71" s="1"/>
  <c r="C28" i="71"/>
  <c r="D28" i="71" s="1"/>
  <c r="D27" i="71"/>
  <c r="D31" i="71"/>
  <c r="C40" i="71"/>
  <c r="D39" i="71"/>
  <c r="C44" i="71"/>
  <c r="D44" i="71"/>
  <c r="D43" i="71"/>
  <c r="D47" i="71"/>
  <c r="P25" i="71"/>
  <c r="E52" i="71"/>
  <c r="E53" i="71"/>
  <c r="U53" i="71" s="1"/>
  <c r="E56" i="71"/>
  <c r="E57" i="71" s="1"/>
  <c r="U57" i="71"/>
  <c r="E60" i="71"/>
  <c r="E61" i="71"/>
  <c r="U61" i="71" s="1"/>
  <c r="Q62" i="71"/>
  <c r="U65" i="71"/>
  <c r="E64" i="71"/>
  <c r="E63" i="71" s="1"/>
  <c r="P63" i="71" s="1"/>
  <c r="Q25" i="71"/>
  <c r="C52" i="71"/>
  <c r="D52" i="71" s="1"/>
  <c r="D51" i="71"/>
  <c r="C56" i="71"/>
  <c r="D56" i="71" s="1"/>
  <c r="D55" i="71"/>
  <c r="C60" i="71"/>
  <c r="C61" i="71" s="1"/>
  <c r="T61" i="71" s="1"/>
  <c r="Q64" i="71"/>
  <c r="T65" i="71"/>
  <c r="O65" i="71"/>
  <c r="D65" i="71"/>
  <c r="C64" i="71"/>
  <c r="O64" i="71" s="1"/>
  <c r="Q65" i="71"/>
  <c r="C68" i="71"/>
  <c r="D68" i="71" s="1"/>
  <c r="E68" i="71"/>
  <c r="E67" i="71"/>
  <c r="C72" i="71"/>
  <c r="C71" i="71" s="1"/>
  <c r="D71" i="71" s="1"/>
  <c r="E72" i="71"/>
  <c r="E71" i="71"/>
  <c r="D73" i="71"/>
  <c r="C76" i="71"/>
  <c r="E76" i="71"/>
  <c r="E75" i="71"/>
  <c r="C80" i="71"/>
  <c r="D80" i="71" s="1"/>
  <c r="C84" i="71"/>
  <c r="S25" i="71"/>
  <c r="F25" i="71"/>
  <c r="C63" i="71"/>
  <c r="D64" i="71"/>
  <c r="D60" i="71"/>
  <c r="C79" i="71"/>
  <c r="D79" i="71" s="1"/>
  <c r="D72" i="71"/>
  <c r="D84" i="71"/>
  <c r="C83" i="71"/>
  <c r="D83" i="71" s="1"/>
  <c r="C67" i="71"/>
  <c r="D67" i="71" s="1"/>
  <c r="C57" i="71"/>
  <c r="C53" i="71"/>
  <c r="T53" i="71" s="1"/>
  <c r="P64" i="71"/>
  <c r="C41" i="71"/>
  <c r="T41" i="71" s="1"/>
  <c r="D40" i="71"/>
  <c r="D32" i="71"/>
  <c r="C29" i="71"/>
  <c r="T29" i="71" s="1"/>
  <c r="P62" i="71"/>
  <c r="O62" i="71"/>
  <c r="D29" i="71"/>
  <c r="D41" i="71"/>
  <c r="D53"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5"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K13" i="1" s="1"/>
  <c r="M13" i="1" s="1"/>
  <c r="O13" i="1" s="1"/>
  <c r="P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2" i="31"/>
  <c r="S378" i="31"/>
  <c r="S370" i="31"/>
  <c r="S358" i="31"/>
  <c r="S350" i="31"/>
  <c r="S346" i="31"/>
  <c r="S342" i="31"/>
  <c r="S338" i="31"/>
  <c r="S334" i="31"/>
  <c r="S320" i="31"/>
  <c r="S314" i="31"/>
  <c r="S310" i="31"/>
  <c r="S306" i="31"/>
  <c r="S302" i="31"/>
  <c r="S300" i="31"/>
  <c r="S296" i="31"/>
  <c r="S292" i="31"/>
  <c r="S288" i="31"/>
  <c r="S284" i="31"/>
  <c r="S282" i="31"/>
  <c r="S280" i="31"/>
  <c r="S278" i="31"/>
  <c r="S276" i="31"/>
  <c r="S274" i="31"/>
  <c r="S272" i="31"/>
  <c r="S270" i="31"/>
  <c r="S253" i="31"/>
  <c r="S251" i="31"/>
  <c r="S249" i="31"/>
  <c r="S247" i="31"/>
  <c r="S245" i="31"/>
  <c r="S243" i="31"/>
  <c r="S241" i="31"/>
  <c r="S239" i="31"/>
  <c r="S237" i="31"/>
  <c r="S235" i="31"/>
  <c r="S233" i="31"/>
  <c r="S231" i="31"/>
  <c r="S229" i="31"/>
  <c r="S227" i="31"/>
  <c r="S225" i="31"/>
  <c r="S223" i="31"/>
  <c r="S428" i="31"/>
  <c r="S222" i="31"/>
  <c r="S121" i="31"/>
  <c r="S119" i="31"/>
  <c r="S117" i="31"/>
  <c r="S115" i="31"/>
  <c r="S113"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E5" i="3" s="1"/>
  <c r="BF493" i="3"/>
  <c r="BG493" i="3"/>
  <c r="BH493" i="3"/>
  <c r="BI493" i="3"/>
  <c r="BI5" i="3" s="1"/>
  <c r="BJ493" i="3"/>
  <c r="BK493" i="3"/>
  <c r="BM493" i="3"/>
  <c r="BN493" i="3"/>
  <c r="BO493" i="3"/>
  <c r="BP493" i="3"/>
  <c r="BP5" i="3" s="1"/>
  <c r="BR493" i="3"/>
  <c r="BS493" i="3"/>
  <c r="BT493" i="3"/>
  <c r="H494" i="3"/>
  <c r="AC494" i="3"/>
  <c r="BB494" i="3"/>
  <c r="BA494" i="3" s="1"/>
  <c r="BC494" i="3"/>
  <c r="BD494" i="3"/>
  <c r="BD5" i="3" s="1"/>
  <c r="BE494" i="3"/>
  <c r="BF494" i="3"/>
  <c r="BG494" i="3"/>
  <c r="BH494" i="3"/>
  <c r="BH5" i="3" s="1"/>
  <c r="BI494" i="3"/>
  <c r="BJ494" i="3"/>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c r="F112" i="34" s="1"/>
  <c r="G112" i="34"/>
  <c r="H112" i="34" s="1"/>
  <c r="I112" i="34" s="1"/>
  <c r="J112" i="34" s="1"/>
  <c r="K112" i="34" s="1"/>
  <c r="L112" i="34" s="1"/>
  <c r="M112" i="34" s="1"/>
  <c r="F40" i="33"/>
  <c r="J41" i="33"/>
  <c r="D113" i="33"/>
  <c r="F37" i="33"/>
  <c r="D111" i="33"/>
  <c r="E111" i="33"/>
  <c r="F111" i="33" s="1"/>
  <c r="S518" i="31"/>
  <c r="S522"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B57" i="35"/>
  <c r="B61" i="35"/>
  <c r="F13" i="35" s="1"/>
  <c r="B59" i="35"/>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J46" i="21" s="1"/>
  <c r="B128" i="21"/>
  <c r="J45" i="21" s="1"/>
  <c r="W45" i="21"/>
  <c r="B126" i="21"/>
  <c r="B98" i="21"/>
  <c r="H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s="1"/>
  <c r="W8" i="36"/>
  <c r="F16" i="36"/>
  <c r="AA16" i="36"/>
  <c r="U9" i="36"/>
  <c r="W28" i="36"/>
  <c r="S30" i="36"/>
  <c r="AA31" i="36"/>
  <c r="AC31" i="36"/>
  <c r="W31" i="36"/>
  <c r="J33" i="36"/>
  <c r="H22" i="35"/>
  <c r="AB22" i="35" s="1"/>
  <c r="AC27" i="35"/>
  <c r="W28" i="35"/>
  <c r="U31" i="35"/>
  <c r="W34" i="35"/>
  <c r="W36" i="35"/>
  <c r="W22" i="35"/>
  <c r="S31" i="35"/>
  <c r="U34" i="35"/>
  <c r="F36" i="34"/>
  <c r="J35" i="34"/>
  <c r="S34" i="34"/>
  <c r="U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F41" i="39"/>
  <c r="H40" i="39"/>
  <c r="AB40" i="39" s="1"/>
  <c r="H39" i="39"/>
  <c r="U39" i="39" s="1"/>
  <c r="S38" i="39"/>
  <c r="S34" i="39"/>
  <c r="H34" i="39"/>
  <c r="E109" i="39"/>
  <c r="H31" i="39"/>
  <c r="AB31" i="39"/>
  <c r="F31" i="39"/>
  <c r="AA31" i="39"/>
  <c r="E101" i="39"/>
  <c r="H19" i="39"/>
  <c r="F19" i="39"/>
  <c r="AA19" i="39" s="1"/>
  <c r="H17" i="39"/>
  <c r="AB17" i="39" s="1"/>
  <c r="F17" i="39"/>
  <c r="AA17" i="39" s="1"/>
  <c r="J23" i="40"/>
  <c r="AC23" i="40" s="1"/>
  <c r="F21" i="40"/>
  <c r="J21" i="40"/>
  <c r="W21" i="40" s="1"/>
  <c r="H42" i="39"/>
  <c r="AB42" i="39" s="1"/>
  <c r="J34" i="39"/>
  <c r="AC34" i="39" s="1"/>
  <c r="F109" i="39"/>
  <c r="G109" i="39" s="1"/>
  <c r="H109" i="39"/>
  <c r="I109" i="39" s="1"/>
  <c r="J109" i="39" s="1"/>
  <c r="K109" i="39" s="1"/>
  <c r="L109" i="39" s="1"/>
  <c r="M109" i="39" s="1"/>
  <c r="J31" i="39"/>
  <c r="F101" i="39"/>
  <c r="H27" i="39"/>
  <c r="J19" i="39"/>
  <c r="AC19" i="39" s="1"/>
  <c r="J17" i="39"/>
  <c r="J27" i="39"/>
  <c r="AC27" i="39"/>
  <c r="F27" i="39"/>
  <c r="F11" i="21"/>
  <c r="S11" i="21" s="1"/>
  <c r="S40" i="21"/>
  <c r="U34" i="21"/>
  <c r="C25" i="39"/>
  <c r="C27" i="39"/>
  <c r="C21" i="39"/>
  <c r="H11" i="39"/>
  <c r="S40" i="39"/>
  <c r="C15" i="39"/>
  <c r="H32" i="33"/>
  <c r="AB32" i="33" s="1"/>
  <c r="H11" i="21"/>
  <c r="J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24" i="36"/>
  <c r="AA24" i="36" s="1"/>
  <c r="F34" i="36"/>
  <c r="S10" i="36"/>
  <c r="AB8" i="36"/>
  <c r="S8" i="36"/>
  <c r="U8" i="35"/>
  <c r="F14" i="35"/>
  <c r="F23" i="35"/>
  <c r="J32" i="35"/>
  <c r="J16" i="35"/>
  <c r="AC16" i="35" s="1"/>
  <c r="H16" i="35"/>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S8" i="33"/>
  <c r="F37" i="40"/>
  <c r="AA37" i="40" s="1"/>
  <c r="F36" i="40"/>
  <c r="AA36" i="40" s="1"/>
  <c r="H28" i="40"/>
  <c r="U28" i="40" s="1"/>
  <c r="F23" i="40"/>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S28" i="34"/>
  <c r="U23" i="40"/>
  <c r="G123" i="21"/>
  <c r="H123" i="21" s="1"/>
  <c r="I123" i="21"/>
  <c r="J123" i="21" s="1"/>
  <c r="K123" i="21" s="1"/>
  <c r="L123" i="21" s="1"/>
  <c r="M123" i="21" s="1"/>
  <c r="J42" i="21"/>
  <c r="AC42" i="21" s="1"/>
  <c r="H42" i="21"/>
  <c r="U42" i="21" s="1"/>
  <c r="J44" i="34"/>
  <c r="F44" i="34"/>
  <c r="AA44" i="34" s="1"/>
  <c r="J10" i="35"/>
  <c r="BL587" i="3"/>
  <c r="J14" i="21"/>
  <c r="W14" i="21"/>
  <c r="F14" i="21"/>
  <c r="S14" i="21"/>
  <c r="H14" i="21"/>
  <c r="U14" i="21"/>
  <c r="AB28" i="21"/>
  <c r="H30" i="21"/>
  <c r="U30" i="21"/>
  <c r="F30" i="21"/>
  <c r="S30" i="21"/>
  <c r="J30" i="21"/>
  <c r="AC30" i="21"/>
  <c r="J44" i="21"/>
  <c r="AC44" i="21" s="1"/>
  <c r="H44" i="21"/>
  <c r="U44" i="21" s="1"/>
  <c r="F44" i="21"/>
  <c r="AA44" i="21" s="1"/>
  <c r="H46" i="21"/>
  <c r="U46" i="21" s="1"/>
  <c r="F46" i="21"/>
  <c r="AA46" i="21" s="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s="1"/>
  <c r="F27" i="21"/>
  <c r="AA27" i="21" s="1"/>
  <c r="H29" i="21"/>
  <c r="U29" i="21"/>
  <c r="F45" i="21"/>
  <c r="AA45" i="21"/>
  <c r="F27" i="33"/>
  <c r="AA27" i="33"/>
  <c r="J13" i="33"/>
  <c r="H13" i="33"/>
  <c r="AB13" i="33" s="1"/>
  <c r="F13" i="33"/>
  <c r="J29" i="33"/>
  <c r="H29" i="33"/>
  <c r="U29" i="33" s="1"/>
  <c r="F29" i="33"/>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AC44" i="33" s="1"/>
  <c r="F44" i="33"/>
  <c r="J46" i="33"/>
  <c r="AC46" i="33" s="1"/>
  <c r="F46" i="33"/>
  <c r="H46" i="33"/>
  <c r="AB46" i="33" s="1"/>
  <c r="H13" i="34"/>
  <c r="J13" i="34"/>
  <c r="F13" i="34"/>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S44" i="34"/>
  <c r="BA586" i="3"/>
  <c r="BA585" i="3"/>
  <c r="AZ585" i="3" s="1"/>
  <c r="F17" i="21"/>
  <c r="AA17" i="21" s="1"/>
  <c r="H17" i="21"/>
  <c r="AB17" i="21" s="1"/>
  <c r="F15" i="21"/>
  <c r="S15" i="21" s="1"/>
  <c r="J41" i="39"/>
  <c r="W41" i="39" s="1"/>
  <c r="AC45" i="39"/>
  <c r="W36" i="39"/>
  <c r="W35" i="39"/>
  <c r="U36" i="39"/>
  <c r="G544" i="3"/>
  <c r="G536" i="3"/>
  <c r="G532" i="3"/>
  <c r="G528" i="3"/>
  <c r="G523" i="3"/>
  <c r="G514" i="3"/>
  <c r="G508" i="3"/>
  <c r="G500"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AZ528" i="3" s="1"/>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BA534" i="3"/>
  <c r="AZ534" i="3" s="1"/>
  <c r="BA532" i="3"/>
  <c r="AZ532" i="3" s="1"/>
  <c r="BA530" i="3"/>
  <c r="AZ530" i="3" s="1"/>
  <c r="AZ526" i="3"/>
  <c r="AZ524" i="3"/>
  <c r="BA520" i="3"/>
  <c r="AZ518" i="3"/>
  <c r="AZ516" i="3"/>
  <c r="BA512" i="3"/>
  <c r="AZ512" i="3" s="1"/>
  <c r="BA510" i="3"/>
  <c r="AZ510" i="3" s="1"/>
  <c r="BA508" i="3"/>
  <c r="BA504" i="3"/>
  <c r="AZ504" i="3" s="1"/>
  <c r="BA502" i="3"/>
  <c r="BA498" i="3"/>
  <c r="AZ498" i="3" s="1"/>
  <c r="BA496" i="3"/>
  <c r="BA587" i="3"/>
  <c r="AZ587" i="3" s="1"/>
  <c r="BA583" i="3"/>
  <c r="BA581" i="3"/>
  <c r="BA579" i="3"/>
  <c r="BA577" i="3"/>
  <c r="BA575" i="3"/>
  <c r="BA573" i="3"/>
  <c r="BA571" i="3"/>
  <c r="BA569" i="3"/>
  <c r="BA567" i="3"/>
  <c r="BA565" i="3"/>
  <c r="BA563" i="3"/>
  <c r="BA561" i="3"/>
  <c r="BA559" i="3"/>
  <c r="BA555" i="3"/>
  <c r="BA553" i="3"/>
  <c r="BA549" i="3"/>
  <c r="BA547" i="3"/>
  <c r="BA545" i="3"/>
  <c r="BA543" i="3"/>
  <c r="BA541" i="3"/>
  <c r="BA537" i="3"/>
  <c r="BA533" i="3"/>
  <c r="BA529" i="3"/>
  <c r="BA525" i="3"/>
  <c r="BA519" i="3"/>
  <c r="BA515" i="3"/>
  <c r="BA511" i="3"/>
  <c r="BA505" i="3"/>
  <c r="BA501" i="3"/>
  <c r="BA497"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G125" i="33"/>
  <c r="J43" i="33"/>
  <c r="AC43" i="33"/>
  <c r="U43" i="33"/>
  <c r="U14" i="40"/>
  <c r="AC32" i="36"/>
  <c r="AA12" i="35"/>
  <c r="W14" i="37"/>
  <c r="AB28" i="37"/>
  <c r="U33" i="37"/>
  <c r="U39" i="37"/>
  <c r="AC8" i="37"/>
  <c r="W37" i="34"/>
  <c r="AC36" i="34"/>
  <c r="AC31" i="33"/>
  <c r="W44" i="33"/>
  <c r="U11" i="33"/>
  <c r="U19" i="21"/>
  <c r="U12" i="21"/>
  <c r="AB38" i="21"/>
  <c r="F43" i="33"/>
  <c r="W15" i="34"/>
  <c r="W16" i="35"/>
  <c r="G107" i="37"/>
  <c r="H107" i="37" s="1"/>
  <c r="I107" i="37"/>
  <c r="J107" i="37" s="1"/>
  <c r="K107" i="37" s="1"/>
  <c r="L107" i="37" s="1"/>
  <c r="M107" i="37" s="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W8" i="39"/>
  <c r="J19" i="40"/>
  <c r="AC19" i="40" s="1"/>
  <c r="J50" i="40"/>
  <c r="H103" i="9"/>
  <c r="D8" i="53" s="1"/>
  <c r="B16" i="53"/>
  <c r="B33" i="72" s="1"/>
  <c r="C7" i="37"/>
  <c r="C7" i="34"/>
  <c r="C7" i="36"/>
  <c r="W35" i="40"/>
  <c r="A118" i="9"/>
  <c r="A4" i="52"/>
  <c r="B41" i="72" s="1"/>
  <c r="J11" i="39"/>
  <c r="W11" i="39" s="1"/>
  <c r="F11" i="39"/>
  <c r="G4" i="4"/>
  <c r="I4" i="4"/>
  <c r="A2" i="9"/>
  <c r="F59" i="43"/>
  <c r="H62" i="43"/>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G29" i="6" s="1"/>
  <c r="E29" i="6" s="1"/>
  <c r="AZ343" i="3"/>
  <c r="BK5" i="3"/>
  <c r="BG5" i="3"/>
  <c r="BC5" i="3"/>
  <c r="G17" i="3"/>
  <c r="BA17" i="3"/>
  <c r="AZ350" i="3"/>
  <c r="AZ352" i="3"/>
  <c r="AZ356" i="3"/>
  <c r="AZ364" i="3"/>
  <c r="AZ368" i="3"/>
  <c r="BA15" i="3"/>
  <c r="AZ15" i="3" s="1"/>
  <c r="BB5" i="3"/>
  <c r="G28" i="6"/>
  <c r="G30" i="6" s="1"/>
  <c r="AZ384" i="3"/>
  <c r="AZ388" i="3"/>
  <c r="AZ392" i="3"/>
  <c r="AZ396" i="3"/>
  <c r="AZ394" i="3"/>
  <c r="G509" i="3"/>
  <c r="BL493" i="3"/>
  <c r="AZ491" i="3"/>
  <c r="AZ376" i="3"/>
  <c r="AZ382" i="3"/>
  <c r="U36" i="40"/>
  <c r="F36" i="43"/>
  <c r="F81" i="43"/>
  <c r="H113" i="43"/>
  <c r="F48" i="43"/>
  <c r="H52" i="43"/>
  <c r="F70" i="43"/>
  <c r="H73" i="43"/>
  <c r="M11" i="43"/>
  <c r="D17" i="43"/>
  <c r="F39" i="43"/>
  <c r="I17" i="43"/>
  <c r="F35" i="43"/>
  <c r="J17" i="43"/>
  <c r="F6" i="1"/>
  <c r="G6" i="1" s="1"/>
  <c r="U17" i="39"/>
  <c r="U43" i="21"/>
  <c r="U35" i="21"/>
  <c r="AC35" i="21"/>
  <c r="G8" i="1"/>
  <c r="G9" i="1"/>
  <c r="G10" i="1"/>
  <c r="AC11" i="39"/>
  <c r="AZ563" i="3"/>
  <c r="W37" i="37"/>
  <c r="W44" i="34"/>
  <c r="AC44" i="34"/>
  <c r="U13" i="37"/>
  <c r="U12" i="40"/>
  <c r="AA12" i="40"/>
  <c r="J37" i="33"/>
  <c r="W37" i="33"/>
  <c r="AC17" i="34"/>
  <c r="F106" i="33"/>
  <c r="G106" i="33" s="1"/>
  <c r="H106" i="33" s="1"/>
  <c r="I106" i="33" s="1"/>
  <c r="J106" i="33" s="1"/>
  <c r="K106" i="33" s="1"/>
  <c r="L106" i="33" s="1"/>
  <c r="M106" i="33" s="1"/>
  <c r="J34" i="33"/>
  <c r="F33" i="34"/>
  <c r="H20" i="36"/>
  <c r="J20" i="36"/>
  <c r="W20" i="36" s="1"/>
  <c r="J27" i="36"/>
  <c r="W27" i="36"/>
  <c r="AB25" i="37"/>
  <c r="AC33" i="40"/>
  <c r="G111" i="40"/>
  <c r="H111" i="40" s="1"/>
  <c r="I111" i="40" s="1"/>
  <c r="J111" i="40" s="1"/>
  <c r="K111" i="40" s="1"/>
  <c r="L111" i="40" s="1"/>
  <c r="M111" i="40" s="1"/>
  <c r="H35" i="40"/>
  <c r="AB35" i="40"/>
  <c r="W29" i="35"/>
  <c r="H35" i="37"/>
  <c r="U35" i="37"/>
  <c r="H20" i="35"/>
  <c r="U20" i="35" s="1"/>
  <c r="F20" i="35"/>
  <c r="U29" i="36"/>
  <c r="H32" i="37"/>
  <c r="AB32" i="37"/>
  <c r="F96" i="37"/>
  <c r="H27" i="40"/>
  <c r="U27" i="40" s="1"/>
  <c r="J27" i="40"/>
  <c r="AC27" i="40" s="1"/>
  <c r="F27" i="40"/>
  <c r="S27" i="40" s="1"/>
  <c r="J30" i="40"/>
  <c r="AC30" i="40" s="1"/>
  <c r="F30" i="40"/>
  <c r="AC21" i="40"/>
  <c r="S31" i="39"/>
  <c r="S11"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H33" i="34"/>
  <c r="U33" i="34" s="1"/>
  <c r="F32" i="37"/>
  <c r="G96" i="37"/>
  <c r="H96" i="37" s="1"/>
  <c r="I96" i="37"/>
  <c r="J96" i="37" s="1"/>
  <c r="K96" i="37" s="1"/>
  <c r="L96" i="37" s="1"/>
  <c r="M96" i="37" s="1"/>
  <c r="F20" i="36"/>
  <c r="AA20" i="36"/>
  <c r="J33" i="34"/>
  <c r="AC33" i="34"/>
  <c r="H23" i="39"/>
  <c r="U23" i="39"/>
  <c r="D48" i="9"/>
  <c r="M52" i="9" s="1"/>
  <c r="H86" i="43"/>
  <c r="H87" i="43"/>
  <c r="K9" i="1"/>
  <c r="M9" i="1" s="1"/>
  <c r="AE9" i="1"/>
  <c r="D93" i="9"/>
  <c r="E12" i="6"/>
  <c r="E57" i="40" s="1"/>
  <c r="K6" i="1"/>
  <c r="E13" i="6"/>
  <c r="E58" i="40" s="1"/>
  <c r="AC26" i="33"/>
  <c r="W26" i="33"/>
  <c r="W27" i="34"/>
  <c r="AB34" i="36"/>
  <c r="AB33" i="36"/>
  <c r="AC12" i="39"/>
  <c r="W12" i="39"/>
  <c r="AZ401" i="3"/>
  <c r="AZ412" i="3"/>
  <c r="AZ417" i="3"/>
  <c r="AZ428" i="3"/>
  <c r="AZ433" i="3"/>
  <c r="AZ465" i="3"/>
  <c r="AZ586" i="3"/>
  <c r="B113" i="43"/>
  <c r="G101" i="43"/>
  <c r="J101" i="43"/>
  <c r="W12" i="33"/>
  <c r="AA32" i="36"/>
  <c r="AZ551" i="3"/>
  <c r="AZ550" i="3"/>
  <c r="AZ408" i="3"/>
  <c r="AZ437" i="3"/>
  <c r="AZ441" i="3"/>
  <c r="AZ457" i="3"/>
  <c r="AZ473" i="3"/>
  <c r="AZ490" i="3"/>
  <c r="BL14" i="3"/>
  <c r="AZ14" i="3" s="1"/>
  <c r="AZ266" i="3"/>
  <c r="U30" i="33"/>
  <c r="W28" i="37"/>
  <c r="S19" i="39"/>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O12" i="1" s="1"/>
  <c r="P12" i="1" s="1"/>
  <c r="S13" i="1"/>
  <c r="AR13" i="1" s="1"/>
  <c r="R13" i="1"/>
  <c r="S11" i="1"/>
  <c r="AQ11" i="1" s="1"/>
  <c r="R11" i="1"/>
  <c r="S9" i="1"/>
  <c r="AR9" i="1" s="1"/>
  <c r="R9" i="1"/>
  <c r="J51" i="67"/>
  <c r="C42" i="1"/>
  <c r="H100" i="43"/>
  <c r="AA34" i="33"/>
  <c r="B41" i="1"/>
  <c r="J100" i="43"/>
  <c r="AB37" i="40"/>
  <c r="S35" i="40"/>
  <c r="U35" i="40"/>
  <c r="AC36" i="40"/>
  <c r="AA32" i="40"/>
  <c r="S17" i="40"/>
  <c r="AC17" i="40"/>
  <c r="AC15" i="40"/>
  <c r="AB27" i="40"/>
  <c r="AA19" i="40"/>
  <c r="S28" i="40"/>
  <c r="AA27" i="40"/>
  <c r="U21" i="40"/>
  <c r="AB19" i="40"/>
  <c r="W42" i="39"/>
  <c r="U37" i="39"/>
  <c r="W39" i="39"/>
  <c r="S43" i="39"/>
  <c r="S37"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AA26" i="36"/>
  <c r="S29" i="36"/>
  <c r="AA22" i="36"/>
  <c r="W14" i="36"/>
  <c r="AB14" i="36"/>
  <c r="U22" i="36"/>
  <c r="S16" i="36"/>
  <c r="AA25" i="36"/>
  <c r="S24" i="36"/>
  <c r="U23" i="36"/>
  <c r="U16" i="36"/>
  <c r="S14" i="36"/>
  <c r="U10" i="36"/>
  <c r="W10" i="36"/>
  <c r="W24" i="35"/>
  <c r="U29" i="35"/>
  <c r="U28" i="35"/>
  <c r="AB27" i="35"/>
  <c r="U36" i="35"/>
  <c r="U32" i="35"/>
  <c r="AC30" i="35"/>
  <c r="S32" i="35"/>
  <c r="AA36" i="35"/>
  <c r="S28" i="35"/>
  <c r="U22" i="35"/>
  <c r="AC20" i="35"/>
  <c r="U14" i="35"/>
  <c r="AA10" i="35"/>
  <c r="AA11" i="35"/>
  <c r="S8" i="35"/>
  <c r="AC9" i="35"/>
  <c r="W9" i="35"/>
  <c r="AC12" i="35"/>
  <c r="F9" i="35"/>
  <c r="H9" i="35"/>
  <c r="F26" i="35"/>
  <c r="AA26" i="35" s="1"/>
  <c r="J26" i="35"/>
  <c r="H26" i="35"/>
  <c r="AB40" i="37"/>
  <c r="S25" i="37"/>
  <c r="W27" i="37"/>
  <c r="AC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U44" i="34"/>
  <c r="U43" i="34"/>
  <c r="AC39" i="34"/>
  <c r="W41" i="34"/>
  <c r="AC42" i="34"/>
  <c r="AB35" i="34"/>
  <c r="U39" i="34"/>
  <c r="AB41" i="34"/>
  <c r="W34" i="34"/>
  <c r="AA25" i="34"/>
  <c r="U28" i="34"/>
  <c r="S17" i="34"/>
  <c r="AA29" i="34"/>
  <c r="S23" i="34"/>
  <c r="U15" i="34"/>
  <c r="S10" i="34"/>
  <c r="H67" i="34"/>
  <c r="H10" i="34"/>
  <c r="F11" i="34"/>
  <c r="S11" i="34" s="1"/>
  <c r="F70" i="34"/>
  <c r="W42" i="33"/>
  <c r="AA35" i="33"/>
  <c r="S27" i="33"/>
  <c r="S32" i="33"/>
  <c r="AB29" i="33"/>
  <c r="W38" i="33"/>
  <c r="H41" i="33"/>
  <c r="F121" i="33"/>
  <c r="G121" i="33"/>
  <c r="H121" i="33" s="1"/>
  <c r="I121" i="33" s="1"/>
  <c r="J121" i="33" s="1"/>
  <c r="K121" i="33" s="1"/>
  <c r="L121" i="33" s="1"/>
  <c r="M121" i="33" s="1"/>
  <c r="S42" i="33"/>
  <c r="F36" i="33"/>
  <c r="G111" i="33"/>
  <c r="G108" i="33"/>
  <c r="H108" i="33"/>
  <c r="I108" i="33" s="1"/>
  <c r="J108" i="33" s="1"/>
  <c r="K108" i="33" s="1"/>
  <c r="L108" i="33" s="1"/>
  <c r="M108" i="33" s="1"/>
  <c r="J35" i="33"/>
  <c r="S37" i="33"/>
  <c r="AA37" i="33"/>
  <c r="F101" i="33"/>
  <c r="G101" i="33" s="1"/>
  <c r="H101" i="33" s="1"/>
  <c r="I101" i="33" s="1"/>
  <c r="J101" i="33" s="1"/>
  <c r="K101" i="33" s="1"/>
  <c r="L101" i="33" s="1"/>
  <c r="M101" i="33" s="1"/>
  <c r="J32" i="33"/>
  <c r="W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s="1"/>
  <c r="F77" i="21"/>
  <c r="G77" i="21" s="1"/>
  <c r="F23" i="21"/>
  <c r="S23" i="21" s="1"/>
  <c r="E85" i="21"/>
  <c r="AA14" i="21"/>
  <c r="AB8" i="21"/>
  <c r="S8" i="21"/>
  <c r="M3" i="43"/>
  <c r="M1" i="43"/>
  <c r="N8" i="43"/>
  <c r="D120" i="9"/>
  <c r="D121" i="9" s="1"/>
  <c r="D7" i="52" s="1"/>
  <c r="C18" i="9"/>
  <c r="D18" i="9" s="1"/>
  <c r="F34" i="67"/>
  <c r="F62" i="67" s="1"/>
  <c r="M20" i="67"/>
  <c r="F34" i="15"/>
  <c r="F62" i="15"/>
  <c r="G13" i="3"/>
  <c r="BA13" i="3"/>
  <c r="BA5" i="3" s="1"/>
  <c r="E27" i="6" s="1"/>
  <c r="BL17" i="3"/>
  <c r="BL13" i="3"/>
  <c r="G31" i="6"/>
  <c r="J56" i="9"/>
  <c r="J57" i="9" s="1"/>
  <c r="J59" i="9" s="1"/>
  <c r="J61" i="9" s="1"/>
  <c r="A24" i="51"/>
  <c r="B18" i="72" s="1"/>
  <c r="E14" i="6"/>
  <c r="E64" i="39" s="1"/>
  <c r="J105" i="43"/>
  <c r="G102" i="43"/>
  <c r="H22" i="43"/>
  <c r="L101" i="43"/>
  <c r="L109" i="43" s="1"/>
  <c r="H101" i="43"/>
  <c r="D101" i="43"/>
  <c r="M101" i="43"/>
  <c r="I101" i="43"/>
  <c r="E101" i="43"/>
  <c r="G22" i="43"/>
  <c r="E32" i="6"/>
  <c r="G1" i="68"/>
  <c r="K1" i="12"/>
  <c r="J103" i="43"/>
  <c r="G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S2" i="43"/>
  <c r="AR12" i="1"/>
  <c r="T12" i="1"/>
  <c r="T10" i="1"/>
  <c r="E19" i="69"/>
  <c r="E19" i="68"/>
  <c r="E19" i="11"/>
  <c r="E1" i="73"/>
  <c r="G22" i="69"/>
  <c r="G22" i="68"/>
  <c r="G26" i="12"/>
  <c r="G22" i="11"/>
  <c r="J109" i="43"/>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U28" i="21"/>
  <c r="AA11" i="21"/>
  <c r="S45" i="21"/>
  <c r="I101" i="21"/>
  <c r="J101" i="21"/>
  <c r="K101" i="21" s="1"/>
  <c r="L101" i="21" s="1"/>
  <c r="M101" i="21" s="1"/>
  <c r="F33" i="21"/>
  <c r="AA33" i="21" s="1"/>
  <c r="J33" i="21"/>
  <c r="W33" i="21" s="1"/>
  <c r="H33" i="21"/>
  <c r="AB33" i="21" s="1"/>
  <c r="F37" i="21"/>
  <c r="AA37" i="21" s="1"/>
  <c r="AA26" i="21"/>
  <c r="AB14" i="21"/>
  <c r="U40" i="21"/>
  <c r="AB31" i="21"/>
  <c r="U31" i="21"/>
  <c r="U13" i="21"/>
  <c r="AB13" i="21"/>
  <c r="W8" i="21"/>
  <c r="S35" i="21"/>
  <c r="J37" i="21"/>
  <c r="W37" i="21" s="1"/>
  <c r="H15" i="21"/>
  <c r="U15" i="21" s="1"/>
  <c r="J17" i="21"/>
  <c r="AC17" i="21" s="1"/>
  <c r="AC19" i="21"/>
  <c r="W39" i="21"/>
  <c r="AC14" i="21"/>
  <c r="W30"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AB25" i="21"/>
  <c r="AA30" i="21"/>
  <c r="W13" i="21"/>
  <c r="W42" i="21"/>
  <c r="AC45" i="21"/>
  <c r="F10" i="21"/>
  <c r="K145" i="21"/>
  <c r="W25" i="21"/>
  <c r="AA29" i="21"/>
  <c r="S27" i="21"/>
  <c r="S17" i="21"/>
  <c r="AA15"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C48" i="69"/>
  <c r="F32" i="15"/>
  <c r="F60" i="15"/>
  <c r="M18" i="15"/>
  <c r="F28" i="15"/>
  <c r="C28" i="15" s="1"/>
  <c r="E63" i="39"/>
  <c r="T11" i="1"/>
  <c r="AQ9" i="1"/>
  <c r="AR11" i="1"/>
  <c r="E59" i="40"/>
  <c r="T9" i="1"/>
  <c r="T13" i="1"/>
  <c r="S7" i="1"/>
  <c r="AQ7" i="1" s="1"/>
  <c r="E7" i="70"/>
  <c r="AA39" i="40"/>
  <c r="S39" i="40"/>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J23" i="21"/>
  <c r="W23" i="21" s="1"/>
  <c r="F85" i="21"/>
  <c r="G85" i="21"/>
  <c r="H23" i="21"/>
  <c r="AB23" i="21" s="1"/>
  <c r="S13" i="21"/>
  <c r="D6" i="52"/>
  <c r="S6" i="43"/>
  <c r="C23" i="43"/>
  <c r="C21" i="43" s="1"/>
  <c r="S4" i="43"/>
  <c r="S3" i="43"/>
  <c r="S7" i="43"/>
  <c r="J22" i="43"/>
  <c r="E102" i="43"/>
  <c r="E104" i="43"/>
  <c r="E106" i="43"/>
  <c r="E107" i="43"/>
  <c r="E103" i="43"/>
  <c r="E105" i="43"/>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L102" i="43"/>
  <c r="L106" i="43"/>
  <c r="L105" i="43"/>
  <c r="L107" i="43"/>
  <c r="L104" i="43"/>
  <c r="L103" i="43"/>
  <c r="AQ8" i="1"/>
  <c r="AP7" i="1"/>
  <c r="Q16" i="1"/>
  <c r="AB45" i="21"/>
  <c r="AC32" i="21"/>
  <c r="AB9" i="21"/>
  <c r="U9" i="21"/>
  <c r="AA32" i="21"/>
  <c r="AB32" i="21"/>
  <c r="AA10" i="21"/>
  <c r="S10" i="21"/>
  <c r="T7" i="1"/>
  <c r="C30" i="11"/>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C11" i="37"/>
  <c r="W11" i="34"/>
  <c r="AC11" i="34"/>
  <c r="R7" i="1"/>
  <c r="F34" i="11"/>
  <c r="F11" i="12"/>
  <c r="C23" i="12" s="1"/>
  <c r="F34" i="68"/>
  <c r="R8" i="1"/>
  <c r="AE7" i="1"/>
  <c r="AE8" i="1"/>
  <c r="AG6" i="1"/>
  <c r="H109" i="9"/>
  <c r="H110" i="9" s="1"/>
  <c r="D18" i="53" s="1"/>
  <c r="B35" i="72" s="1"/>
  <c r="H112" i="9"/>
  <c r="D21" i="53" s="1"/>
  <c r="B39" i="72" s="1"/>
  <c r="H111" i="9"/>
  <c r="D126" i="9" s="1"/>
  <c r="I14" i="74" s="1"/>
  <c r="B8"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G17" i="43"/>
  <c r="C16" i="43" s="1"/>
  <c r="V17" i="71"/>
  <c r="E41" i="43"/>
  <c r="C41" i="43" s="1"/>
  <c r="I59" i="34"/>
  <c r="J59" i="34" s="1"/>
  <c r="M22" i="67"/>
  <c r="M28" i="15"/>
  <c r="J15" i="15"/>
  <c r="D5" i="73"/>
  <c r="D2" i="21"/>
  <c r="F16" i="15"/>
  <c r="F7" i="67"/>
  <c r="F42" i="67"/>
  <c r="B9" i="76"/>
  <c r="M29" i="15"/>
  <c r="AO13" i="1"/>
  <c r="M8" i="15"/>
  <c r="D2" i="34"/>
  <c r="F38" i="67"/>
  <c r="M26" i="67"/>
  <c r="D2" i="37"/>
  <c r="F20" i="31"/>
  <c r="M27" i="15"/>
  <c r="AO10" i="1"/>
  <c r="F42" i="15"/>
  <c r="M9" i="15"/>
  <c r="L48" i="67"/>
  <c r="E8" i="76"/>
  <c r="F8" i="15"/>
  <c r="E9" i="76"/>
  <c r="L47" i="67"/>
  <c r="M23" i="15"/>
  <c r="F36" i="15"/>
  <c r="F9" i="67"/>
  <c r="D35" i="9"/>
  <c r="F6" i="73"/>
  <c r="F3" i="73"/>
  <c r="E13" i="76"/>
  <c r="F37" i="67"/>
  <c r="M22" i="15"/>
  <c r="F6" i="67"/>
  <c r="F7" i="15"/>
  <c r="E11" i="76"/>
  <c r="B13" i="76"/>
  <c r="AO9" i="1"/>
  <c r="L47" i="15"/>
  <c r="D2" i="33"/>
  <c r="F13" i="15"/>
  <c r="M8" i="67"/>
  <c r="F41" i="15"/>
  <c r="M6" i="67"/>
  <c r="E10" i="76"/>
  <c r="E12" i="76"/>
  <c r="C76" i="67"/>
  <c r="AO7" i="1"/>
  <c r="M26" i="15"/>
  <c r="F6" i="15"/>
  <c r="F4" i="73"/>
  <c r="F8" i="67"/>
  <c r="D34" i="9"/>
  <c r="M9" i="67"/>
  <c r="M6" i="15"/>
  <c r="M23" i="67"/>
  <c r="M29" i="67"/>
  <c r="F13" i="67"/>
  <c r="F9" i="15"/>
  <c r="F37" i="15"/>
  <c r="D7" i="73"/>
  <c r="E2" i="68"/>
  <c r="AO8" i="1"/>
  <c r="B10" i="76"/>
  <c r="F26" i="15"/>
  <c r="F7" i="73"/>
  <c r="M24" i="15"/>
  <c r="F43" i="15"/>
  <c r="E7" i="76"/>
  <c r="D3" i="73"/>
  <c r="M27" i="67"/>
  <c r="B7" i="76"/>
  <c r="D6" i="73"/>
  <c r="D2" i="36"/>
  <c r="B8" i="76"/>
  <c r="L48" i="15"/>
  <c r="M24" i="67"/>
  <c r="F16" i="67"/>
  <c r="B11" i="76"/>
  <c r="F43" i="67"/>
  <c r="C14" i="15"/>
  <c r="D2" i="35"/>
  <c r="D4" i="73"/>
  <c r="M28" i="67"/>
  <c r="M21" i="15"/>
  <c r="J15" i="67"/>
  <c r="C76" i="15"/>
  <c r="F36" i="67"/>
  <c r="F40" i="15"/>
  <c r="AO11" i="1"/>
  <c r="F35" i="15"/>
  <c r="B12" i="76"/>
  <c r="F26" i="67"/>
  <c r="F5" i="73"/>
  <c r="AO12" i="1"/>
  <c r="F38" i="15"/>
  <c r="F40" i="67"/>
  <c r="E2" i="69"/>
  <c r="S46" i="21" l="1"/>
  <c r="W46" i="21"/>
  <c r="AC46" i="21"/>
  <c r="AB46" i="21"/>
  <c r="W44" i="21"/>
  <c r="AB44" i="21"/>
  <c r="S44" i="21"/>
  <c r="U27" i="21"/>
  <c r="AC33" i="21"/>
  <c r="S42" i="21"/>
  <c r="AB42" i="21"/>
  <c r="S33" i="21"/>
  <c r="U33" i="21"/>
  <c r="AC27" i="21"/>
  <c r="U26" i="21"/>
  <c r="AC23" i="21"/>
  <c r="AA23" i="21"/>
  <c r="AC15" i="21"/>
  <c r="W9" i="21"/>
  <c r="D124" i="9"/>
  <c r="AQ10" i="1"/>
  <c r="AR10" i="1"/>
  <c r="J104" i="43"/>
  <c r="J107" i="43"/>
  <c r="J102" i="43"/>
  <c r="J106" i="43"/>
  <c r="AA32" i="37"/>
  <c r="S32" i="37"/>
  <c r="AA27" i="36"/>
  <c r="S27" i="36"/>
  <c r="AA30" i="40"/>
  <c r="S30" i="40"/>
  <c r="AA20" i="35"/>
  <c r="S20" i="35"/>
  <c r="W34" i="33"/>
  <c r="AC34" i="33"/>
  <c r="E15" i="6"/>
  <c r="E10" i="6"/>
  <c r="E11" i="6"/>
  <c r="E61" i="39" s="1"/>
  <c r="E5" i="6"/>
  <c r="AZ377" i="3"/>
  <c r="AZ326" i="3"/>
  <c r="AZ347" i="3"/>
  <c r="AZ378" i="3"/>
  <c r="AA11" i="39"/>
  <c r="S11" i="39"/>
  <c r="AA43" i="33"/>
  <c r="S43" i="33"/>
  <c r="AB42" i="33"/>
  <c r="U42" i="33"/>
  <c r="AZ515" i="3"/>
  <c r="AZ549" i="3"/>
  <c r="AZ565" i="3"/>
  <c r="AZ569" i="3"/>
  <c r="AZ573" i="3"/>
  <c r="AZ577" i="3"/>
  <c r="AZ583" i="3"/>
  <c r="AZ496" i="3"/>
  <c r="AZ508" i="3"/>
  <c r="AZ536" i="3"/>
  <c r="AZ558" i="3"/>
  <c r="W13" i="34"/>
  <c r="AC13" i="34"/>
  <c r="S14" i="33"/>
  <c r="AA14" i="33"/>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U11" i="21"/>
  <c r="AB11" i="21"/>
  <c r="U27" i="39"/>
  <c r="AB27" i="39"/>
  <c r="AA21" i="40"/>
  <c r="S21" i="40"/>
  <c r="U34" i="39"/>
  <c r="AB34" i="39"/>
  <c r="AA42" i="39"/>
  <c r="S42" i="39"/>
  <c r="AA26" i="33"/>
  <c r="S26" i="33"/>
  <c r="E12" i="71"/>
  <c r="E11" i="71" s="1"/>
  <c r="E10" i="71" s="1"/>
  <c r="E9" i="71" s="1"/>
  <c r="V13" i="71"/>
  <c r="D19" i="53"/>
  <c r="E68" i="39"/>
  <c r="F68" i="39" s="1"/>
  <c r="C30" i="68"/>
  <c r="D16" i="53"/>
  <c r="T8" i="1"/>
  <c r="AB15" i="21"/>
  <c r="S37" i="21"/>
  <c r="AC37" i="21"/>
  <c r="W17" i="21"/>
  <c r="C58" i="21"/>
  <c r="I7" i="21"/>
  <c r="E7" i="21"/>
  <c r="G7" i="21"/>
  <c r="I7" i="39"/>
  <c r="E7" i="39"/>
  <c r="G7" i="39"/>
  <c r="F48" i="9"/>
  <c r="O52" i="9" s="1"/>
  <c r="F53" i="9"/>
  <c r="AA39" i="34"/>
  <c r="G105" i="43"/>
  <c r="G107" i="43"/>
  <c r="G104"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AA43" i="34"/>
  <c r="S43" i="34"/>
  <c r="U20" i="36"/>
  <c r="AB20" i="36"/>
  <c r="S33" i="34"/>
  <c r="AA33" i="34"/>
  <c r="H83" i="43"/>
  <c r="H82" i="43"/>
  <c r="AZ17" i="3"/>
  <c r="AZ327" i="3"/>
  <c r="AA15" i="37"/>
  <c r="S15" i="37"/>
  <c r="AA39" i="33"/>
  <c r="S39" i="33"/>
  <c r="AZ493" i="3"/>
  <c r="AZ501" i="3"/>
  <c r="AZ511" i="3"/>
  <c r="AZ519" i="3"/>
  <c r="AZ520" i="3"/>
  <c r="W13" i="39"/>
  <c r="AC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14" i="35"/>
  <c r="S14" i="35"/>
  <c r="AA22" i="35"/>
  <c r="S22" i="35"/>
  <c r="W11" i="21"/>
  <c r="AC11" i="21"/>
  <c r="AB19" i="39"/>
  <c r="U19" i="39"/>
  <c r="S41" i="39"/>
  <c r="AA41" i="39"/>
  <c r="W33" i="36"/>
  <c r="AC33" i="36"/>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0" i="3"/>
  <c r="BL499" i="3"/>
  <c r="AZ499" i="3"/>
  <c r="BL497" i="3"/>
  <c r="AZ497" i="3" s="1"/>
  <c r="BL495" i="3"/>
  <c r="BQ5" i="3"/>
  <c r="F28" i="6" s="1"/>
  <c r="AZ494" i="3"/>
  <c r="F12" i="33"/>
  <c r="N104" i="46"/>
  <c r="C101" i="43"/>
  <c r="E22" i="43"/>
  <c r="D22" i="43" s="1"/>
  <c r="N101" i="43"/>
  <c r="F101" i="43"/>
  <c r="K101" i="43"/>
  <c r="AC14" i="35"/>
  <c r="U10" i="21"/>
  <c r="K5" i="4"/>
  <c r="B47" i="48" s="1"/>
  <c r="H37" i="21"/>
  <c r="H27" i="34"/>
  <c r="S35" i="39"/>
  <c r="W44" i="39"/>
  <c r="H35" i="35"/>
  <c r="F35" i="35"/>
  <c r="H25" i="35"/>
  <c r="F25" i="35"/>
  <c r="H13" i="35"/>
  <c r="J13" i="35"/>
  <c r="J47" i="34"/>
  <c r="F47" i="34"/>
  <c r="F45" i="34"/>
  <c r="J45" i="34"/>
  <c r="F31" i="34"/>
  <c r="H31" i="34"/>
  <c r="H29" i="34"/>
  <c r="F30" i="33"/>
  <c r="F31" i="21"/>
  <c r="J31" i="21"/>
  <c r="J28" i="21"/>
  <c r="F28" i="21"/>
  <c r="S38" i="33"/>
  <c r="F27" i="34"/>
  <c r="S34" i="21"/>
  <c r="W39" i="33"/>
  <c r="U33" i="33"/>
  <c r="W9" i="34"/>
  <c r="S34" i="35"/>
  <c r="U31" i="36"/>
  <c r="S41" i="21"/>
  <c r="H23" i="35"/>
  <c r="J23" i="35"/>
  <c r="AB30" i="37"/>
  <c r="U30" i="37"/>
  <c r="J26" i="37"/>
  <c r="H26" i="37"/>
  <c r="F26" i="37"/>
  <c r="AC40" i="39"/>
  <c r="W40" i="39"/>
  <c r="J12" i="36"/>
  <c r="H12" i="36"/>
  <c r="J24" i="36"/>
  <c r="H24" i="36"/>
  <c r="J39" i="40"/>
  <c r="H39" i="40"/>
  <c r="F38" i="40"/>
  <c r="J38" i="40"/>
  <c r="H38" i="40"/>
  <c r="G551" i="3"/>
  <c r="BL548" i="3"/>
  <c r="AZ548" i="3" s="1"/>
  <c r="T57" i="71"/>
  <c r="D57" i="71"/>
  <c r="C36" i="71"/>
  <c r="D35" i="71"/>
  <c r="AA27" i="71"/>
  <c r="AA29" i="71"/>
  <c r="AA28" i="71"/>
  <c r="AA24" i="71"/>
  <c r="Y32" i="71"/>
  <c r="Z32" i="71" s="1"/>
  <c r="Y30" i="71"/>
  <c r="Z30" i="71" s="1"/>
  <c r="Y27" i="71"/>
  <c r="Z27" i="71" s="1"/>
  <c r="Y26" i="71"/>
  <c r="Z26" i="71" s="1"/>
  <c r="Y31" i="71"/>
  <c r="Z31" i="71" s="1"/>
  <c r="C33" i="71"/>
  <c r="X30" i="71"/>
  <c r="X31" i="71"/>
  <c r="X33" i="71"/>
  <c r="X32" i="71"/>
  <c r="X24" i="71"/>
  <c r="AB33" i="71"/>
  <c r="AB28" i="71"/>
  <c r="B35" i="71"/>
  <c r="B36" i="71" s="1"/>
  <c r="B37" i="71" s="1"/>
  <c r="S37" i="71" s="1"/>
  <c r="X34" i="71"/>
  <c r="D48" i="71"/>
  <c r="C49" i="71"/>
  <c r="AB23" i="71"/>
  <c r="AB22" i="71"/>
  <c r="AB24" i="71"/>
  <c r="Y23" i="71"/>
  <c r="Z23" i="71" s="1"/>
  <c r="Y24" i="71"/>
  <c r="Z24" i="71" s="1"/>
  <c r="Y22" i="71"/>
  <c r="Z22" i="71" s="1"/>
  <c r="Y21" i="71"/>
  <c r="Z21" i="71" s="1"/>
  <c r="Y19" i="71"/>
  <c r="Z19" i="71" s="1"/>
  <c r="AB20" i="71"/>
  <c r="AA18" i="71"/>
  <c r="Y15" i="71"/>
  <c r="Z15" i="71" s="1"/>
  <c r="AB15" i="71"/>
  <c r="X14" i="71"/>
  <c r="AA14"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D63" i="71"/>
  <c r="O63" i="71"/>
  <c r="F24" i="71"/>
  <c r="F23" i="71" s="1"/>
  <c r="AB26" i="71"/>
  <c r="AA34" i="71"/>
  <c r="C5" i="11"/>
  <c r="A15" i="62"/>
  <c r="B61" i="72" s="1"/>
  <c r="AZ153" i="3"/>
  <c r="AZ185" i="3"/>
  <c r="AZ207" i="3"/>
  <c r="AZ22" i="3"/>
  <c r="AZ25" i="3"/>
  <c r="AZ36" i="3"/>
  <c r="AZ46" i="3"/>
  <c r="AZ57" i="3"/>
  <c r="AZ62" i="3"/>
  <c r="AZ81" i="3"/>
  <c r="AZ99" i="3"/>
  <c r="AZ103" i="3"/>
  <c r="AZ106" i="3"/>
  <c r="M108" i="43"/>
  <c r="M109" i="43" s="1"/>
  <c r="M100" i="43"/>
  <c r="K108" i="43"/>
  <c r="K109" i="43" s="1"/>
  <c r="K100" i="43"/>
  <c r="I108" i="43"/>
  <c r="I109" i="43" s="1"/>
  <c r="I100" i="43"/>
  <c r="E108" i="43"/>
  <c r="E109" i="43" s="1"/>
  <c r="E100" i="43"/>
  <c r="AC18" i="36"/>
  <c r="W18" i="36"/>
  <c r="AB29" i="39"/>
  <c r="U29" i="39"/>
  <c r="B86" i="43"/>
  <c r="C25" i="40"/>
  <c r="AA21" i="34"/>
  <c r="S21" i="34"/>
  <c r="C75" i="71"/>
  <c r="D75" i="71" s="1"/>
  <c r="D76" i="71"/>
  <c r="AA3" i="71"/>
  <c r="AA23" i="71"/>
  <c r="AA25" i="71"/>
  <c r="E25" i="71"/>
  <c r="AA22" i="71"/>
  <c r="X27" i="71"/>
  <c r="X22" i="71"/>
  <c r="D108" i="43"/>
  <c r="D109" i="43" s="1"/>
  <c r="D100" i="43"/>
  <c r="B75" i="43"/>
  <c r="B66" i="43"/>
  <c r="C29" i="39"/>
  <c r="AA18" i="35"/>
  <c r="S18" i="35"/>
  <c r="AA29" i="39"/>
  <c r="S29" i="39"/>
  <c r="B28" i="71"/>
  <c r="B29" i="71" s="1"/>
  <c r="S29" i="71" s="1"/>
  <c r="C25" i="71"/>
  <c r="Y25" i="71"/>
  <c r="Z25" i="71" s="1"/>
  <c r="X23" i="71"/>
  <c r="X25" i="71"/>
  <c r="E27" i="71"/>
  <c r="E28" i="71" s="1"/>
  <c r="E29" i="71" s="1"/>
  <c r="U29" i="71" s="1"/>
  <c r="AA26" i="71"/>
  <c r="AB27" i="71"/>
  <c r="AB25" i="71"/>
  <c r="AA31" i="71"/>
  <c r="AA30" i="71"/>
  <c r="AB35" i="71"/>
  <c r="AB34" i="71"/>
  <c r="AB6" i="71"/>
  <c r="AB36" i="71"/>
  <c r="S65" i="71"/>
  <c r="B64" i="71"/>
  <c r="N65" i="71"/>
  <c r="T69" i="71"/>
  <c r="D69" i="71"/>
  <c r="T77" i="71"/>
  <c r="D77" i="71"/>
  <c r="E32" i="71"/>
  <c r="E33" i="71" s="1"/>
  <c r="U33" i="71" s="1"/>
  <c r="Y28" i="71"/>
  <c r="Z28" i="71" s="1"/>
  <c r="X28" i="71"/>
  <c r="X29" i="71"/>
  <c r="AB29" i="71"/>
  <c r="AB31" i="71"/>
  <c r="AB30" i="71"/>
  <c r="AA32" i="71"/>
  <c r="AA33" i="71"/>
  <c r="X6" i="71"/>
  <c r="X7" i="71"/>
  <c r="X36" i="71"/>
  <c r="Y6" i="71"/>
  <c r="Z6" i="71" s="1"/>
  <c r="Y7" i="71"/>
  <c r="Z7" i="71" s="1"/>
  <c r="AA6" i="71"/>
  <c r="AA7" i="71"/>
  <c r="X21" i="71"/>
  <c r="AA20" i="71"/>
  <c r="X19" i="71"/>
  <c r="X15" i="71"/>
  <c r="Y11" i="71"/>
  <c r="Z11" i="71" s="1"/>
  <c r="Y14" i="71"/>
  <c r="Z14" i="71" s="1"/>
  <c r="AB14" i="71"/>
  <c r="Y18" i="71"/>
  <c r="Z18" i="71" s="1"/>
  <c r="AA19" i="71"/>
  <c r="AB18" i="71"/>
  <c r="X18" i="71"/>
  <c r="AA15" i="71"/>
  <c r="X12" i="71"/>
  <c r="AA12" i="71"/>
  <c r="AB7" i="71"/>
  <c r="AB9" i="71"/>
  <c r="Y8" i="71"/>
  <c r="Z8" i="71" s="1"/>
  <c r="AA10" i="71"/>
  <c r="AA11" i="71"/>
  <c r="X10" i="71"/>
  <c r="AA21" i="71"/>
  <c r="AB21" i="71"/>
  <c r="B21" i="71"/>
  <c r="C21" i="71"/>
  <c r="Y20" i="71"/>
  <c r="Z20" i="71" s="1"/>
  <c r="AB12" i="71"/>
  <c r="AB8" i="71"/>
  <c r="AB10" i="71"/>
  <c r="AB11" i="71"/>
  <c r="Y10" i="71"/>
  <c r="Z10" i="71" s="1"/>
  <c r="Y9" i="71"/>
  <c r="Z9" i="71" s="1"/>
  <c r="AA8" i="71"/>
  <c r="AA9" i="71"/>
  <c r="X8" i="71"/>
  <c r="X9" i="71"/>
  <c r="X11" i="71"/>
  <c r="P74" i="67"/>
  <c r="C94" i="9"/>
  <c r="C92" i="9"/>
  <c r="C31" i="12"/>
  <c r="C48" i="68"/>
  <c r="C28" i="67"/>
  <c r="C30" i="69"/>
  <c r="C36" i="11"/>
  <c r="C21" i="69"/>
  <c r="D22" i="67"/>
  <c r="K15" i="1"/>
  <c r="L19" i="6"/>
  <c r="L27" i="6" s="1"/>
  <c r="E56" i="40"/>
  <c r="E8" i="6"/>
  <c r="O7" i="1"/>
  <c r="P7" i="1" s="1"/>
  <c r="F27" i="68"/>
  <c r="F45" i="68" s="1"/>
  <c r="F27" i="11"/>
  <c r="F28" i="12"/>
  <c r="C29" i="12" s="1"/>
  <c r="D28" i="12" s="1"/>
  <c r="AR7" i="1"/>
  <c r="H16" i="1"/>
  <c r="D9" i="68"/>
  <c r="C9" i="68" s="1"/>
  <c r="O11" i="1"/>
  <c r="P11" i="1" s="1"/>
  <c r="O14" i="1"/>
  <c r="P14" i="1" s="1"/>
  <c r="D113" i="43"/>
  <c r="C115" i="43"/>
  <c r="O9" i="1"/>
  <c r="P9" i="1" s="1"/>
  <c r="E60" i="40"/>
  <c r="E65" i="39"/>
  <c r="E16" i="6"/>
  <c r="O8" i="1"/>
  <c r="P8" i="1" s="1"/>
  <c r="X5" i="71"/>
  <c r="Y5" i="71"/>
  <c r="Z5" i="71" s="1"/>
  <c r="AA5" i="71"/>
  <c r="AB5" i="71"/>
  <c r="D10" i="52"/>
  <c r="D12" i="52"/>
  <c r="D127" i="9"/>
  <c r="D13" i="52" s="1"/>
  <c r="E70" i="39"/>
  <c r="C5" i="43"/>
  <c r="T11" i="43" s="1"/>
  <c r="V11" i="43" s="1"/>
  <c r="D5" i="43"/>
  <c r="C35" i="43" s="1"/>
  <c r="E35" i="43" s="1"/>
  <c r="T14" i="43"/>
  <c r="V14" i="43" s="1"/>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Z12" i="71" s="1"/>
  <c r="AA13" i="71"/>
  <c r="AB3" i="71"/>
  <c r="C36" i="43"/>
  <c r="E36" i="43" s="1"/>
  <c r="T9" i="43"/>
  <c r="V9" i="43" s="1"/>
  <c r="C39" i="43"/>
  <c r="X13" i="71"/>
  <c r="AB13" i="71"/>
  <c r="T4" i="43"/>
  <c r="V4" i="43" s="1"/>
  <c r="T6" i="43"/>
  <c r="V6" i="43" s="1"/>
  <c r="Y3" i="71"/>
  <c r="Z3" i="71" s="1"/>
  <c r="F13" i="71"/>
  <c r="F12" i="71" s="1"/>
  <c r="F11" i="71" s="1"/>
  <c r="F10" i="71" s="1"/>
  <c r="F9" i="71" s="1"/>
  <c r="F8" i="71" s="1"/>
  <c r="F7" i="71" s="1"/>
  <c r="F6" i="71" s="1"/>
  <c r="F5" i="71" s="1"/>
  <c r="AF3" i="71"/>
  <c r="P22" i="43" s="1"/>
  <c r="T10" i="43"/>
  <c r="V10" i="43" s="1"/>
  <c r="T13" i="43"/>
  <c r="V13" i="43" s="1"/>
  <c r="T2" i="43"/>
  <c r="V2" i="43" s="1"/>
  <c r="C38" i="43"/>
  <c r="T3" i="43"/>
  <c r="V3" i="43" s="1"/>
  <c r="T5" i="43"/>
  <c r="V5" i="43" s="1"/>
  <c r="C36" i="68"/>
  <c r="C6" i="67"/>
  <c r="C15" i="15"/>
  <c r="C18" i="15"/>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27" i="69"/>
  <c r="C36" i="69"/>
  <c r="C16" i="67"/>
  <c r="D9" i="69"/>
  <c r="C16" i="15"/>
  <c r="G1" i="73"/>
  <c r="C17" i="15"/>
  <c r="C29" i="68" l="1"/>
  <c r="D27" i="68" s="1"/>
  <c r="C33" i="43"/>
  <c r="C34" i="43"/>
  <c r="C37" i="43"/>
  <c r="E37" i="43" s="1"/>
  <c r="J10" i="40"/>
  <c r="F7" i="36"/>
  <c r="J7" i="34"/>
  <c r="B20" i="71"/>
  <c r="B19" i="71" s="1"/>
  <c r="B18" i="71" s="1"/>
  <c r="B17" i="71" s="1"/>
  <c r="S21" i="71"/>
  <c r="B63" i="71"/>
  <c r="N64" i="71"/>
  <c r="T33" i="71"/>
  <c r="D33" i="71"/>
  <c r="AB38" i="40"/>
  <c r="U38" i="40"/>
  <c r="AA38" i="40"/>
  <c r="S38" i="40"/>
  <c r="W39" i="40"/>
  <c r="AC39" i="40"/>
  <c r="AC24" i="36"/>
  <c r="W24" i="36"/>
  <c r="AC12" i="36"/>
  <c r="W12" i="36"/>
  <c r="AB26" i="37"/>
  <c r="U26" i="37"/>
  <c r="AC23" i="35"/>
  <c r="W23" i="35"/>
  <c r="AC28" i="21"/>
  <c r="W28" i="21"/>
  <c r="AA31" i="21"/>
  <c r="S31" i="21"/>
  <c r="U29" i="34"/>
  <c r="AB29" i="34"/>
  <c r="S31" i="34"/>
  <c r="AA31" i="34"/>
  <c r="AA45" i="34"/>
  <c r="S45" i="34"/>
  <c r="AC47" i="34"/>
  <c r="W47" i="34"/>
  <c r="AB13" i="35"/>
  <c r="U13" i="35"/>
  <c r="AB25" i="35"/>
  <c r="U25" i="35"/>
  <c r="AB35" i="35"/>
  <c r="U35" i="35"/>
  <c r="U37" i="21"/>
  <c r="AB37" i="21"/>
  <c r="K102" i="43"/>
  <c r="K106" i="43"/>
  <c r="K107" i="43"/>
  <c r="K105" i="43"/>
  <c r="K103" i="43"/>
  <c r="K104" i="43"/>
  <c r="N105" i="43"/>
  <c r="N107" i="43"/>
  <c r="N103" i="43"/>
  <c r="N109" i="43"/>
  <c r="N102" i="43"/>
  <c r="N106" i="43"/>
  <c r="N104" i="43"/>
  <c r="C104" i="43"/>
  <c r="C106" i="43"/>
  <c r="C107" i="43"/>
  <c r="C103" i="43"/>
  <c r="C102" i="43"/>
  <c r="C105" i="43"/>
  <c r="C109" i="43"/>
  <c r="S12" i="33"/>
  <c r="AA12" i="33"/>
  <c r="E28" i="6"/>
  <c r="F30" i="6"/>
  <c r="H14" i="74"/>
  <c r="B7" i="74" s="1"/>
  <c r="D125" i="9"/>
  <c r="D11" i="52" s="1"/>
  <c r="C20" i="71"/>
  <c r="D21" i="71"/>
  <c r="U21" i="71" s="1"/>
  <c r="T21" i="71"/>
  <c r="C24" i="71"/>
  <c r="T25" i="71"/>
  <c r="D25" i="71"/>
  <c r="U25" i="71" s="1"/>
  <c r="E24" i="71"/>
  <c r="E23" i="71" s="1"/>
  <c r="V25" i="71"/>
  <c r="T49" i="71"/>
  <c r="D49" i="71"/>
  <c r="D36" i="71"/>
  <c r="C37" i="71"/>
  <c r="AC38" i="40"/>
  <c r="W38" i="40"/>
  <c r="U39" i="40"/>
  <c r="AB39" i="40"/>
  <c r="AB24" i="36"/>
  <c r="U24" i="36"/>
  <c r="U12" i="36"/>
  <c r="AB12" i="36"/>
  <c r="AA26" i="37"/>
  <c r="S26" i="37"/>
  <c r="AC26" i="37"/>
  <c r="W26" i="37"/>
  <c r="U23" i="35"/>
  <c r="AB23" i="35"/>
  <c r="AA27" i="34"/>
  <c r="S27" i="34"/>
  <c r="S28" i="21"/>
  <c r="AA28" i="21"/>
  <c r="AC31" i="21"/>
  <c r="W31" i="21"/>
  <c r="S30" i="33"/>
  <c r="AA30" i="33"/>
  <c r="U31" i="34"/>
  <c r="AB31" i="34"/>
  <c r="W45" i="34"/>
  <c r="AC45" i="34"/>
  <c r="AA47" i="34"/>
  <c r="S47" i="34"/>
  <c r="W13" i="35"/>
  <c r="AC13" i="35"/>
  <c r="AA25" i="35"/>
  <c r="S25" i="35"/>
  <c r="AA35" i="35"/>
  <c r="S35" i="35"/>
  <c r="U27" i="34"/>
  <c r="AB27" i="34"/>
  <c r="F102" i="43"/>
  <c r="F103" i="43"/>
  <c r="F104" i="43"/>
  <c r="F106" i="43"/>
  <c r="F105" i="43"/>
  <c r="F109" i="43"/>
  <c r="F107" i="43"/>
  <c r="G5" i="3"/>
  <c r="B3" i="3" s="1"/>
  <c r="BL5" i="3"/>
  <c r="AZ495" i="3"/>
  <c r="AZ5" i="3" s="1"/>
  <c r="D17" i="53"/>
  <c r="B36" i="72" s="1"/>
  <c r="B34" i="72"/>
  <c r="B38" i="72"/>
  <c r="D20" i="53"/>
  <c r="B40" i="72" s="1"/>
  <c r="E8" i="71"/>
  <c r="E7" i="71" s="1"/>
  <c r="E6" i="71" s="1"/>
  <c r="E5" i="71" s="1"/>
  <c r="V9" i="71"/>
  <c r="D9" i="11"/>
  <c r="C9" i="11" s="1"/>
  <c r="D19" i="12"/>
  <c r="C19" i="12" s="1"/>
  <c r="C9" i="69"/>
  <c r="C47" i="69"/>
  <c r="D45" i="69" s="1"/>
  <c r="F45" i="69"/>
  <c r="C29" i="69"/>
  <c r="D27" i="69" s="1"/>
  <c r="C47" i="68"/>
  <c r="D45" i="68" s="1"/>
  <c r="H10" i="39"/>
  <c r="F10" i="40"/>
  <c r="F27" i="6"/>
  <c r="F31" i="6" s="1"/>
  <c r="E56" i="39"/>
  <c r="E66" i="39" s="1"/>
  <c r="E51" i="40"/>
  <c r="J10" i="39"/>
  <c r="H10" i="40"/>
  <c r="O16" i="1"/>
  <c r="C47" i="11"/>
  <c r="D45" i="11" s="1"/>
  <c r="C29" i="11"/>
  <c r="D27" i="11" s="1"/>
  <c r="P16" i="1"/>
  <c r="C11" i="12" s="1"/>
  <c r="G36" i="43"/>
  <c r="I36" i="43" s="1"/>
  <c r="J7" i="37"/>
  <c r="H7" i="36"/>
  <c r="H7" i="34"/>
  <c r="F7" i="34"/>
  <c r="T8" i="43"/>
  <c r="V8" i="43" s="1"/>
  <c r="T16" i="43"/>
  <c r="V16" i="43" s="1"/>
  <c r="T7" i="43"/>
  <c r="V7" i="43" s="1"/>
  <c r="C29" i="43"/>
  <c r="C30" i="43" s="1"/>
  <c r="E30" i="43" s="1"/>
  <c r="T15" i="43"/>
  <c r="V15" i="43" s="1"/>
  <c r="F59" i="67"/>
  <c r="G35" i="43"/>
  <c r="I35" i="43" s="1"/>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 i="6" l="1"/>
  <c r="AY6" i="3"/>
  <c r="X6" i="3"/>
  <c r="E399"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10"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313" i="3"/>
  <c r="E369" i="3"/>
  <c r="E330" i="3"/>
  <c r="E393" i="3"/>
  <c r="E519" i="3"/>
  <c r="E525" i="3"/>
  <c r="K6" i="3"/>
  <c r="E493" i="3"/>
  <c r="E532" i="3"/>
  <c r="E534" i="3"/>
  <c r="Q6" i="3"/>
  <c r="E564" i="3"/>
  <c r="T6" i="3"/>
  <c r="E560" i="3"/>
  <c r="E543" i="3"/>
  <c r="E405" i="3"/>
  <c r="E427" i="3"/>
  <c r="E456" i="3"/>
  <c r="E472" i="3"/>
  <c r="E474" i="3"/>
  <c r="E481" i="3"/>
  <c r="E527" i="3"/>
  <c r="E406" i="3"/>
  <c r="E438" i="3"/>
  <c r="E424" i="3"/>
  <c r="E457" i="3"/>
  <c r="E465" i="3"/>
  <c r="E288" i="3"/>
  <c r="E344" i="3"/>
  <c r="E562" i="3"/>
  <c r="E587" i="3"/>
  <c r="AH6" i="3"/>
  <c r="E497" i="3"/>
  <c r="E571" i="3"/>
  <c r="E577" i="3"/>
  <c r="E537" i="3"/>
  <c r="E494" i="3"/>
  <c r="E419" i="3"/>
  <c r="E452" i="3"/>
  <c r="E483" i="3"/>
  <c r="E470" i="3"/>
  <c r="E401" i="3"/>
  <c r="E420" i="3"/>
  <c r="E463" i="3"/>
  <c r="E26" i="3"/>
  <c r="E40" i="3"/>
  <c r="E104" i="3"/>
  <c r="E25" i="3"/>
  <c r="E41" i="3"/>
  <c r="E108" i="3"/>
  <c r="E115" i="3"/>
  <c r="E178" i="3"/>
  <c r="E198" i="3"/>
  <c r="E119" i="3"/>
  <c r="E150" i="3"/>
  <c r="E171" i="3"/>
  <c r="E208" i="3"/>
  <c r="E256" i="3"/>
  <c r="E279" i="3"/>
  <c r="E214" i="3"/>
  <c r="E257" i="3"/>
  <c r="E243" i="3"/>
  <c r="E276" i="3"/>
  <c r="E332" i="3"/>
  <c r="E346" i="3"/>
  <c r="E391" i="3"/>
  <c r="E394" i="3"/>
  <c r="E318" i="3"/>
  <c r="E362" i="3"/>
  <c r="E14" i="3"/>
  <c r="L6" i="3"/>
  <c r="E31" i="3"/>
  <c r="E74" i="3"/>
  <c r="E93" i="3"/>
  <c r="E32" i="3"/>
  <c r="E75" i="3"/>
  <c r="E409" i="3"/>
  <c r="E473" i="3"/>
  <c r="E15" i="3"/>
  <c r="E455" i="3"/>
  <c r="E79" i="3"/>
  <c r="E38" i="3"/>
  <c r="E100" i="3"/>
  <c r="E170" i="3"/>
  <c r="E137" i="3"/>
  <c r="E194" i="3"/>
  <c r="E234" i="3"/>
  <c r="E275" i="3"/>
  <c r="E235" i="3"/>
  <c r="E324" i="3"/>
  <c r="E383" i="3"/>
  <c r="E342" i="3"/>
  <c r="E522" i="3"/>
  <c r="E52" i="3"/>
  <c r="E36" i="3"/>
  <c r="E112" i="3"/>
  <c r="E123" i="3"/>
  <c r="E147" i="3"/>
  <c r="E289" i="3"/>
  <c r="E251" i="3"/>
  <c r="E370" i="3"/>
  <c r="AF6" i="3"/>
  <c r="E102" i="3"/>
  <c r="E80" i="3"/>
  <c r="E113" i="3"/>
  <c r="E158" i="3"/>
  <c r="E287" i="3"/>
  <c r="E265" i="3"/>
  <c r="E365" i="3"/>
  <c r="E524" i="3"/>
  <c r="E101" i="3"/>
  <c r="E107" i="3"/>
  <c r="E573" i="3"/>
  <c r="E529" i="3"/>
  <c r="E437" i="3"/>
  <c r="E458" i="3"/>
  <c r="E486" i="3"/>
  <c r="E469" i="3"/>
  <c r="E507" i="3"/>
  <c r="E512" i="3"/>
  <c r="E422" i="3"/>
  <c r="E408" i="3"/>
  <c r="E440" i="3"/>
  <c r="E451" i="3"/>
  <c r="E490" i="3"/>
  <c r="E360" i="3"/>
  <c r="E376" i="3"/>
  <c r="E556" i="3"/>
  <c r="W6" i="3"/>
  <c r="AE6" i="3"/>
  <c r="J6" i="3"/>
  <c r="E13" i="3"/>
  <c r="E498" i="3"/>
  <c r="E429" i="3"/>
  <c r="E450" i="3"/>
  <c r="E468" i="3"/>
  <c r="E471" i="3"/>
  <c r="E496" i="3"/>
  <c r="E433" i="3"/>
  <c r="E454" i="3"/>
  <c r="E475" i="3"/>
  <c r="E55" i="3"/>
  <c r="E72" i="3"/>
  <c r="E106" i="3"/>
  <c r="E54" i="3"/>
  <c r="E73" i="3"/>
  <c r="E111" i="3"/>
  <c r="E146" i="3"/>
  <c r="E168" i="3"/>
  <c r="E203" i="3"/>
  <c r="E139" i="3"/>
  <c r="E202" i="3"/>
  <c r="E225" i="3"/>
  <c r="E242" i="3"/>
  <c r="E281" i="3"/>
  <c r="E226" i="3"/>
  <c r="E274" i="3"/>
  <c r="E351" i="3"/>
  <c r="E315" i="3"/>
  <c r="E357" i="3"/>
  <c r="E333" i="3"/>
  <c r="E356" i="3"/>
  <c r="E372" i="3"/>
  <c r="AL6" i="3"/>
  <c r="E580" i="3"/>
  <c r="E42" i="3"/>
  <c r="E60" i="3"/>
  <c r="E94" i="3"/>
  <c r="E43" i="3"/>
  <c r="E488" i="3"/>
  <c r="E428" i="3"/>
  <c r="E482" i="3"/>
  <c r="E412" i="3"/>
  <c r="E18" i="3"/>
  <c r="E96" i="3"/>
  <c r="E78" i="3"/>
  <c r="E129" i="3"/>
  <c r="E190" i="3"/>
  <c r="E174" i="3"/>
  <c r="E220" i="3"/>
  <c r="E219" i="3"/>
  <c r="E299" i="3"/>
  <c r="E339" i="3"/>
  <c r="E325" i="3"/>
  <c r="E392" i="3"/>
  <c r="AQ6" i="3"/>
  <c r="E35" i="3"/>
  <c r="E86" i="3"/>
  <c r="E34" i="3"/>
  <c r="E49" i="3"/>
  <c r="E206" i="3"/>
  <c r="E232" i="3"/>
  <c r="E340" i="3"/>
  <c r="E364" i="3"/>
  <c r="E50" i="3"/>
  <c r="E20" i="3"/>
  <c r="E62" i="3"/>
  <c r="E176" i="3"/>
  <c r="E218" i="3"/>
  <c r="E308" i="3"/>
  <c r="E326" i="3"/>
  <c r="E22" i="3"/>
  <c r="E83" i="3"/>
  <c r="E69" i="3"/>
  <c r="E114" i="3"/>
  <c r="E278" i="3"/>
  <c r="E415" i="3"/>
  <c r="E563" i="3"/>
  <c r="E395" i="3"/>
  <c r="E172" i="3"/>
  <c r="E260" i="3"/>
  <c r="E445" i="3"/>
  <c r="E550" i="3"/>
  <c r="E535" i="3"/>
  <c r="E239" i="3"/>
  <c r="E509" i="3"/>
  <c r="E516" i="3"/>
  <c r="E579" i="3"/>
  <c r="E569" i="3"/>
  <c r="E431" i="3"/>
  <c r="E125" i="3"/>
  <c r="E217" i="3"/>
  <c r="E366" i="3"/>
  <c r="E526" i="3"/>
  <c r="E553" i="3"/>
  <c r="E268" i="3"/>
  <c r="E282" i="3"/>
  <c r="E322" i="3"/>
  <c r="N6" i="3"/>
  <c r="AJ6" i="3"/>
  <c r="AC6" i="3" s="1"/>
  <c r="E347" i="3"/>
  <c r="E583" i="3"/>
  <c r="AA6" i="3"/>
  <c r="E237" i="3"/>
  <c r="E261" i="3"/>
  <c r="E304" i="3"/>
  <c r="E528" i="3"/>
  <c r="E565" i="3"/>
  <c r="E183" i="3"/>
  <c r="E213" i="3"/>
  <c r="E361" i="3"/>
  <c r="E17" i="3"/>
  <c r="E503" i="3"/>
  <c r="E302" i="3"/>
  <c r="E388" i="3"/>
  <c r="O6" i="3"/>
  <c r="E555" i="3"/>
  <c r="E574" i="3"/>
  <c r="E410" i="3"/>
  <c r="E53" i="3"/>
  <c r="E175" i="3"/>
  <c r="E319" i="3"/>
  <c r="E530" i="3"/>
  <c r="E501" i="3"/>
  <c r="E343" i="3"/>
  <c r="E153" i="3"/>
  <c r="E305" i="3"/>
  <c r="E426" i="3"/>
  <c r="E508" i="3"/>
  <c r="E328" i="3"/>
  <c r="E329" i="3"/>
  <c r="E539" i="3"/>
  <c r="E545" i="3"/>
  <c r="E567" i="3"/>
  <c r="E551" i="3"/>
  <c r="D24" i="71"/>
  <c r="C23" i="71"/>
  <c r="D23" i="71" s="1"/>
  <c r="E521" i="3"/>
  <c r="K14" i="1"/>
  <c r="K21" i="6"/>
  <c r="M21" i="6" s="1"/>
  <c r="I21" i="6" s="1"/>
  <c r="S21" i="6" s="1"/>
  <c r="K23" i="6"/>
  <c r="M23" i="6" s="1"/>
  <c r="I23" i="6" s="1"/>
  <c r="S23" i="6" s="1"/>
  <c r="K24" i="6"/>
  <c r="M24" i="6" s="1"/>
  <c r="I24" i="6" s="1"/>
  <c r="S24" i="6" s="1"/>
  <c r="K19" i="6"/>
  <c r="K22" i="6"/>
  <c r="M22" i="6" s="1"/>
  <c r="I22" i="6" s="1"/>
  <c r="S22" i="6" s="1"/>
  <c r="K20" i="6"/>
  <c r="M20" i="6" s="1"/>
  <c r="I20" i="6" s="1"/>
  <c r="S20" i="6" s="1"/>
  <c r="K26" i="6"/>
  <c r="M26" i="6" s="1"/>
  <c r="I26" i="6" s="1"/>
  <c r="S26" i="6" s="1"/>
  <c r="K25" i="6"/>
  <c r="M25" i="6" s="1"/>
  <c r="I25" i="6" s="1"/>
  <c r="S25" i="6" s="1"/>
  <c r="E30" i="6"/>
  <c r="E31" i="6" s="1"/>
  <c r="N62" i="71"/>
  <c r="N63" i="71"/>
  <c r="B16" i="71"/>
  <c r="B15" i="71" s="1"/>
  <c r="B14" i="71" s="1"/>
  <c r="B13" i="71" s="1"/>
  <c r="S17" i="71"/>
  <c r="T37" i="71"/>
  <c r="D37" i="71"/>
  <c r="D20" i="71"/>
  <c r="C19" i="71"/>
  <c r="B29" i="1"/>
  <c r="C15" i="12"/>
  <c r="C12" i="12"/>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E6" i="76"/>
  <c r="F41" i="67"/>
  <c r="F69" i="67" l="1"/>
  <c r="B12" i="71"/>
  <c r="B11" i="71" s="1"/>
  <c r="B10" i="71" s="1"/>
  <c r="B9" i="71" s="1"/>
  <c r="S13" i="71"/>
  <c r="M19" i="6"/>
  <c r="K27" i="6"/>
  <c r="S6" i="1"/>
  <c r="M14" i="1"/>
  <c r="M16" i="1" s="1"/>
  <c r="K16" i="1"/>
  <c r="H6" i="3"/>
  <c r="E6" i="3" s="1"/>
  <c r="D3" i="34"/>
  <c r="D3" i="33"/>
  <c r="D19" i="11"/>
  <c r="C19" i="11" s="1"/>
  <c r="D37" i="11"/>
  <c r="C37" i="11" s="1"/>
  <c r="D14" i="12"/>
  <c r="M18" i="9"/>
  <c r="B118" i="9" s="1"/>
  <c r="B1" i="74" s="1"/>
  <c r="E6" i="6"/>
  <c r="L18" i="9"/>
  <c r="D3" i="21"/>
  <c r="C17" i="4"/>
  <c r="B4" i="52" s="1"/>
  <c r="B43" i="72" s="1"/>
  <c r="D3" i="37"/>
  <c r="J29" i="67"/>
  <c r="D19" i="71"/>
  <c r="C18" i="7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103" i="3"/>
  <c r="AY50" i="3"/>
  <c r="AY160" i="3"/>
  <c r="AY289" i="3"/>
  <c r="AY183" i="3"/>
  <c r="AY261" i="3"/>
  <c r="AY284" i="3"/>
  <c r="AY209" i="3"/>
  <c r="AY319" i="3"/>
  <c r="AY455" i="3"/>
  <c r="AY497" i="3"/>
  <c r="AY116" i="3"/>
  <c r="AY212" i="3"/>
  <c r="AY343" i="3"/>
  <c r="AY478" i="3"/>
  <c r="AY417" i="3"/>
  <c r="AY573"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98" i="3"/>
  <c r="AY18" i="3"/>
  <c r="AY171" i="3"/>
  <c r="AY90" i="3"/>
  <c r="AY163" i="3"/>
  <c r="AY75" i="3"/>
  <c r="AY237" i="3"/>
  <c r="AY387" i="3"/>
  <c r="AY334" i="3"/>
  <c r="AY444" i="3"/>
  <c r="AY526" i="3"/>
  <c r="AY269" i="3"/>
  <c r="AY390" i="3"/>
  <c r="AY311" i="3"/>
  <c r="AY447" i="3"/>
  <c r="AY535" i="3"/>
  <c r="AY57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4" i="3"/>
  <c r="AY480" i="3"/>
  <c r="AY438" i="3"/>
  <c r="AY419" i="3"/>
  <c r="AY580" i="3"/>
  <c r="AY536" i="3"/>
  <c r="AY552" i="3"/>
  <c r="AY532" i="3"/>
  <c r="AY523" i="3"/>
  <c r="AY64" i="3"/>
  <c r="AY174" i="3"/>
  <c r="AY113" i="3"/>
  <c r="AY250" i="3"/>
  <c r="AY361" i="3"/>
  <c r="AY305" i="3"/>
  <c r="AY479"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67" i="3"/>
  <c r="AY196" i="3"/>
  <c r="AY139" i="3"/>
  <c r="AY74" i="3"/>
  <c r="AY123" i="3"/>
  <c r="AY204" i="3"/>
  <c r="AY252" i="3"/>
  <c r="AY363" i="3"/>
  <c r="AY489" i="3"/>
  <c r="AY412" i="3"/>
  <c r="AY43" i="3"/>
  <c r="AY229" i="3"/>
  <c r="AY379" i="3"/>
  <c r="AY326" i="3"/>
  <c r="AY436" i="3"/>
  <c r="AY557" i="3"/>
  <c r="AY540"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2" i="3"/>
  <c r="AY191" i="3"/>
  <c r="AY132" i="3"/>
  <c r="AY31" i="3"/>
  <c r="AY292" i="3"/>
  <c r="AY147" i="3"/>
  <c r="AY220" i="3"/>
  <c r="AY350" i="3"/>
  <c r="AY486" i="3"/>
  <c r="AY425" i="3"/>
  <c r="AY199" i="3"/>
  <c r="AY244" i="3"/>
  <c r="AY355" i="3"/>
  <c r="AY481" i="3"/>
  <c r="AY404" i="3"/>
  <c r="AY562" i="3"/>
  <c r="BO6"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3" i="3"/>
  <c r="AY449" i="3"/>
  <c r="AY406" i="3"/>
  <c r="AY503" i="3"/>
  <c r="AY572" i="3"/>
  <c r="AY520" i="3"/>
  <c r="AY543" i="3"/>
  <c r="AY496" i="3"/>
  <c r="AY81" i="3"/>
  <c r="AY21" i="3"/>
  <c r="AY153" i="3"/>
  <c r="AY267" i="3"/>
  <c r="AY396" i="3"/>
  <c r="AY337" i="3"/>
  <c r="AY320" i="3"/>
  <c r="AY476"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8" i="68"/>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B6" i="76"/>
  <c r="C14" i="67"/>
  <c r="D10" i="69"/>
  <c r="C34" i="69"/>
  <c r="C17" i="67"/>
  <c r="C10" i="69" l="1"/>
  <c r="C8" i="69" s="1"/>
  <c r="D19" i="69"/>
  <c r="C35" i="69"/>
  <c r="C38" i="69"/>
  <c r="C15" i="67"/>
  <c r="C18" i="67"/>
  <c r="D10" i="68"/>
  <c r="D20" i="12"/>
  <c r="C20" i="12" s="1"/>
  <c r="C18" i="12" s="1"/>
  <c r="D10" i="11"/>
  <c r="C10" i="11" s="1"/>
  <c r="D17" i="12"/>
  <c r="C17" i="12" s="1"/>
  <c r="C14" i="12"/>
  <c r="C16" i="12" s="1"/>
  <c r="C20" i="11"/>
  <c r="C25" i="11" s="1"/>
  <c r="C28" i="11"/>
  <c r="C27" i="11" s="1"/>
  <c r="E6" i="70"/>
  <c r="E2" i="70" s="1"/>
  <c r="T6" i="1"/>
  <c r="T16" i="1" s="1"/>
  <c r="AR6" i="1"/>
  <c r="AQ6" i="1"/>
  <c r="S16" i="1"/>
  <c r="M27" i="6"/>
  <c r="I19" i="6"/>
  <c r="B8" i="71"/>
  <c r="B7" i="71" s="1"/>
  <c r="B6" i="71" s="1"/>
  <c r="B5" i="71" s="1"/>
  <c r="S9" i="71"/>
  <c r="D25" i="6"/>
  <c r="R25" i="6" s="1"/>
  <c r="D22" i="6"/>
  <c r="D24" i="6"/>
  <c r="R24" i="6" s="1"/>
  <c r="D6" i="6"/>
  <c r="D10" i="6"/>
  <c r="D29" i="6"/>
  <c r="H22" i="6"/>
  <c r="H24" i="6"/>
  <c r="M19" i="9"/>
  <c r="C118" i="9" s="1"/>
  <c r="C14" i="74" s="1"/>
  <c r="B2" i="74" s="1"/>
  <c r="D26" i="6"/>
  <c r="D8" i="6"/>
  <c r="D14" i="6"/>
  <c r="D12" i="6"/>
  <c r="D13" i="6"/>
  <c r="E61" i="40"/>
  <c r="H26" i="6"/>
  <c r="D5" i="6"/>
  <c r="H19" i="6"/>
  <c r="D15" i="6"/>
  <c r="D21" i="6"/>
  <c r="D20" i="6"/>
  <c r="R20" i="6" s="1"/>
  <c r="D9" i="6"/>
  <c r="L19" i="9"/>
  <c r="H25" i="6"/>
  <c r="H21" i="6"/>
  <c r="H20" i="6"/>
  <c r="D19" i="6"/>
  <c r="C18" i="4"/>
  <c r="D23" i="6"/>
  <c r="R23" i="6" s="1"/>
  <c r="D11" i="6"/>
  <c r="D28" i="6"/>
  <c r="D30" i="6" s="1"/>
  <c r="H23" i="6"/>
  <c r="C17" i="71"/>
  <c r="D18" i="71"/>
  <c r="C8" i="74"/>
  <c r="C7" i="74"/>
  <c r="C34" i="68"/>
  <c r="N16" i="1"/>
  <c r="L16" i="1"/>
  <c r="C34"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3" i="67"/>
  <c r="J59" i="67"/>
  <c r="J60" i="67" s="1"/>
  <c r="C19" i="67" l="1"/>
  <c r="C21" i="12"/>
  <c r="C22" i="12" s="1"/>
  <c r="C27" i="12" s="1"/>
  <c r="C25" i="12" s="1"/>
  <c r="C20" i="67"/>
  <c r="C26" i="67" s="1"/>
  <c r="C35" i="68"/>
  <c r="C38" i="68"/>
  <c r="C16" i="71"/>
  <c r="T17" i="71"/>
  <c r="D17" i="71"/>
  <c r="U17" i="71" s="1"/>
  <c r="R19" i="6"/>
  <c r="D27" i="6"/>
  <c r="D31" i="6" s="1"/>
  <c r="D16" i="6"/>
  <c r="D7" i="74"/>
  <c r="D8" i="74"/>
  <c r="C10" i="68"/>
  <c r="D19" i="68"/>
  <c r="C19" i="69"/>
  <c r="C24" i="69" s="1"/>
  <c r="D37" i="69"/>
  <c r="C37" i="69" s="1"/>
  <c r="C33" i="69" s="1"/>
  <c r="C38" i="11"/>
  <c r="C35" i="11"/>
  <c r="C33" i="11"/>
  <c r="F50" i="69"/>
  <c r="F50" i="11"/>
  <c r="F50" i="68"/>
  <c r="A7" i="51"/>
  <c r="B7" i="72" s="1"/>
  <c r="A10" i="51"/>
  <c r="B9" i="72" s="1"/>
  <c r="C4" i="52"/>
  <c r="B45" i="72" s="1"/>
  <c r="R21" i="6"/>
  <c r="H27" i="6"/>
  <c r="R26" i="6"/>
  <c r="R22" i="6"/>
  <c r="I27" i="6"/>
  <c r="S19" i="6"/>
  <c r="S27" i="6" s="1"/>
  <c r="K70" i="39"/>
  <c r="L68" i="39"/>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L51" i="15"/>
  <c r="C30" i="12" l="1"/>
  <c r="C28" i="12" s="1"/>
  <c r="C32" i="12" s="1"/>
  <c r="B2" i="12" s="1"/>
  <c r="B3" i="12" s="1"/>
  <c r="C23" i="67"/>
  <c r="C29" i="67" s="1"/>
  <c r="C57" i="67" s="1"/>
  <c r="C39" i="69"/>
  <c r="C43" i="69" s="1"/>
  <c r="C42" i="69"/>
  <c r="C19" i="68"/>
  <c r="D37" i="68"/>
  <c r="C37" i="68" s="1"/>
  <c r="C33" i="68" s="1"/>
  <c r="R27" i="6"/>
  <c r="R6" i="1"/>
  <c r="C39" i="11"/>
  <c r="C42" i="11"/>
  <c r="I5" i="6"/>
  <c r="I6" i="6"/>
  <c r="C15" i="71"/>
  <c r="D16" i="7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J19" i="67" l="1"/>
  <c r="C13" i="67"/>
  <c r="C75" i="67" s="1"/>
  <c r="C36" i="67"/>
  <c r="Q49" i="67"/>
  <c r="J14" i="67"/>
  <c r="J22" i="67" s="1"/>
  <c r="C41" i="69"/>
  <c r="J20" i="67"/>
  <c r="C34" i="67"/>
  <c r="C31" i="67" s="1"/>
  <c r="F63" i="67"/>
  <c r="C62" i="67" s="1"/>
  <c r="C14" i="71"/>
  <c r="D15" i="71"/>
  <c r="C46" i="11"/>
  <c r="C45" i="11" s="1"/>
  <c r="C43" i="11"/>
  <c r="C41" i="11" s="1"/>
  <c r="C49" i="11" s="1"/>
  <c r="C51" i="11" s="1"/>
  <c r="C61" i="67"/>
  <c r="C64" i="67"/>
  <c r="C24" i="68"/>
  <c r="C20" i="68"/>
  <c r="C25" i="68" s="1"/>
  <c r="C46" i="69"/>
  <c r="C45" i="69" s="1"/>
  <c r="C49" i="69" s="1"/>
  <c r="C51" i="69" s="1"/>
  <c r="R16" i="1"/>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J17" i="67" l="1"/>
  <c r="C56" i="67"/>
  <c r="C65" i="67" s="1"/>
  <c r="C37" i="67"/>
  <c r="C30" i="67" s="1"/>
  <c r="C39" i="67" s="1"/>
  <c r="C80" i="67" s="1"/>
  <c r="C79" i="67" s="1"/>
  <c r="Q70" i="67"/>
  <c r="J13" i="67"/>
  <c r="J23" i="67" s="1"/>
  <c r="J16" i="67" s="1"/>
  <c r="J25" i="67" s="1"/>
  <c r="C28" i="68"/>
  <c r="C27" i="68" s="1"/>
  <c r="C46" i="68"/>
  <c r="C45" i="68" s="1"/>
  <c r="C43" i="68"/>
  <c r="C41" i="68" s="1"/>
  <c r="C52" i="11"/>
  <c r="B2" i="11" s="1"/>
  <c r="B3" i="11" s="1"/>
  <c r="C13" i="71"/>
  <c r="D14" i="71"/>
  <c r="C22" i="68"/>
  <c r="C59" i="67"/>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58" i="67" l="1"/>
  <c r="C67" i="67" s="1"/>
  <c r="C68" i="67" s="1"/>
  <c r="C71" i="67" s="1"/>
  <c r="C31" i="68"/>
  <c r="C49" i="68"/>
  <c r="C51" i="68" s="1"/>
  <c r="C56" i="11"/>
  <c r="C57" i="11" s="1"/>
  <c r="C40" i="67"/>
  <c r="Q69" i="67"/>
  <c r="Q68" i="67" s="1"/>
  <c r="C12" i="71"/>
  <c r="T13" i="71"/>
  <c r="D13" i="71"/>
  <c r="U13" i="71" s="1"/>
  <c r="C102" i="9"/>
  <c r="C21" i="9"/>
  <c r="B3" i="21"/>
  <c r="H7" i="39"/>
  <c r="J7" i="39"/>
  <c r="AA7" i="39"/>
  <c r="R47" i="39" s="1"/>
  <c r="S7" i="39"/>
  <c r="R39" i="35"/>
  <c r="E38" i="35"/>
  <c r="M63" i="40"/>
  <c r="L65" i="40"/>
  <c r="C20" i="9"/>
  <c r="L51" i="67"/>
  <c r="C52" i="68" l="1"/>
  <c r="B2" i="68" s="1"/>
  <c r="B3" i="68" s="1"/>
  <c r="Q67" i="67"/>
  <c r="L57" i="67"/>
  <c r="L60" i="67" s="1"/>
  <c r="C43" i="67"/>
  <c r="Q47" i="67"/>
  <c r="Q53" i="67" s="1"/>
  <c r="Q65" i="67"/>
  <c r="D2" i="67"/>
  <c r="Q56" i="67"/>
  <c r="C83" i="67"/>
  <c r="C82" i="67" s="1"/>
  <c r="C45" i="67"/>
  <c r="C46" i="67" s="1"/>
  <c r="D12" i="71"/>
  <c r="C11" i="71"/>
  <c r="C103" i="9"/>
  <c r="E47" i="39"/>
  <c r="W7" i="39"/>
  <c r="AC7" i="39"/>
  <c r="V47" i="39" s="1"/>
  <c r="I47" i="39" s="1"/>
  <c r="U7" i="39"/>
  <c r="AB7" i="39"/>
  <c r="T47" i="39" s="1"/>
  <c r="G47" i="39" s="1"/>
  <c r="C39" i="35"/>
  <c r="B2" i="35" s="1"/>
  <c r="B3" i="35" s="1"/>
  <c r="C38" i="35"/>
  <c r="N63" i="40"/>
  <c r="M65" i="40"/>
  <c r="E43" i="35"/>
  <c r="F43" i="35" s="1"/>
  <c r="E42" i="35"/>
  <c r="F42" i="35" s="1"/>
  <c r="I43" i="35"/>
  <c r="J43" i="35" s="1"/>
  <c r="C57" i="68" l="1"/>
  <c r="C56" i="68" s="1"/>
  <c r="B2" i="67"/>
  <c r="B3" i="67"/>
  <c r="Q66" i="67"/>
  <c r="Q75" i="67" s="1"/>
  <c r="Q57" i="67"/>
  <c r="Q62" i="67" s="1"/>
  <c r="D11" i="71"/>
  <c r="C10" i="71"/>
  <c r="R48" i="39"/>
  <c r="C48" i="39" s="1"/>
  <c r="E52" i="39"/>
  <c r="F52" i="39" s="1"/>
  <c r="E51" i="39"/>
  <c r="F51" i="39" s="1"/>
  <c r="G51" i="39"/>
  <c r="H51" i="39" s="1"/>
  <c r="G52" i="39"/>
  <c r="H52" i="39" s="1"/>
  <c r="I51" i="39"/>
  <c r="J51" i="39" s="1"/>
  <c r="I52" i="39"/>
  <c r="J52" i="39" s="1"/>
  <c r="C47" i="39"/>
  <c r="C6" i="69" s="1"/>
  <c r="O63" i="40"/>
  <c r="O65" i="40" s="1"/>
  <c r="N65" i="40"/>
  <c r="AO6" i="1"/>
  <c r="D19" i="9"/>
  <c r="D20" i="9"/>
  <c r="D103" i="9" l="1"/>
  <c r="G20" i="9"/>
  <c r="R24" i="31" s="1"/>
  <c r="B6" i="70"/>
  <c r="B2" i="70" s="1"/>
  <c r="B3" i="70" s="1"/>
  <c r="D21" i="9"/>
  <c r="D22" i="9"/>
  <c r="D102" i="9"/>
  <c r="G19" i="9"/>
  <c r="G21" i="9" s="1"/>
  <c r="C7" i="69"/>
  <c r="C5" i="69"/>
  <c r="D10" i="71"/>
  <c r="C9" i="7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S24" i="31" l="1"/>
  <c r="R33" i="31"/>
  <c r="S33" i="31" s="1"/>
  <c r="R29" i="31"/>
  <c r="S29" i="31" s="1"/>
  <c r="R25" i="31"/>
  <c r="S25" i="31" s="1"/>
  <c r="R30" i="31"/>
  <c r="S30" i="31" s="1"/>
  <c r="R26" i="31"/>
  <c r="S26" i="31" s="1"/>
  <c r="R31" i="31"/>
  <c r="S31" i="31" s="1"/>
  <c r="R27" i="31"/>
  <c r="S27" i="31" s="1"/>
  <c r="R32" i="31"/>
  <c r="S32" i="31" s="1"/>
  <c r="R28" i="31"/>
  <c r="S28" i="31" s="1"/>
  <c r="C32" i="9"/>
  <c r="C35" i="9" s="1"/>
  <c r="C34" i="9" s="1"/>
  <c r="C8" i="71"/>
  <c r="T9" i="71"/>
  <c r="D9" i="71"/>
  <c r="U9" i="71" s="1"/>
  <c r="C20" i="69"/>
  <c r="C23" i="69"/>
  <c r="F66" i="39"/>
  <c r="B2" i="39" s="1"/>
  <c r="B3" i="39" s="1"/>
  <c r="U7" i="40"/>
  <c r="AB7" i="40"/>
  <c r="T42" i="40" s="1"/>
  <c r="G42" i="40" s="1"/>
  <c r="AA7" i="40"/>
  <c r="R42" i="40" s="1"/>
  <c r="S7" i="40"/>
  <c r="AC7" i="40"/>
  <c r="V42" i="40" s="1"/>
  <c r="I42" i="40" s="1"/>
  <c r="W7" i="40"/>
  <c r="S22" i="31" l="1"/>
  <c r="D14" i="74" s="1"/>
  <c r="D8" i="71"/>
  <c r="C7" i="71"/>
  <c r="C28" i="69"/>
  <c r="C27" i="69" s="1"/>
  <c r="C25" i="69"/>
  <c r="C22" i="69" s="1"/>
  <c r="I46" i="40"/>
  <c r="J46" i="40" s="1"/>
  <c r="R43" i="40"/>
  <c r="E42" i="40"/>
  <c r="G47" i="40"/>
  <c r="H47" i="40" s="1"/>
  <c r="G46" i="40"/>
  <c r="H46" i="40" s="1"/>
  <c r="G14" i="74" l="1"/>
  <c r="C31" i="69"/>
  <c r="C52" i="69" s="1"/>
  <c r="B2" i="69" s="1"/>
  <c r="R22" i="31"/>
  <c r="B20" i="31"/>
  <c r="B21" i="31" s="1"/>
  <c r="D7" i="71"/>
  <c r="C6" i="71"/>
  <c r="C42" i="40"/>
  <c r="C43" i="40"/>
  <c r="E47" i="40"/>
  <c r="F47" i="40" s="1"/>
  <c r="E46" i="40"/>
  <c r="F46" i="40" s="1"/>
  <c r="I47" i="40"/>
  <c r="J47" i="40" s="1"/>
  <c r="B3" i="69"/>
  <c r="C57" i="69" l="1"/>
  <c r="C56" i="6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D5" i="71" l="1"/>
  <c r="M20" i="43"/>
  <c r="D119" i="9"/>
  <c r="D5" i="52" s="1"/>
  <c r="B49" i="72" s="1"/>
  <c r="H4" i="52"/>
  <c r="C104" i="9"/>
  <c r="H119" i="9"/>
  <c r="H5" i="52" s="1"/>
  <c r="H101" i="9"/>
  <c r="I118" i="9"/>
  <c r="F4" i="52"/>
  <c r="B51" i="72" s="1"/>
  <c r="G118" i="9"/>
  <c r="G4" i="52" s="1"/>
  <c r="B52" i="72" s="1"/>
  <c r="F119" i="9"/>
  <c r="F5" i="52" s="1"/>
  <c r="B53" i="72" s="1"/>
  <c r="I4" i="52" l="1"/>
  <c r="C105" i="9"/>
  <c r="H102" i="9"/>
  <c r="D7" i="53" s="1"/>
  <c r="B21" i="72" s="1"/>
  <c r="E118" i="9"/>
  <c r="E4" i="52" s="1"/>
  <c r="B48" i="72" s="1"/>
  <c r="M48" i="9"/>
  <c r="D5" i="53"/>
  <c r="H107" i="9"/>
  <c r="D45" i="9"/>
  <c r="E14" i="74"/>
  <c r="B5" i="74"/>
  <c r="F14" i="74"/>
  <c r="C5" i="74" l="1"/>
  <c r="D5" i="74"/>
  <c r="D52" i="9"/>
  <c r="C93" i="9"/>
  <c r="C86" i="9" s="1"/>
  <c r="D53" i="9"/>
  <c r="C78" i="9"/>
  <c r="C73" i="9" s="1"/>
  <c r="D55" i="9"/>
  <c r="M53" i="9" s="1"/>
  <c r="C72" i="9"/>
  <c r="C64" i="9"/>
  <c r="C63" i="9" s="1"/>
  <c r="C67" i="9" s="1"/>
  <c r="C85" i="9"/>
  <c r="C95" i="9" s="1"/>
  <c r="B20" i="72"/>
  <c r="D6" i="53"/>
  <c r="B22" i="72" s="1"/>
  <c r="H108" i="9"/>
  <c r="D15" i="53" s="1"/>
  <c r="B31" i="72" s="1"/>
  <c r="D122" i="9"/>
  <c r="D13" i="53"/>
  <c r="M49" i="9"/>
  <c r="C79" i="9" l="1"/>
  <c r="C80" i="9" s="1"/>
  <c r="E80" i="9" s="1"/>
  <c r="E81" i="9" s="1"/>
  <c r="B6" i="74"/>
  <c r="D8" i="52"/>
  <c r="D123" i="9"/>
  <c r="D9" i="52" s="1"/>
  <c r="C96" i="9"/>
  <c r="E96" i="9" s="1"/>
  <c r="E97" i="9" s="1"/>
  <c r="L64" i="9"/>
  <c r="M64" i="9" s="1"/>
  <c r="L65" i="9"/>
  <c r="M65" i="9" s="1"/>
  <c r="L67" i="9"/>
  <c r="M67" i="9" s="1"/>
  <c r="L68" i="9"/>
  <c r="M68" i="9" s="1"/>
  <c r="L66" i="9"/>
  <c r="M66" i="9" s="1"/>
  <c r="L63" i="9"/>
  <c r="M63" i="9" s="1"/>
  <c r="B30" i="72"/>
  <c r="D14" i="53"/>
  <c r="B32" i="72" s="1"/>
  <c r="D59" i="9"/>
  <c r="M55" i="9" s="1"/>
  <c r="C68" i="9"/>
  <c r="D54" i="9" s="1"/>
  <c r="C81" i="9" l="1"/>
  <c r="M69" i="9"/>
  <c r="N69" i="9" s="1"/>
  <c r="C97" i="9"/>
  <c r="D58" i="9" s="1"/>
  <c r="D56" i="9" s="1"/>
  <c r="M54" i="9" s="1"/>
  <c r="N57" i="9" s="1"/>
  <c r="D6" i="74"/>
  <c r="C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<sst xmlns="http://schemas.openxmlformats.org/spreadsheetml/2006/main" count="7532" uniqueCount="3217">
  <si>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</si>
  <si>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</si>
  <si>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</si>
  <si>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</si>
  <si>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</si>
  <si>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</si>
  <si>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</si>
  <si>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</si>
  <si>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</si>
  <si>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</si>
  <si>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</si>
  <si>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</si>
  <si>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</si>
  <si>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</si>
  <si>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</si>
  <si>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</si>
  <si>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</si>
  <si>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</si>
  <si>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</si>
  <si>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</si>
  <si>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</si>
  <si>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</si>
  <si>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</si>
  <si>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</si>
  <si>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</si>
  <si>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</si>
  <si>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</si>
  <si>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</si>
  <si>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</si>
  <si>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</si>
  <si>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</si>
  <si>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</si>
  <si>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</si>
  <si>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</si>
  <si>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</si>
  <si>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</si>
  <si>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</si>
  <si>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</si>
  <si>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</si>
  <si>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</si>
  <si>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</si>
  <si>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</si>
  <si>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</si>
  <si>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</si>
  <si>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</si>
  <si>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</si>
  <si>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</si>
  <si>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</si>
  <si>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</si>
  <si>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</si>
  <si>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</si>
  <si>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</si>
  <si>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</si>
  <si>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</si>
  <si>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</si>
  <si>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</si>
  <si>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</si>
  <si>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</si>
  <si>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</si>
  <si>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</si>
  <si>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</si>
  <si>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</si>
  <si>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</si>
  <si>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</si>
  <si>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</si>
  <si>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</si>
  <si>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</si>
  <si>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</si>
  <si>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</si>
  <si>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</si>
  <si>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</si>
  <si>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</si>
  <si>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</si>
  <si>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</si>
  <si>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</si>
  <si>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</si>
  <si>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</si>
  <si>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</si>
  <si>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</si>
  <si>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</si>
  <si>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</si>
  <si>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</si>
  <si>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</si>
  <si>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</si>
  <si>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</si>
  <si>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</si>
  <si>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</si>
  <si>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</si>
  <si>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</si>
  <si>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</si>
  <si>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</si>
  <si>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</si>
  <si>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</si>
  <si>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</si>
  <si>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</si>
  <si>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</si>
  <si>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</si>
  <si>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</si>
  <si>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</si>
  <si>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</si>
  <si>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</si>
  <si>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</si>
  <si>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</si>
  <si>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</si>
  <si>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</si>
  <si>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</si>
  <si>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</si>
  <si>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</si>
  <si>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</si>
  <si>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</si>
  <si>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</si>
  <si>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</si>
  <si>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</si>
  <si>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</si>
  <si>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</si>
  <si>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</si>
  <si>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</si>
  <si>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</si>
  <si>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</si>
  <si>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</si>
  <si>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</si>
  <si>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</si>
  <si>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</si>
  <si>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</si>
  <si>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</si>
  <si>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</si>
  <si>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</si>
  <si>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</si>
  <si>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</si>
  <si>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</si>
  <si>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</si>
  <si>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</si>
  <si>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</si>
  <si>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</si>
  <si>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</si>
  <si>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</si>
  <si>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</si>
  <si>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</si>
  <si>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</si>
  <si>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</si>
  <si>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</si>
  <si>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</si>
  <si>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</si>
  <si>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</si>
  <si>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</si>
  <si>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</si>
  <si>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</si>
  <si>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</si>
  <si>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</si>
  <si>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</si>
  <si>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</si>
  <si>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</si>
  <si>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</si>
  <si>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</si>
  <si>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</si>
  <si>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</si>
  <si>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</si>
  <si>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</si>
  <si>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</si>
  <si>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</si>
  <si>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</si>
  <si>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</si>
  <si>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</si>
  <si>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</si>
  <si>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</si>
  <si>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</si>
  <si>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</si>
  <si>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</si>
  <si>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</si>
  <si>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</si>
  <si>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</si>
  <si>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</si>
  <si>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</si>
  <si>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</si>
  <si>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</si>
  <si>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</si>
  <si>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</si>
  <si>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</si>
  <si>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</si>
  <si>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</si>
  <si>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</si>
  <si>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</si>
  <si>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</si>
  <si>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</si>
  <si>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</si>
  <si>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</si>
  <si>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</si>
  <si>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</si>
  <si>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</si>
  <si>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</si>
  <si>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</si>
  <si>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</si>
  <si>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</si>
  <si>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</si>
  <si>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</si>
  <si>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</si>
  <si>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</si>
  <si>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</si>
  <si>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</si>
  <si>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</si>
  <si>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</si>
  <si>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</si>
  <si>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</si>
  <si>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</si>
  <si>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</si>
  <si>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</si>
  <si>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</si>
  <si>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</si>
  <si>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</si>
  <si>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</si>
  <si>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</si>
  <si>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</si>
  <si>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</si>
  <si>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</si>
  <si>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</si>
  <si>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</si>
  <si>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</si>
  <si>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</si>
  <si>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</si>
  <si>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</si>
  <si>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</si>
  <si>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</si>
  <si>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</si>
  <si>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</si>
  <si>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</si>
  <si>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</si>
  <si>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</si>
  <si>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</si>
  <si>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</si>
  <si>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</si>
  <si>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</si>
  <si>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</si>
  <si>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</si>
  <si>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</si>
  <si>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</si>
  <si>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</si>
  <si>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</si>
  <si>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</si>
  <si>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</si>
  <si>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</si>
  <si>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</si>
  <si>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</si>
  <si>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</si>
  <si>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</si>
  <si>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</si>
  <si>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</si>
  <si>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</si>
  <si>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</si>
  <si>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</si>
  <si>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</si>
  <si>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</si>
  <si>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</si>
  <si>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</si>
  <si>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</si>
  <si>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</si>
  <si>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</si>
  <si>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</si>
  <si>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</si>
  <si>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</si>
  <si>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</si>
  <si>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</si>
  <si>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</si>
  <si>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</si>
  <si>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</si>
  <si>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</si>
  <si>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</si>
  <si>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</si>
  <si>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</si>
  <si>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</si>
  <si>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</si>
  <si>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</si>
  <si>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</si>
  <si>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</si>
  <si>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</si>
  <si>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</si>
  <si>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</si>
  <si>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</si>
  <si>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</si>
  <si>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</si>
  <si>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</si>
  <si>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</si>
  <si>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</si>
  <si>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</si>
  <si>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</si>
  <si>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</si>
  <si>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</si>
  <si>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</si>
  <si>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</si>
  <si>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</si>
  <si>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</si>
  <si>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</si>
  <si>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</si>
  <si>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</si>
  <si>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</si>
  <si>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</si>
  <si>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</si>
  <si>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</si>
  <si>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</si>
  <si>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</si>
  <si>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</si>
  <si>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</si>
  <si>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</si>
  <si>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</si>
  <si>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</si>
  <si>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</si>
  <si>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</si>
  <si>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</si>
  <si>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</si>
  <si>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</si>
  <si>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</si>
  <si>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</si>
  <si>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</si>
  <si>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</si>
  <si>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</si>
  <si>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</si>
  <si>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</si>
  <si>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</si>
  <si>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</si>
  <si>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</si>
  <si>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</si>
  <si>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</si>
  <si>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</si>
  <si>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</si>
  <si>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</si>
  <si>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</si>
  <si>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</si>
  <si>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</si>
  <si>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</si>
  <si>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</si>
  <si>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</si>
  <si>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</si>
  <si>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</si>
  <si>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</si>
  <si>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</si>
  <si>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</si>
  <si>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</si>
  <si>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</si>
  <si>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</si>
  <si>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</si>
  <si>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</si>
  <si>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</si>
  <si>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</si>
  <si>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</si>
  <si>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</si>
  <si>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</si>
  <si>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</si>
  <si>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</si>
  <si>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</si>
  <si>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</si>
  <si>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</si>
  <si>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</si>
  <si>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</si>
  <si>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</si>
  <si>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</si>
  <si>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</si>
  <si>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</si>
  <si>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</si>
  <si>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</si>
  <si>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</si>
  <si>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</si>
  <si>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</si>
  <si>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</si>
  <si>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</si>
  <si>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</si>
  <si>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</si>
  <si>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</si>
  <si>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</si>
  <si>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</si>
  <si>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</si>
  <si>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</si>
  <si>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</si>
  <si>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</si>
  <si>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</si>
  <si>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</si>
  <si>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</si>
  <si>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</si>
  <si>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</si>
  <si>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</si>
  <si>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</si>
  <si>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</si>
  <si>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</si>
  <si>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</si>
  <si>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</si>
  <si>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</si>
  <si>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</si>
  <si>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</si>
  <si>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</si>
  <si>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</si>
  <si>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</si>
  <si>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</si>
  <si>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</si>
  <si>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</si>
  <si>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</si>
  <si>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</si>
  <si>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</si>
  <si>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</si>
  <si>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</si>
  <si>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</si>
  <si>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</si>
  <si>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</si>
  <si>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</si>
  <si>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</si>
  <si>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</si>
  <si>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</si>
  <si>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</si>
  <si>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</si>
  <si>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</si>
  <si>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</si>
  <si>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</si>
  <si>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</si>
  <si>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</si>
  <si>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</si>
  <si>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</si>
  <si>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</si>
  <si>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</si>
  <si>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</si>
  <si>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</si>
  <si>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</si>
  <si>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</si>
  <si>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</si>
  <si>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</si>
  <si>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</si>
  <si>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</si>
  <si>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</si>
  <si>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</si>
  <si>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</si>
  <si>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</si>
  <si>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</si>
  <si>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</si>
  <si>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</si>
  <si>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</si>
  <si>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</si>
  <si>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</si>
  <si>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</si>
  <si>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</si>
  <si>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</si>
  <si>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</si>
  <si>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</si>
  <si>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</si>
  <si>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</si>
  <si>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</si>
  <si>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</si>
  <si>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</si>
  <si>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</si>
  <si>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</si>
  <si>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</si>
  <si>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</si>
  <si>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</si>
  <si>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</si>
  <si>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</si>
  <si>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</si>
  <si>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</si>
  <si>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</si>
  <si>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</si>
  <si>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</si>
  <si>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</si>
  <si>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</si>
  <si>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</si>
  <si>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</si>
  <si>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</si>
  <si>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</si>
  <si>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</si>
  <si>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</si>
  <si>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</si>
  <si>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</si>
  <si>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</si>
  <si>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</si>
  <si>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</si>
  <si>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</si>
  <si>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</si>
  <si>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</si>
  <si>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</si>
  <si>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</si>
  <si>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</si>
  <si>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</si>
  <si>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</si>
  <si>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</si>
  <si>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</si>
  <si>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</si>
  <si>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</si>
  <si>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</si>
  <si>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</si>
  <si>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</si>
  <si>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</si>
  <si>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</si>
  <si>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</si>
  <si>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</si>
  <si>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</si>
  <si>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</si>
  <si>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</si>
  <si>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</si>
  <si>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</si>
  <si>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</si>
  <si>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</si>
  <si>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</si>
  <si>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</si>
  <si>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</si>
  <si>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</si>
  <si>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</si>
  <si>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</si>
  <si>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</si>
  <si>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</si>
  <si>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</si>
  <si>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</si>
  <si>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</si>
  <si>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</si>
  <si>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</si>
  <si>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</si>
  <si>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</si>
  <si>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</si>
  <si>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</si>
  <si>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</si>
  <si>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</si>
  <si>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</si>
  <si>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</si>
  <si>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</si>
  <si>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</si>
  <si>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</si>
  <si>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</si>
  <si>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</si>
  <si>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</si>
  <si>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</si>
  <si>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</si>
  <si>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</si>
  <si>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</si>
  <si>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</si>
  <si>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</si>
  <si>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</si>
  <si>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</si>
  <si>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</si>
  <si>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</si>
  <si>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</si>
  <si>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</si>
  <si>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</si>
  <si>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</si>
  <si>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</si>
  <si>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</si>
  <si>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</si>
  <si>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</si>
  <si>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</si>
  <si>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</si>
  <si>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</si>
  <si>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</si>
  <si>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</si>
  <si>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</si>
  <si>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</si>
  <si>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</si>
  <si>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</si>
  <si>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</si>
  <si>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</si>
  <si>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</si>
  <si>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</si>
  <si>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</si>
  <si>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</si>
  <si>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</si>
  <si>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</si>
  <si>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</si>
  <si>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</si>
  <si>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</si>
  <si>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</si>
  <si>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</si>
  <si>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</si>
  <si>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</si>
  <si>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</si>
  <si>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</si>
  <si>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</si>
  <si>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</si>
  <si>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</si>
  <si>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</si>
  <si>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</si>
  <si>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</si>
  <si>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</si>
  <si>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</si>
  <si>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</si>
  <si>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</si>
  <si>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</si>
  <si>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</si>
  <si>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</si>
  <si>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</si>
  <si>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</si>
  <si>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</si>
  <si>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</si>
  <si>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</si>
  <si>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</si>
  <si>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</si>
  <si>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</si>
  <si>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</si>
  <si>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</si>
  <si>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</si>
  <si>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</si>
  <si>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</si>
  <si>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</si>
  <si>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</si>
  <si>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</si>
  <si>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</si>
  <si>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</si>
  <si>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</si>
  <si>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</si>
  <si>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</si>
  <si>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</si>
  <si>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</si>
  <si>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</si>
  <si>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</si>
  <si>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</si>
  <si>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</si>
  <si>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</si>
  <si>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</si>
  <si>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</si>
  <si>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</si>
  <si>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</si>
  <si>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</si>
  <si>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</si>
  <si>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</si>
  <si>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</si>
  <si>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</si>
  <si>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</si>
  <si>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</si>
  <si>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</si>
  <si>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</si>
  <si>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</si>
  <si>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</si>
  <si>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</si>
  <si>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</si>
  <si>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</si>
  <si>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</si>
  <si>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</si>
  <si>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</si>
  <si>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</si>
  <si>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</si>
  <si>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</si>
  <si>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</si>
  <si>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</si>
  <si>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</si>
  <si>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</si>
  <si>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</si>
  <si>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</si>
  <si>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</si>
  <si>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</si>
  <si>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</si>
  <si>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</si>
  <si>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</si>
  <si>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</si>
  <si>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</si>
  <si>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</si>
  <si>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</si>
  <si>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</si>
  <si>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</si>
  <si>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</si>
  <si>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</si>
  <si>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</si>
  <si>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</si>
  <si>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</si>
  <si>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</si>
  <si>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</si>
  <si>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</si>
  <si>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</si>
  <si>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</si>
  <si>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</si>
  <si>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</si>
  <si>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</si>
  <si>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</si>
  <si>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</si>
  <si>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</si>
  <si>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</si>
  <si>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</si>
  <si>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</si>
  <si>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</si>
  <si>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</si>
  <si>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</si>
  <si>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</si>
  <si>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</si>
  <si>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</si>
  <si>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</si>
  <si>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</si>
  <si>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</si>
  <si>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</si>
  <si>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</si>
  <si>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</si>
  <si>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</si>
  <si>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</si>
  <si>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</si>
  <si>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</si>
  <si>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</si>
  <si>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</si>
  <si>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</si>
  <si>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</si>
  <si>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</si>
  <si>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</si>
  <si>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</si>
  <si>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</si>
  <si>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</si>
  <si>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</si>
  <si>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</si>
  <si>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</si>
  <si>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</si>
  <si>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</si>
  <si>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</si>
  <si>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</si>
  <si>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</si>
  <si>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</si>
  <si>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</si>
  <si>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</si>
  <si>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</si>
  <si>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</si>
  <si>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</si>
  <si>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</si>
  <si>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</si>
  <si>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</si>
  <si>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</si>
  <si>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</si>
  <si>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</si>
  <si>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</si>
  <si>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</si>
  <si>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</si>
  <si>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</si>
  <si>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</si>
  <si>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</si>
  <si>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</si>
  <si>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</si>
  <si>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</si>
  <si>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</si>
  <si>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</si>
  <si>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</si>
  <si>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</si>
  <si>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</si>
  <si>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</si>
  <si>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</si>
  <si>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</si>
  <si>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</si>
  <si>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</si>
  <si>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</si>
  <si>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</si>
  <si>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</si>
  <si>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</si>
  <si>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</si>
  <si>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</si>
  <si>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</si>
  <si>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</si>
  <si>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</si>
  <si>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</si>
  <si>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</si>
  <si>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</si>
  <si>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</si>
  <si>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</si>
  <si>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</si>
  <si>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</si>
  <si>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</si>
  <si>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</si>
  <si>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</si>
  <si>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</si>
  <si>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</si>
  <si>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</si>
  <si>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</si>
  <si>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</si>
  <si>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</si>
  <si>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</si>
  <si>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</si>
  <si>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</si>
  <si>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</si>
  <si>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</si>
  <si>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</si>
  <si>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</si>
  <si>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</si>
  <si>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</si>
  <si>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</si>
  <si>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</si>
  <si>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</si>
  <si>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</si>
  <si>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</si>
  <si>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</si>
  <si>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</si>
  <si>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</si>
  <si>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</si>
  <si>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</si>
  <si>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</si>
  <si>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</si>
  <si>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</si>
  <si>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</si>
  <si>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</si>
  <si>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</si>
  <si>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</si>
  <si>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</si>
  <si>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</si>
  <si>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</si>
  <si>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</si>
  <si>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</si>
  <si>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</si>
  <si>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</si>
  <si>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</si>
  <si>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</si>
  <si>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</si>
  <si>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</si>
  <si>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</si>
  <si>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</si>
  <si>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</si>
  <si>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</si>
  <si>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</si>
  <si>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</si>
  <si>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</si>
  <si>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</si>
  <si>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</si>
  <si>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</si>
  <si>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</si>
  <si>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</si>
  <si>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</si>
  <si>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</si>
  <si>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</si>
  <si>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</si>
  <si>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</si>
  <si>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</si>
  <si>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</si>
  <si>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</si>
  <si>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</si>
  <si>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</si>
  <si>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</si>
  <si>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</si>
  <si>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</si>
  <si>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</si>
  <si>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</si>
  <si>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</si>
  <si>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</si>
  <si>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</si>
  <si>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</si>
  <si>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</si>
  <si>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</si>
  <si>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</si>
  <si>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</si>
  <si>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</si>
  <si>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</si>
  <si>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</si>
  <si>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</si>
  <si>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</si>
  <si>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</si>
  <si>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</si>
  <si>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</si>
  <si>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</si>
  <si>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</si>
  <si>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</si>
  <si>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</si>
  <si>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</si>
  <si>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</si>
  <si>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</si>
  <si>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</si>
  <si>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</si>
  <si>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</si>
  <si>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</si>
  <si>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</si>
  <si>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</si>
  <si>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</si>
  <si>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</si>
  <si>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</si>
  <si>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</si>
  <si>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</si>
  <si>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</si>
  <si>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</si>
  <si>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</si>
  <si>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</si>
  <si>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</si>
  <si>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</si>
  <si>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</si>
  <si>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</si>
  <si>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</si>
  <si>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</si>
  <si>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</si>
  <si>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</si>
  <si>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</si>
  <si>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</si>
  <si>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</si>
  <si>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</si>
  <si>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</si>
  <si>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</si>
  <si>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</si>
  <si>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</si>
  <si>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</si>
  <si>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</si>
  <si>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</si>
  <si>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</si>
  <si>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</si>
  <si>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</si>
  <si>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</si>
  <si>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</si>
  <si>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</si>
  <si>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</si>
  <si>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</si>
  <si>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</si>
  <si>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</si>
  <si>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</si>
  <si>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</si>
  <si>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</si>
  <si>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</si>
  <si>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</si>
  <si>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</si>
  <si>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</si>
  <si>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</si>
  <si>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</si>
  <si>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</si>
  <si>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</si>
  <si>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</si>
  <si>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</si>
  <si>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</si>
  <si>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</si>
  <si>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</si>
  <si>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</si>
  <si>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</si>
  <si>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</si>
  <si>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</si>
  <si>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</si>
  <si>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</si>
  <si>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</si>
  <si>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</si>
  <si>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</si>
  <si>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</si>
  <si>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</si>
  <si>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</si>
  <si>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</si>
  <si>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</si>
  <si>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</si>
  <si>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</si>
  <si>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</si>
  <si>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</si>
  <si>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</si>
  <si>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</si>
  <si>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</si>
  <si>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</si>
  <si>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</si>
  <si>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</si>
  <si>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</si>
  <si>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</si>
  <si>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</si>
  <si>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</si>
  <si>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</si>
  <si>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</si>
  <si>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</si>
  <si>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</si>
  <si>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</si>
  <si>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</si>
  <si>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</si>
  <si>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</si>
  <si>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</si>
  <si>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</si>
  <si>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</si>
  <si>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</si>
  <si>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</si>
  <si>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</si>
  <si>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</si>
  <si>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</si>
  <si>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</si>
  <si>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</si>
  <si>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</si>
  <si>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</si>
  <si>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</si>
  <si>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</si>
  <si>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</si>
  <si>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</si>
  <si>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</si>
  <si>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</si>
  <si>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</si>
  <si>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</si>
  <si>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</si>
  <si>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</si>
  <si>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</si>
  <si>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</si>
  <si>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</si>
  <si>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</si>
  <si>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</si>
  <si>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</si>
  <si>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</si>
  <si>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</si>
  <si>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</si>
  <si>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</si>
  <si>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</si>
  <si>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</si>
  <si>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</si>
  <si>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</si>
  <si>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</si>
  <si>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</si>
  <si>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</si>
  <si>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</si>
  <si>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</si>
  <si>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</si>
  <si>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</si>
  <si>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</si>
  <si>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</si>
  <si>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</si>
  <si>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</si>
  <si>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</si>
  <si>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</si>
  <si>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</si>
  <si>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</si>
  <si>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</si>
  <si>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</si>
  <si>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</si>
  <si>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</si>
  <si>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</si>
  <si>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</si>
  <si>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</si>
  <si>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</si>
  <si>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</si>
  <si>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</si>
  <si>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</si>
  <si>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</si>
  <si>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</si>
  <si>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</si>
  <si>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</si>
  <si>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</si>
  <si>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</si>
  <si>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</si>
  <si>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</si>
  <si>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</si>
  <si>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</si>
  <si>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</si>
  <si>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</si>
  <si>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</si>
  <si>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</si>
  <si>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</si>
  <si>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</si>
  <si>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</si>
  <si>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</si>
  <si>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</si>
  <si>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</si>
  <si>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</si>
  <si>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</si>
  <si>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</si>
  <si>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</si>
  <si>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</si>
  <si>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</si>
  <si>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</si>
  <si>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</si>
  <si>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</si>
  <si>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</si>
  <si>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</si>
  <si>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</si>
  <si>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</si>
  <si>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</si>
  <si>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</si>
  <si>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</si>
  <si>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</si>
  <si>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</si>
  <si>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</si>
  <si>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</si>
  <si>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</si>
  <si>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</si>
  <si>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</si>
  <si>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</si>
  <si>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</si>
  <si>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</si>
  <si>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</si>
  <si>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</si>
  <si>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</si>
  <si>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</si>
  <si>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</si>
  <si>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</si>
  <si>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</si>
  <si>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</si>
  <si>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</si>
  <si>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</si>
  <si>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</si>
  <si>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</si>
  <si>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</si>
  <si>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</si>
  <si>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</si>
  <si>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</si>
  <si>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</si>
  <si>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</si>
  <si>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</si>
  <si>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</si>
  <si>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</si>
  <si>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</si>
  <si>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</si>
  <si>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</si>
  <si>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</si>
  <si>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</si>
  <si>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</si>
  <si>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</si>
  <si>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</si>
  <si>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</si>
  <si>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</si>
  <si>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</si>
  <si>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</si>
  <si>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</si>
  <si>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</si>
  <si>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</si>
  <si>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</si>
  <si>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</si>
  <si>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</si>
  <si>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</si>
  <si>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</si>
  <si>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</si>
  <si>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</si>
  <si>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</si>
  <si>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</si>
  <si>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</si>
  <si>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</si>
  <si>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</si>
  <si>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</si>
  <si>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</si>
  <si>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</si>
  <si>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</si>
  <si>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</si>
  <si>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</si>
  <si>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</si>
  <si>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</si>
  <si>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</si>
  <si>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</si>
  <si>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</si>
  <si>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</si>
  <si>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</si>
  <si>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</si>
  <si>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</si>
  <si>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</si>
  <si>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</si>
  <si>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</si>
  <si>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</si>
  <si>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</si>
  <si>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</si>
  <si>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</si>
  <si>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</si>
  <si>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</si>
  <si>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</si>
  <si>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</si>
  <si>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</si>
  <si>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</si>
  <si>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</si>
  <si>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</si>
  <si>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</si>
  <si>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</si>
  <si>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</si>
  <si>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</si>
  <si>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</si>
  <si>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</si>
  <si>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</si>
  <si>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</si>
  <si>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</si>
  <si>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</si>
  <si>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</si>
  <si>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</si>
  <si>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</si>
  <si>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</si>
  <si>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</si>
  <si>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</si>
  <si>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</si>
  <si>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</si>
  <si>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</si>
  <si>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</si>
  <si>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</si>
  <si>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</si>
  <si>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</si>
  <si>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</si>
  <si>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</si>
  <si>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</si>
  <si>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</si>
  <si>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</si>
  <si>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</si>
  <si>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</si>
  <si>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</si>
  <si>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</si>
  <si>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</si>
  <si>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</si>
  <si>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</si>
  <si>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</si>
  <si>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</si>
  <si>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</si>
  <si>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</si>
  <si>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</si>
  <si>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</si>
  <si>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</si>
  <si>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</si>
  <si>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</si>
  <si>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</si>
  <si>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</si>
  <si>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</si>
  <si>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</si>
  <si>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</si>
  <si>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</si>
  <si>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</si>
  <si>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</si>
  <si>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</si>
  <si>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</si>
  <si>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</si>
  <si>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</si>
  <si>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</si>
  <si>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</si>
  <si>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</si>
  <si>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</si>
  <si>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</si>
  <si>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</si>
  <si>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</si>
  <si>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</si>
  <si>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</si>
  <si>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</si>
  <si>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</si>
  <si>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</si>
  <si>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</si>
  <si>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</si>
  <si>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</si>
  <si>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</si>
  <si>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</si>
  <si>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</si>
  <si>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</si>
  <si>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</si>
  <si>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</si>
  <si>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</si>
  <si>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</si>
  <si>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</si>
  <si>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</si>
  <si>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</si>
  <si>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</si>
  <si>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</si>
  <si>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</si>
  <si>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</si>
  <si>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</si>
  <si>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</si>
  <si>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</si>
  <si>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</si>
  <si>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</si>
  <si>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</si>
  <si>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</si>
  <si>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</si>
  <si>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</si>
  <si>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</si>
  <si>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</si>
  <si>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</si>
  <si>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</si>
  <si>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</si>
  <si>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</si>
  <si>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</si>
  <si>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</si>
  <si>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</si>
  <si>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</si>
  <si>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</si>
  <si>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</si>
  <si>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</si>
  <si>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</si>
  <si>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</si>
  <si>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</si>
  <si>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</si>
  <si>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</si>
  <si>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</si>
  <si>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</si>
  <si>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</si>
  <si>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</si>
  <si>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</si>
  <si>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</si>
  <si>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</si>
  <si>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</si>
  <si>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</si>
  <si>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</si>
  <si>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</si>
  <si>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</si>
  <si>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</si>
  <si>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</si>
  <si>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</si>
  <si>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</si>
  <si>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</si>
  <si>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</si>
  <si>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</si>
  <si>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</si>
  <si>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</si>
  <si>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</si>
  <si>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</si>
  <si>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</si>
  <si>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</si>
  <si>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</si>
  <si>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</si>
  <si>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</si>
  <si>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</si>
  <si>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</si>
  <si>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</si>
  <si>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</si>
  <si>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</si>
  <si>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</si>
  <si>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</si>
  <si>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</si>
  <si>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</si>
  <si>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</si>
  <si>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</si>
  <si>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</si>
  <si>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</si>
  <si>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</si>
  <si>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</si>
  <si>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</si>
  <si>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</si>
  <si>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</si>
  <si>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</si>
  <si>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</si>
  <si>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</si>
  <si>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</si>
  <si>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</si>
  <si>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</si>
  <si>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</si>
  <si>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</si>
  <si>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</si>
  <si>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</si>
  <si>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</si>
  <si>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</si>
  <si>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</si>
  <si>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</si>
  <si>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</si>
  <si>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</si>
  <si>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</si>
  <si>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</si>
  <si>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</si>
  <si>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</si>
  <si>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</si>
  <si>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</si>
  <si>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</si>
  <si>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</si>
  <si>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</si>
  <si>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</si>
  <si>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</si>
  <si>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</si>
  <si>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</si>
  <si>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</si>
  <si>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</si>
  <si>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</si>
  <si>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</si>
  <si>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</si>
  <si>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</si>
  <si>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</si>
  <si>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</si>
  <si>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</si>
  <si>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</si>
  <si>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</si>
  <si>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</si>
  <si>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</si>
  <si>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</si>
  <si>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</si>
  <si>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</si>
  <si>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</si>
  <si>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</si>
  <si>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</si>
  <si>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</si>
  <si>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</si>
  <si>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</si>
  <si>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</si>
  <si>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</si>
  <si>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</si>
  <si>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</si>
  <si>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</si>
  <si>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</si>
  <si>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</si>
  <si>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</si>
  <si>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</si>
  <si>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</si>
  <si>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</si>
  <si>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</si>
  <si>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</si>
  <si>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</si>
  <si>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</si>
  <si>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</si>
  <si>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</si>
  <si>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</si>
  <si>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</si>
  <si>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</si>
  <si>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</si>
  <si>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</si>
  <si>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</si>
  <si>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</si>
  <si>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</si>
  <si>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</si>
  <si>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</si>
  <si>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</si>
  <si>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</si>
  <si>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</si>
  <si>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</si>
  <si>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</si>
  <si>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</si>
  <si>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</si>
  <si>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</si>
  <si>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</si>
  <si>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</si>
  <si>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</si>
  <si>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</si>
  <si>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</si>
  <si>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</si>
  <si>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</si>
  <si>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</si>
  <si>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</si>
  <si>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</si>
  <si>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</si>
  <si>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</si>
  <si>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</si>
  <si>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</si>
  <si>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</si>
  <si>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</si>
  <si>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</si>
  <si>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</si>
  <si>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</si>
  <si>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</si>
  <si>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</si>
  <si>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</si>
  <si>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</si>
  <si>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</si>
  <si>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</si>
  <si>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</si>
  <si>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</si>
  <si>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</si>
  <si>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</si>
  <si>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</si>
  <si>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</si>
  <si>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</si>
  <si>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</si>
  <si>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</si>
  <si>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</si>
  <si>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</si>
  <si>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</si>
  <si>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</si>
  <si>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</si>
  <si>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</si>
  <si>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</si>
  <si>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</si>
  <si>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</si>
  <si>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</si>
  <si>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</si>
  <si>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</si>
  <si>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</si>
  <si>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</si>
  <si>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</si>
  <si>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</si>
  <si>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</si>
  <si>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</si>
  <si>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</si>
  <si>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</si>
  <si>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</si>
  <si>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</si>
  <si>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</si>
  <si>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</si>
  <si>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</si>
  <si>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</si>
  <si>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</si>
  <si>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</si>
  <si>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</si>
  <si>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</si>
  <si>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</si>
  <si>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</si>
  <si>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</si>
  <si>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</si>
  <si>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</si>
  <si>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</si>
  <si>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</si>
  <si>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</si>
  <si>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</si>
  <si>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</si>
  <si>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</si>
  <si>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</si>
  <si>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</si>
  <si>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</si>
  <si>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</si>
  <si>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</si>
  <si>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</si>
  <si>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</si>
  <si>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</si>
  <si>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</si>
  <si>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</si>
  <si>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</si>
  <si>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</si>
  <si>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</si>
  <si>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</si>
  <si>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</si>
  <si>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</si>
  <si>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</si>
  <si>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</si>
  <si>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</si>
  <si>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</si>
  <si>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</si>
  <si>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</si>
  <si>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</si>
  <si>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</si>
  <si>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</si>
  <si>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</si>
  <si>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</si>
  <si>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</si>
  <si>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</si>
  <si>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</si>
  <si>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</si>
  <si>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</si>
  <si>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</si>
  <si>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</si>
  <si>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</si>
  <si>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</si>
  <si>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</si>
  <si>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</si>
  <si>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</si>
  <si>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</si>
  <si>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</si>
  <si>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</si>
  <si>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</si>
  <si>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</si>
  <si>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</si>
  <si>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</si>
  <si>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</si>
  <si>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</si>
  <si>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</si>
  <si>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</si>
  <si>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</si>
  <si>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</si>
  <si>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</si>
  <si>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</si>
  <si>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</si>
  <si>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</si>
  <si>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</si>
  <si>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</si>
  <si>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</si>
  <si>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</si>
  <si>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</si>
  <si>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</si>
  <si>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</si>
  <si>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</si>
  <si>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</si>
  <si>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</si>
  <si>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</si>
  <si>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</si>
  <si>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</si>
  <si>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</si>
  <si>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</si>
  <si>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</si>
  <si>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</si>
  <si>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</si>
  <si>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</si>
  <si>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</si>
  <si>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</si>
  <si>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</si>
  <si>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</si>
  <si>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</si>
  <si>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</si>
  <si>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</si>
  <si>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</si>
  <si>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</si>
  <si>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</si>
  <si>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</si>
  <si>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</si>
  <si>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</si>
  <si>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</si>
  <si>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</si>
  <si>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</si>
  <si>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</si>
  <si>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</si>
  <si>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</si>
  <si>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</si>
  <si>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</si>
  <si>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</si>
  <si>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</si>
  <si>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</si>
  <si>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</si>
  <si>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</si>
  <si>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</si>
  <si>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</si>
  <si>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</si>
  <si>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</si>
  <si>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</si>
  <si>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</si>
  <si>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</si>
  <si>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</si>
  <si>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</si>
  <si>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</si>
  <si>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</si>
  <si>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</si>
  <si>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</si>
  <si>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</si>
  <si>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</si>
  <si>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</si>
  <si>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</si>
  <si>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</si>
  <si>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</si>
  <si>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</si>
  <si>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</si>
  <si>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</si>
  <si>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</si>
  <si>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</si>
  <si>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</si>
  <si>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</si>
  <si>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</si>
  <si>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</si>
  <si>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</si>
  <si>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</si>
  <si>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</si>
  <si>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</si>
  <si>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</si>
  <si>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</si>
  <si>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</si>
  <si>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</si>
  <si>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</si>
  <si>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</si>
  <si>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</si>
  <si>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</si>
  <si>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</si>
  <si>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</si>
  <si>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</si>
  <si>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</si>
  <si>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</si>
  <si>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</si>
  <si>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</si>
  <si>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</si>
  <si>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</si>
  <si>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</si>
  <si>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</si>
  <si>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</si>
  <si>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</si>
  <si>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</si>
  <si>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</si>
  <si>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</si>
  <si>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</si>
  <si>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</si>
  <si>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</si>
  <si>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</si>
  <si>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</si>
  <si>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</si>
  <si>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</si>
  <si>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</si>
  <si>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</si>
  <si>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</si>
  <si>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</si>
  <si>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</si>
  <si>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</si>
  <si>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</si>
  <si>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</si>
  <si>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</si>
  <si>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</si>
  <si>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</si>
  <si>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</si>
  <si>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</si>
  <si>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</si>
  <si>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</si>
  <si>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</si>
  <si>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</si>
  <si>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</si>
  <si>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</si>
  <si>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</si>
  <si>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</si>
  <si>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</si>
  <si>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</si>
  <si>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</si>
  <si>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</si>
  <si>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</si>
  <si>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</si>
  <si>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</si>
  <si>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</si>
  <si>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</si>
  <si>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</si>
  <si>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</si>
  <si>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</si>
  <si>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</si>
  <si>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</si>
  <si>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</si>
  <si>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</si>
  <si>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</si>
  <si>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</si>
  <si>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</si>
  <si>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</si>
  <si>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</si>
  <si>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</si>
  <si>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</si>
  <si>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</si>
  <si>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</si>
  <si>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</si>
  <si>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</si>
  <si>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</si>
  <si>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</si>
  <si>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</si>
  <si>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</si>
  <si>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</si>
  <si>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</si>
  <si>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</si>
  <si>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</si>
  <si>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</si>
  <si>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</si>
  <si>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</si>
  <si>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</si>
  <si>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</si>
  <si>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</si>
  <si>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</si>
  <si>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</si>
  <si>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</si>
  <si>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</si>
  <si>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</si>
  <si>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</si>
  <si>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</si>
  <si>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</si>
  <si>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</si>
  <si>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</si>
  <si>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</si>
  <si>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</si>
  <si>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</si>
  <si>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</si>
  <si>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</si>
  <si>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</si>
  <si>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</si>
  <si>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</si>
  <si>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</si>
  <si>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</si>
  <si>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</si>
  <si>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</si>
  <si>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</si>
  <si>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</si>
  <si>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</si>
  <si>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</si>
  <si>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</si>
  <si>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</si>
  <si>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</si>
  <si>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</si>
  <si>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</si>
  <si>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</si>
  <si>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</si>
  <si>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</si>
  <si>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</si>
  <si>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</si>
  <si>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</si>
  <si>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</si>
  <si>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</si>
  <si>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</si>
  <si>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</si>
  <si>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</si>
  <si>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</si>
  <si>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</si>
  <si>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</si>
  <si>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</si>
  <si>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</si>
  <si>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</si>
  <si>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</si>
  <si>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</si>
  <si>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</si>
  <si>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</si>
  <si>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</si>
  <si>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</si>
  <si>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</si>
  <si>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</si>
  <si>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</si>
  <si>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</si>
  <si>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</si>
  <si>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</si>
  <si>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</si>
  <si>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</si>
  <si>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</si>
  <si>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</si>
  <si>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</si>
  <si>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</si>
  <si>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</si>
  <si>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</si>
  <si>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</si>
  <si>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</si>
  <si>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</si>
  <si>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</si>
  <si>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</si>
  <si>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</si>
  <si>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</si>
  <si>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</si>
  <si>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</si>
  <si>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</si>
  <si>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</si>
  <si>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</si>
  <si>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</si>
  <si>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</si>
  <si>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</si>
  <si>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</si>
  <si>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</si>
  <si>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</si>
  <si>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</si>
  <si>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</si>
  <si>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</si>
  <si>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</si>
  <si>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</si>
  <si>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</si>
  <si>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</si>
  <si>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</si>
  <si>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</si>
  <si>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</si>
  <si>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</si>
  <si>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</si>
  <si>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</si>
  <si>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</si>
  <si>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</si>
  <si>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</si>
  <si>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</si>
  <si>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</si>
  <si>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</si>
  <si>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</si>
  <si>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</si>
  <si>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</si>
  <si>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</si>
  <si>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</si>
  <si>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</si>
  <si>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</si>
  <si>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</si>
  <si>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</si>
  <si>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</si>
  <si>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</si>
  <si>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</si>
  <si>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</si>
  <si>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</si>
  <si>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</si>
  <si>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</si>
  <si>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</si>
  <si>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</si>
  <si>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</si>
  <si>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</si>
  <si>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</si>
  <si>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</si>
  <si>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</si>
  <si>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</si>
  <si>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</si>
  <si>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</si>
  <si>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</si>
  <si>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</si>
  <si>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</si>
  <si>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</si>
  <si>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</si>
  <si>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</si>
  <si>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</si>
  <si>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</si>
  <si>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</si>
  <si>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</si>
  <si>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</si>
  <si>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</si>
  <si>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</si>
  <si>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</si>
  <si>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</si>
  <si>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</si>
  <si>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</si>
  <si>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</si>
  <si>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</si>
  <si>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</si>
  <si>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</si>
  <si>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</si>
  <si>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</si>
  <si>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</si>
  <si>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</si>
  <si>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</si>
  <si>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</si>
  <si>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</si>
  <si>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</si>
  <si>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</si>
  <si>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</si>
  <si>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</si>
  <si>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</si>
  <si>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</si>
  <si>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</si>
  <si>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</si>
  <si>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</si>
  <si>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</si>
  <si>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</si>
  <si>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</si>
  <si>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</si>
  <si>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</si>
  <si>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</si>
  <si>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</si>
  <si>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</si>
  <si>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</si>
  <si>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</si>
  <si>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</si>
  <si>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</si>
  <si>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</si>
  <si>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</si>
  <si>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</si>
  <si>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</si>
  <si>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</si>
  <si>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</si>
  <si>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</si>
  <si>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</si>
  <si>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</si>
  <si>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</si>
  <si>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</si>
  <si>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</si>
  <si>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</si>
  <si>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</si>
  <si>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</si>
  <si>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</si>
  <si>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</si>
  <si>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</si>
  <si>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</si>
  <si>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</si>
  <si>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</si>
  <si>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</si>
  <si>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</si>
  <si>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</si>
  <si>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</si>
  <si>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</si>
  <si>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</si>
  <si>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</si>
  <si>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</si>
  <si>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</si>
  <si>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</si>
  <si>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</si>
  <si>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</si>
  <si>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</si>
  <si>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</si>
  <si>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</si>
  <si>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</si>
  <si>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</si>
  <si>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</si>
  <si>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</si>
  <si>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</si>
  <si>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</si>
  <si>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</si>
  <si>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</si>
  <si>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</si>
  <si>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</si>
  <si>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</si>
  <si>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</si>
  <si>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</si>
  <si>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</si>
  <si>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</si>
  <si>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</si>
  <si>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</si>
  <si>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</si>
  <si>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</si>
  <si>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</si>
  <si>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</si>
  <si>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</si>
  <si>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</si>
  <si>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</si>
  <si>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</si>
  <si>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</si>
  <si>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</si>
  <si>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</si>
  <si>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</si>
  <si>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</si>
  <si>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</si>
  <si>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</si>
  <si>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</si>
  <si>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</si>
  <si>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</si>
  <si>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</si>
  <si>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</si>
  <si>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</si>
  <si>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</si>
  <si>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</si>
  <si>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</si>
  <si>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</si>
  <si>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</si>
  <si>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</si>
  <si>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</si>
  <si>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</si>
  <si>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</si>
  <si>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</si>
  <si>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</si>
  <si>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</si>
  <si>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</si>
  <si>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</si>
  <si>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</si>
  <si>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</si>
  <si>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</si>
  <si>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</si>
  <si>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</si>
  <si>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</si>
  <si>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</si>
  <si>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</si>
  <si>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</si>
  <si>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</si>
  <si>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</si>
  <si>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</si>
  <si>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</si>
  <si>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</si>
  <si>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</si>
  <si>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</si>
  <si>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</si>
  <si>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</si>
  <si>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</si>
  <si>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</si>
  <si>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</si>
  <si>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</si>
  <si>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</si>
  <si>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</si>
  <si>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</si>
  <si>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</si>
  <si>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</si>
  <si>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</si>
  <si>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</si>
  <si>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</si>
  <si>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</si>
  <si>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</si>
  <si>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</si>
  <si>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</si>
  <si>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</si>
  <si>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</si>
  <si>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</si>
  <si>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</si>
  <si>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</si>
  <si>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</si>
  <si>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</si>
  <si>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</si>
  <si>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</si>
  <si>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</si>
  <si>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</si>
  <si>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</si>
  <si>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</si>
  <si>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</si>
  <si>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</si>
  <si>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</si>
  <si>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</si>
  <si>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</si>
  <si>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</si>
  <si>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</si>
  <si>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</si>
  <si>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</si>
  <si>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</si>
  <si>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</si>
  <si>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</si>
  <si>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</si>
  <si>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</si>
  <si>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</si>
  <si>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</si>
  <si>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</si>
  <si>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</si>
  <si>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</si>
  <si>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</si>
  <si>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</si>
  <si>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</si>
  <si>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</si>
  <si>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</si>
  <si>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</si>
  <si>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</si>
  <si>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</si>
  <si>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</si>
  <si>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</si>
  <si>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</si>
  <si>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</si>
  <si>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</si>
  <si>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</si>
  <si>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</si>
  <si>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</si>
  <si>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</si>
  <si>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</si>
  <si>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</si>
  <si>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</si>
  <si>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</si>
  <si>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</si>
  <si>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</si>
  <si>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</si>
  <si>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</si>
  <si>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</si>
  <si>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</si>
  <si>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</si>
  <si>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</si>
  <si>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</si>
  <si>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</si>
  <si>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</si>
  <si>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</si>
  <si>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</si>
  <si>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</si>
  <si>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</si>
  <si>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</si>
  <si>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</si>
  <si>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</si>
  <si>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</si>
  <si>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</si>
  <si>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</si>
  <si>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</si>
  <si>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</si>
  <si>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</si>
  <si>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</si>
  <si>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</si>
  <si>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</si>
  <si>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</si>
  <si>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</si>
  <si>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</si>
  <si>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</si>
  <si>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</si>
  <si>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</si>
  <si>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</si>
  <si>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</si>
  <si>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</si>
  <si>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</si>
  <si>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</si>
  <si>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</si>
  <si>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</si>
  <si>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</si>
  <si>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</si>
  <si>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</si>
  <si>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</si>
  <si>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</si>
  <si>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</si>
  <si>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</si>
  <si>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</si>
  <si>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</si>
  <si>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</si>
  <si>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</si>
  <si>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</si>
  <si>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</si>
  <si>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</si>
  <si>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</si>
  <si>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</si>
  <si>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</si>
  <si>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</si>
  <si>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</si>
  <si>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</si>
  <si>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</si>
  <si>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</si>
  <si>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</si>
  <si>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</si>
  <si>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</si>
  <si>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</si>
  <si>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</si>
  <si>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</si>
  <si>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</si>
  <si>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</si>
  <si>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</si>
  <si>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</si>
  <si>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</si>
  <si>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</si>
  <si>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</si>
  <si>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</si>
  <si>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</si>
  <si>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</si>
  <si>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</si>
  <si>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</si>
  <si>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</si>
  <si>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</si>
  <si>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</si>
  <si>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</si>
  <si>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</si>
  <si>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</si>
  <si>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</si>
  <si>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</si>
  <si>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</si>
  <si>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</si>
  <si>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</si>
  <si>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</si>
  <si>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</si>
  <si>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</si>
  <si>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</si>
  <si>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</si>
  <si>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</si>
  <si>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</si>
  <si>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</si>
  <si>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</si>
  <si>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</si>
  <si>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</si>
  <si>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</si>
  <si>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</si>
  <si>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</si>
  <si>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</si>
  <si>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</si>
  <si>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</si>
  <si>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</si>
  <si>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</si>
  <si>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</si>
  <si>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</si>
  <si>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</si>
  <si>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</si>
  <si>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</si>
  <si>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</si>
  <si>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</si>
  <si>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</si>
  <si>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</si>
  <si>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</si>
  <si>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</si>
  <si>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</si>
  <si>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</si>
  <si>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</si>
  <si>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</si>
  <si>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</si>
  <si>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</si>
  <si>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</si>
  <si>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</si>
  <si>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</si>
  <si>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</si>
  <si>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</si>
  <si>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</si>
  <si>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</si>
  <si>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</si>
  <si>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</si>
  <si>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</si>
  <si>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</si>
  <si>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</si>
  <si>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</si>
  <si>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</si>
  <si>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</si>
  <si>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</si>
  <si>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</si>
  <si>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</si>
  <si>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</si>
  <si>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</si>
  <si>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</si>
  <si>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</si>
  <si>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</si>
  <si>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</si>
  <si>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</si>
  <si>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</si>
  <si>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</si>
  <si>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</si>
  <si>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</si>
  <si>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</si>
  <si>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</si>
  <si>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</si>
  <si>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</si>
  <si>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</si>
  <si>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</si>
  <si>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</si>
  <si>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</si>
  <si>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</si>
  <si>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</si>
  <si>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</si>
  <si>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</si>
  <si>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</si>
  <si>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</si>
  <si>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</si>
  <si>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</si>
  <si>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</si>
  <si>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</si>
  <si>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</si>
  <si>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</si>
  <si>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</si>
  <si>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</si>
  <si>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</si>
  <si>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</si>
  <si>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</si>
  <si>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</si>
  <si>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</si>
  <si>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</si>
  <si>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</si>
  <si>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</si>
  <si>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</si>
  <si>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</si>
  <si>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</si>
  <si>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</si>
  <si>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</si>
  <si>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</si>
  <si>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</si>
  <si>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</si>
  <si>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</si>
  <si>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</si>
  <si>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</si>
  <si>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</si>
  <si>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</si>
  <si>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</si>
  <si>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</si>
  <si>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</si>
  <si>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</si>
  <si>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</si>
  <si>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</si>
  <si>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</si>
  <si>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</si>
  <si>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</si>
  <si>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</si>
  <si>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</si>
  <si>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</si>
  <si>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</si>
  <si>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</si>
  <si>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</si>
  <si>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</si>
  <si>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</si>
  <si>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</si>
  <si>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</si>
  <si>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</si>
  <si>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</si>
  <si>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</si>
  <si>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</si>
  <si>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</si>
  <si>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</si>
  <si>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</si>
  <si>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</si>
  <si>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</si>
  <si>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</si>
  <si>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</si>
  <si>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</si>
  <si>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</si>
  <si>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</si>
  <si>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</si>
  <si>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</si>
  <si>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</si>
  <si>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</si>
  <si>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</si>
  <si>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</si>
  <si>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</si>
  <si>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</si>
  <si>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</si>
  <si>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</si>
  <si>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</si>
  <si>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</si>
  <si>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</si>
  <si>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</si>
  <si>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</si>
  <si>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</si>
  <si>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</si>
  <si>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</si>
  <si>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</si>
  <si>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</si>
  <si>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</si>
  <si>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</si>
  <si>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</si>
  <si>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</si>
  <si>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</si>
  <si>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</si>
  <si>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</si>
  <si>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</si>
  <si>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</si>
  <si>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</si>
  <si>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</si>
  <si>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</si>
  <si>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</si>
  <si>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</si>
  <si>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</si>
  <si>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</si>
  <si>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</si>
  <si>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</si>
  <si>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</si>
  <si>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</si>
  <si>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</si>
  <si>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</si>
  <si>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</si>
  <si>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</si>
  <si>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</si>
  <si>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</si>
  <si>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</si>
  <si>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</si>
  <si>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</si>
  <si>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</si>
  <si>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</si>
  <si>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</si>
  <si>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</si>
  <si>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</si>
  <si>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</si>
  <si>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</si>
  <si>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</si>
  <si>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</si>
  <si>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</si>
  <si>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</si>
  <si>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</si>
  <si>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</si>
  <si>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</si>
  <si>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</si>
  <si>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</si>
  <si>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</si>
  <si>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</si>
  <si>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</si>
  <si>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</si>
  <si>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</si>
  <si>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</si>
  <si>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</si>
  <si>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</si>
  <si>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</si>
  <si>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</si>
  <si>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</si>
  <si>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</si>
  <si>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</si>
  <si>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</si>
  <si>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</si>
  <si>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</si>
  <si>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</si>
  <si>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</si>
  <si>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</si>
  <si>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</si>
  <si>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</si>
  <si>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</si>
  <si>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</si>
  <si>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</si>
  <si>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</si>
  <si>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</si>
  <si>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</si>
  <si>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</si>
  <si>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</si>
  <si>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</si>
  <si>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</si>
  <si>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</si>
  <si>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</si>
  <si>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</si>
  <si>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</si>
  <si>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</si>
  <si>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</si>
  <si>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</si>
  <si>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</si>
  <si>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</si>
  <si>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</si>
  <si>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</si>
  <si>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</si>
  <si>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</si>
  <si>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</si>
  <si>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</si>
  <si>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</si>
  <si>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</si>
  <si>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</si>
  <si>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</si>
  <si>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</si>
  <si>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</si>
  <si>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</si>
  <si>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</si>
  <si>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</si>
  <si>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</si>
  <si>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</si>
  <si>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</si>
  <si>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</si>
  <si>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</si>
  <si>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</si>
  <si>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</si>
  <si>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</si>
  <si>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</si>
  <si>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</si>
  <si>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</si>
  <si>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</si>
  <si>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</si>
  <si>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</si>
  <si>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</si>
  <si>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</si>
  <si>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</si>
  <si>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</si>
  <si>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</si>
  <si>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</si>
  <si>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</si>
  <si>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</si>
  <si>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</si>
  <si>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</si>
  <si>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</si>
  <si>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</si>
  <si>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</si>
  <si>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</si>
  <si>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</si>
  <si>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</si>
  <si>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</si>
  <si>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</si>
  <si>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</si>
  <si>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</si>
  <si>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</si>
  <si>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</si>
  <si>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</si>
  <si>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</si>
  <si>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</si>
  <si>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</si>
  <si>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</si>
  <si>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</si>
  <si>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</si>
  <si>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</si>
  <si>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</si>
  <si>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</si>
  <si>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</si>
  <si>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</si>
  <si>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</si>
  <si>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</si>
  <si>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</si>
  <si>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</si>
  <si>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</si>
  <si>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</si>
  <si>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</si>
  <si>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</si>
  <si>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</si>
  <si>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</si>
  <si>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</si>
  <si>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</si>
  <si>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</si>
  <si>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</si>
  <si>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</si>
  <si>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</si>
  <si>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</si>
  <si>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</si>
  <si>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</si>
  <si>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</si>
  <si>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</si>
  <si>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</si>
  <si>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</si>
  <si>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</si>
  <si>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</si>
  <si>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</si>
  <si>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</si>
  <si>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</si>
  <si>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</si>
  <si>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</si>
  <si>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</si>
  <si>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</si>
  <si>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</si>
  <si>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</si>
  <si>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</si>
  <si>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</si>
  <si>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</si>
  <si>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</si>
  <si>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</si>
  <si>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</si>
  <si>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</si>
  <si>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</si>
  <si>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</si>
  <si>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</si>
  <si>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</si>
  <si>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</si>
  <si>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</si>
  <si>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</si>
  <si>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</si>
  <si>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</si>
  <si>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</si>
  <si>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</si>
  <si>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</si>
  <si>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</si>
  <si>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</si>
  <si>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</si>
  <si>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</si>
  <si>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</si>
  <si>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</si>
  <si>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</si>
  <si>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</si>
  <si>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</si>
  <si>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</si>
  <si>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</si>
  <si>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</si>
  <si>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</si>
  <si>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</si>
  <si>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</si>
  <si>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</si>
  <si>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</si>
  <si>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</si>
  <si>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</si>
  <si>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</si>
  <si>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</si>
  <si>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</si>
  <si>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</si>
  <si>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</si>
  <si>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</si>
  <si>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</si>
  <si>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</si>
  <si>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</si>
  <si>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</si>
  <si>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</si>
  <si>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</si>
  <si>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</si>
  <si>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</si>
  <si>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</si>
  <si>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</si>
  <si>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</si>
  <si>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</si>
  <si>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</si>
  <si>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</si>
  <si>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</si>
  <si>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</si>
  <si>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</si>
  <si>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</si>
  <si>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</si>
  <si>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</si>
  <si>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</si>
  <si>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</si>
  <si>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</si>
  <si>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</si>
  <si>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</si>
  <si>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</si>
  <si>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</si>
  <si>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</si>
  <si>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</si>
  <si>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</si>
  <si>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</si>
  <si>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</si>
  <si>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</si>
  <si>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</si>
  <si>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</si>
  <si>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</si>
  <si>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</si>
  <si>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</si>
  <si>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</si>
  <si>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</si>
  <si>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</si>
  <si>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</si>
  <si>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</si>
  <si>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</si>
  <si>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</si>
  <si>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</si>
  <si>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</si>
  <si>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</si>
  <si>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</si>
  <si>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</si>
  <si>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</si>
  <si>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</si>
  <si>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</si>
  <si>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</si>
  <si>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</si>
  <si>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</si>
  <si>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</si>
  <si>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</si>
  <si>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</si>
  <si>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</si>
  <si>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</si>
  <si>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</si>
  <si>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</si>
  <si>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</si>
  <si>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</si>
  <si>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</si>
  <si>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</si>
  <si>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</si>
  <si>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</si>
  <si>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</si>
  <si>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</si>
  <si>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</si>
  <si>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</si>
  <si>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</si>
  <si>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</si>
  <si>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</si>
  <si>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</si>
  <si>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</si>
  <si>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</si>
  <si>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</si>
  <si>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</si>
  <si>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</si>
  <si>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</si>
  <si>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</si>
  <si>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</si>
  <si>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</si>
  <si>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</si>
  <si>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</si>
  <si>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</si>
  <si>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</si>
  <si>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</si>
  <si>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</si>
  <si>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</si>
  <si>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</si>
  <si>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</si>
  <si>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</si>
  <si>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</si>
  <si>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</si>
  <si>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</si>
  <si>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</si>
  <si>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</si>
  <si>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</si>
  <si>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</si>
  <si>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</si>
  <si>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</si>
  <si>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</si>
  <si>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</si>
  <si>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</si>
  <si>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</si>
  <si>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</si>
  <si>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</si>
  <si>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</si>
  <si>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</si>
  <si>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</si>
  <si>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</si>
  <si>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</si>
  <si>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</si>
  <si>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</si>
  <si>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</si>
  <si>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</si>
  <si>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</si>
  <si>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</si>
  <si>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</si>
  <si>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</si>
  <si>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</si>
  <si>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</si>
  <si>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</si>
  <si>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</si>
  <si>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</si>
  <si>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</si>
  <si>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</si>
  <si>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</si>
  <si>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</si>
  <si>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</si>
  <si>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</si>
  <si>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</si>
  <si>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</si>
  <si>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</si>
  <si>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</si>
  <si>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</si>
  <si>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</si>
  <si>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</si>
  <si>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</si>
  <si>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</si>
  <si>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</si>
  <si>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</si>
  <si>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</si>
  <si>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</si>
  <si>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</si>
  <si>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</si>
  <si>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</si>
  <si>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</si>
  <si>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</si>
  <si>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</si>
  <si>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</si>
  <si>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</si>
  <si>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</si>
  <si>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</si>
  <si>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</si>
  <si>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</si>
  <si>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</si>
  <si>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</si>
  <si>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</si>
  <si>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</si>
  <si>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</si>
  <si>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</si>
  <si>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</si>
  <si>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</si>
  <si>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</si>
  <si>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</si>
  <si>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</si>
  <si>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</si>
  <si>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</si>
  <si>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</si>
  <si>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</si>
  <si>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</si>
  <si>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</si>
  <si>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</si>
  <si>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</si>
  <si>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</si>
  <si>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</si>
  <si>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</si>
  <si>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</si>
  <si>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</si>
  <si>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</si>
  <si>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</si>
  <si>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</si>
  <si>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</si>
  <si>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</si>
  <si>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</si>
  <si>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</si>
  <si>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</si>
  <si>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</si>
  <si>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</si>
  <si>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</si>
  <si>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</si>
  <si>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</si>
  <si>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</si>
  <si>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</si>
  <si>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</si>
  <si>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</si>
  <si>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</si>
  <si>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</si>
  <si>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</si>
  <si>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</si>
  <si>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</si>
  <si>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</si>
  <si>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</si>
  <si>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</si>
  <si>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</si>
  <si>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</si>
  <si>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</si>
  <si>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</si>
  <si>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</si>
  <si>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</si>
  <si>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</si>
  <si>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</si>
  <si>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</si>
  <si>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</si>
  <si>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</si>
  <si>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</si>
  <si>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</si>
  <si>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</si>
  <si>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</si>
  <si>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</si>
  <si>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</si>
  <si>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</si>
  <si>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</si>
  <si>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</si>
  <si>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</si>
  <si>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</si>
  <si>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</si>
  <si>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</si>
  <si>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</si>
  <si>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</si>
  <si>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</si>
  <si>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</si>
  <si>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</si>
  <si>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</si>
  <si>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</si>
  <si>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</si>
  <si>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</si>
  <si>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</si>
  <si>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</si>
  <si>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</si>
  <si>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</si>
  <si>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</si>
  <si>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</si>
  <si>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</si>
  <si>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</si>
  <si>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</si>
  <si>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</si>
  <si>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</si>
  <si>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</si>
  <si>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</si>
  <si>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</si>
  <si>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</si>
  <si>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</si>
  <si>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</si>
  <si>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</si>
  <si>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</si>
  <si>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</si>
  <si>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</si>
  <si>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</si>
  <si>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</si>
  <si>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</si>
  <si>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</si>
  <si>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</si>
  <si>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</si>
  <si>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</si>
  <si>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</si>
  <si>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</si>
  <si>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</si>
  <si>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</si>
  <si>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</si>
  <si>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</si>
  <si>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</si>
  <si>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</si>
  <si>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</si>
  <si>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</si>
  <si>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</si>
  <si>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</si>
  <si>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</si>
  <si>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</si>
  <si>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</si>
  <si>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</si>
  <si>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</si>
  <si>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</si>
  <si>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</si>
  <si>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</si>
  <si>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</si>
  <si>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</si>
  <si>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</si>
  <si>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</si>
  <si>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</si>
  <si>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</si>
  <si>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</si>
  <si>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</si>
  <si>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</si>
  <si>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</si>
  <si>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</si>
  <si>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</si>
  <si>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</si>
  <si>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</si>
  <si>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</si>
  <si>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</si>
  <si>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</si>
  <si>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</si>
  <si>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</si>
  <si>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</si>
  <si>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</si>
  <si>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</si>
  <si>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</si>
  <si>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</si>
  <si>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</si>
  <si>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</si>
  <si>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</si>
  <si>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</si>
  <si>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</si>
  <si>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</si>
  <si>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</si>
  <si>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</si>
  <si>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</si>
  <si>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</si>
  <si>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</si>
  <si>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</si>
  <si>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</si>
  <si>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</si>
  <si>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</si>
  <si>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</si>
  <si>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</si>
  <si>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</si>
  <si>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</si>
  <si>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</si>
  <si>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</si>
  <si>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</si>
  <si>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</si>
  <si>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</si>
  <si>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</si>
  <si>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</si>
  <si>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</si>
  <si>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</si>
  <si>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</si>
  <si>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</si>
  <si>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</si>
  <si>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</si>
  <si>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</si>
  <si>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</si>
  <si>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</si>
  <si>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</si>
  <si>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</si>
  <si>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</si>
  <si>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</si>
  <si>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</si>
  <si>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</si>
  <si>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</si>
  <si>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</si>
  <si>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</si>
  <si>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</si>
  <si>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</si>
  <si>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</si>
  <si>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</si>
  <si>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</si>
  <si>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</si>
  <si>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</si>
  <si>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</si>
  <si>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</si>
  <si>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</si>
  <si>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</si>
  <si>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</si>
  <si>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</si>
  <si>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</si>
  <si>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</si>
  <si>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</si>
  <si>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</si>
  <si>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</si>
  <si>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</si>
  <si>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</si>
  <si>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</si>
  <si>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</si>
  <si>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</si>
  <si>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</si>
  <si>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</si>
  <si>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</si>
  <si>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</si>
  <si>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</si>
  <si>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</si>
  <si>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</si>
  <si>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</si>
  <si>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</si>
  <si>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</si>
  <si>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</si>
  <si>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</si>
  <si>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</si>
  <si>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</si>
  <si>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</si>
  <si>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</si>
  <si>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</si>
  <si>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</si>
  <si>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</si>
  <si>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</si>
  <si>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</si>
  <si>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</si>
  <si>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</si>
  <si>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</si>
  <si>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</si>
  <si>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</si>
  <si>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</si>
  <si>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</si>
  <si>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</si>
  <si>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</si>
  <si>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</si>
  <si>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</si>
  <si>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</si>
  <si>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</si>
  <si>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</si>
  <si>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</si>
  <si>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</si>
  <si>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</si>
  <si>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</si>
  <si>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</si>
  <si>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</si>
  <si>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</si>
  <si>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</si>
  <si>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</si>
  <si>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</si>
  <si>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</si>
  <si>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</si>
  <si>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</si>
  <si>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</si>
  <si>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</si>
  <si>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</si>
  <si>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</si>
  <si>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</si>
  <si>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</si>
  <si>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</si>
  <si>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</si>
  <si>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</si>
  <si>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</si>
  <si>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</si>
  <si>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</si>
  <si>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</si>
  <si>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</si>
  <si>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</si>
  <si>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</si>
  <si>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</si>
  <si>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</si>
  <si>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</si>
  <si>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</si>
  <si>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</si>
  <si>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</si>
  <si>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</si>
  <si>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</si>
  <si>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</si>
  <si>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</si>
  <si>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</si>
  <si>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</si>
  <si>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</si>
  <si>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</si>
  <si>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</si>
  <si>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</si>
  <si>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</si>
  <si>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</si>
  <si>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</si>
  <si>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</si>
  <si>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</si>
  <si>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</si>
  <si>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</si>
  <si>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</si>
  <si>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</si>
  <si>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</si>
  <si>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</si>
  <si>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</si>
  <si>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</si>
  <si>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</si>
  <si>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</si>
  <si>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</si>
  <si>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</si>
  <si>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</si>
  <si>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</si>
  <si>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</si>
  <si>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</si>
  <si>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</si>
  <si>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</si>
  <si>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</si>
  <si>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</si>
  <si>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</si>
  <si>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</si>
  <si>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</si>
  <si>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</si>
  <si>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</si>
  <si>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</si>
  <si>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</si>
  <si>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</si>
  <si>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</si>
  <si>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</si>
  <si>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</si>
  <si>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</si>
  <si>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</si>
  <si>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</si>
  <si>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</si>
  <si>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</si>
  <si>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</si>
  <si>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</si>
  <si>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</si>
  <si>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</si>
  <si>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</si>
  <si>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</si>
  <si>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</si>
  <si>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</si>
  <si>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</si>
  <si>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</si>
  <si>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</si>
  <si>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</si>
  <si>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</si>
  <si>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</si>
  <si>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</si>
  <si>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</si>
  <si>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</si>
  <si>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</si>
  <si>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</si>
  <si>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</si>
  <si>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</si>
  <si>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</si>
  <si>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</si>
  <si>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</si>
  <si>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</si>
  <si>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</si>
  <si>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</si>
  <si>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</si>
  <si>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</si>
  <si>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</si>
  <si>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</si>
  <si>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</si>
  <si>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</si>
  <si>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</si>
  <si>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</si>
  <si>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</si>
  <si>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</si>
  <si>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</si>
  <si>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</si>
  <si>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</si>
  <si>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</si>
  <si>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</si>
  <si>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</si>
  <si>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</si>
  <si>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</si>
  <si>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</si>
  <si>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</si>
  <si>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</si>
  <si>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</si>
  <si>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</si>
  <si>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</si>
  <si>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</si>
  <si>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</si>
  <si>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</si>
  <si>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</si>
  <si>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</si>
  <si>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</si>
  <si>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</si>
  <si>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</si>
  <si>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</si>
  <si>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</si>
  <si>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</si>
  <si>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</si>
  <si>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</si>
  <si>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</si>
  <si>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</si>
  <si>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</si>
  <si>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</si>
  <si>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</si>
  <si>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</si>
  <si>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</si>
  <si>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</si>
  <si>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</si>
  <si>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</si>
  <si>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</si>
  <si>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</si>
  <si>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</si>
  <si>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</si>
  <si>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</si>
  <si>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</si>
  <si>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</si>
  <si>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</si>
  <si>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</si>
  <si>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</si>
  <si>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</si>
  <si>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</si>
  <si>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</si>
  <si>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</si>
  <si>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</si>
  <si>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</si>
  <si>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</si>
  <si>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</si>
  <si>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</si>
  <si>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</si>
  <si>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</si>
  <si>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</si>
  <si>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</si>
  <si>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</si>
  <si>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</si>
  <si>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</si>
  <si>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</si>
  <si>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</si>
  <si>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</si>
  <si>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</si>
  <si>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</si>
  <si>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</si>
  <si>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</si>
  <si>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</si>
  <si>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</si>
  <si>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</si>
  <si>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</si>
  <si>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</si>
  <si>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</si>
  <si>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</si>
  <si>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</si>
  <si>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</si>
  <si>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</si>
  <si>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</si>
  <si>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</si>
  <si>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</si>
  <si>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</si>
  <si>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</si>
  <si>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正常</t>
  </si>
  <si>
    <t>比较法-住宅</t>
  </si>
  <si>
    <t>抵押</t>
  </si>
  <si>
    <t>房地产抵押价值</t>
  </si>
  <si>
    <t>其他：</t>
  </si>
  <si>
    <t>企业</t>
  </si>
  <si>
    <t>出让</t>
  </si>
  <si>
    <t>地上</t>
  </si>
  <si>
    <t>住宅</t>
  </si>
  <si>
    <t>住宅</t>
    <phoneticPr fontId="7" type="noConversion"/>
  </si>
  <si>
    <t>是</t>
  </si>
  <si>
    <t>利息：取LPR加浮动点数</t>
  </si>
  <si>
    <t>成新度</t>
  </si>
  <si>
    <t>未包含在土地购买价格中</t>
  </si>
  <si>
    <t>已包含在土地取得成本中</t>
  </si>
  <si>
    <t>总价</t>
  </si>
  <si>
    <t>收益法 (元)</t>
  </si>
  <si>
    <t>押一</t>
  </si>
  <si>
    <t>按租金收入计税</t>
  </si>
  <si>
    <t>钢混</t>
  </si>
  <si>
    <t>非生产用房</t>
  </si>
  <si>
    <t>否</t>
  </si>
  <si>
    <t>序号</t>
    <phoneticPr fontId="257" type="noConversion"/>
  </si>
  <si>
    <t>产权人</t>
  </si>
  <si>
    <t>名称</t>
  </si>
  <si>
    <t>产权证号</t>
  </si>
  <si>
    <t>房屋坐落</t>
  </si>
  <si>
    <t>建筑面积（㎡）</t>
  </si>
  <si>
    <t>房屋性质</t>
    <phoneticPr fontId="257" type="noConversion"/>
  </si>
  <si>
    <t>备注</t>
    <phoneticPr fontId="257" type="noConversion"/>
  </si>
  <si>
    <t>天津精雕数控机床制造有限公司</t>
    <phoneticPr fontId="3" type="noConversion"/>
  </si>
  <si>
    <t>诗雅苑</t>
    <phoneticPr fontId="257" type="noConversion"/>
  </si>
  <si>
    <t>津（2019）北辰区不动产证明第2005502号</t>
  </si>
  <si>
    <t>商品房</t>
    <phoneticPr fontId="3" type="noConversion"/>
  </si>
  <si>
    <t>待领证，相关税费均已付清，预计3月末-4月初</t>
    <phoneticPr fontId="257" type="noConversion"/>
  </si>
  <si>
    <t>诗雅苑</t>
  </si>
  <si>
    <t>津（2019）北辰区不动产证明第2005505号</t>
  </si>
  <si>
    <t>津（2019）北辰区不动产证明第2005498号</t>
  </si>
  <si>
    <t>津（2019）北辰区不动产证明第2005506号</t>
  </si>
  <si>
    <t>津（2019）北辰区不动产证明第2005500号</t>
  </si>
  <si>
    <t>津（2019）北辰区不动产证明第2005501号</t>
  </si>
  <si>
    <t>津（2019）北辰区不动产证明第2005504号</t>
  </si>
  <si>
    <t>津（2019）北辰区不动产证明第2005503号</t>
  </si>
  <si>
    <t>商品房</t>
    <phoneticPr fontId="3" type="noConversion"/>
  </si>
  <si>
    <t>待领证，相关税费均已付清，预计3月末-4月初</t>
    <phoneticPr fontId="257" type="noConversion"/>
  </si>
  <si>
    <t>天津精雕数控机床制造有限公司</t>
    <phoneticPr fontId="3" type="noConversion"/>
  </si>
  <si>
    <t>津（2019）北辰区不动产证明第2005497号</t>
  </si>
  <si>
    <t>津（2019）北辰区不动产证明第2005499号</t>
  </si>
  <si>
    <t>住宅</t>
    <phoneticPr fontId="25" type="noConversion"/>
  </si>
  <si>
    <t>较好</t>
    <phoneticPr fontId="25" type="noConversion"/>
  </si>
  <si>
    <t>七通</t>
    <phoneticPr fontId="25" type="noConversion"/>
  </si>
  <si>
    <t>七通</t>
    <phoneticPr fontId="25" type="noConversion"/>
  </si>
  <si>
    <t>楼层</t>
    <phoneticPr fontId="25" type="noConversion"/>
  </si>
  <si>
    <t>南北</t>
    <phoneticPr fontId="25" type="noConversion"/>
  </si>
  <si>
    <t>低区</t>
    <phoneticPr fontId="25" type="noConversion"/>
  </si>
  <si>
    <t>中区</t>
    <phoneticPr fontId="25" type="noConversion"/>
  </si>
  <si>
    <t>高区</t>
    <phoneticPr fontId="25" type="noConversion"/>
  </si>
  <si>
    <t>低区</t>
    <phoneticPr fontId="25" type="noConversion"/>
  </si>
  <si>
    <t>毛坯</t>
    <phoneticPr fontId="25" type="noConversion"/>
  </si>
  <si>
    <t>毛坯</t>
    <phoneticPr fontId="25" type="noConversion"/>
  </si>
  <si>
    <t>高区</t>
    <phoneticPr fontId="25" type="noConversion"/>
  </si>
  <si>
    <t>中区</t>
    <phoneticPr fontId="25" type="noConversion"/>
  </si>
  <si>
    <t>低区</t>
    <phoneticPr fontId="25" type="noConversion"/>
  </si>
  <si>
    <t>朝向</t>
    <phoneticPr fontId="3" type="noConversion"/>
  </si>
  <si>
    <t>南北</t>
    <phoneticPr fontId="25" type="noConversion"/>
  </si>
  <si>
    <t>南北</t>
    <phoneticPr fontId="25" type="noConversion"/>
  </si>
  <si>
    <t>低区</t>
    <phoneticPr fontId="25" type="noConversion"/>
  </si>
  <si>
    <t>有无电梯</t>
    <phoneticPr fontId="25" type="noConversion"/>
  </si>
  <si>
    <t>有</t>
    <phoneticPr fontId="25" type="noConversion"/>
  </si>
  <si>
    <t>有</t>
    <phoneticPr fontId="25" type="noConversion"/>
  </si>
  <si>
    <t>普装</t>
    <phoneticPr fontId="25" type="noConversion"/>
  </si>
  <si>
    <t>精装</t>
    <phoneticPr fontId="25" type="noConversion"/>
  </si>
  <si>
    <t>普装</t>
    <phoneticPr fontId="25" type="noConversion"/>
  </si>
  <si>
    <t>简装</t>
    <phoneticPr fontId="25" type="noConversion"/>
  </si>
  <si>
    <t>毛坯</t>
    <phoneticPr fontId="25" type="noConversion"/>
  </si>
  <si>
    <t>高区</t>
  </si>
  <si>
    <t>低区</t>
    <phoneticPr fontId="25" type="noConversion"/>
  </si>
  <si>
    <t>低区</t>
    <phoneticPr fontId="25" type="noConversion"/>
  </si>
  <si>
    <t>崔锴</t>
  </si>
  <si>
    <t>郑燚</t>
  </si>
  <si>
    <t>天津市北辰区大张庄镇永进道北侧诗雅苑1号楼-1-201</t>
  </si>
  <si>
    <t>天津市北辰区大张庄镇永进道北侧诗雅苑1号楼-3-801</t>
  </si>
  <si>
    <t>天津市北辰区大张庄镇永进道北侧诗雅苑1号楼-3-802</t>
  </si>
  <si>
    <t>天津市北辰区大张庄镇永进道北侧诗雅苑1号楼-1-802</t>
  </si>
  <si>
    <t>天津市北辰区大张庄镇永进道北侧诗雅苑1号楼-1-801</t>
  </si>
  <si>
    <t>天津市北辰区大张庄镇永进道北侧诗雅苑1号楼-3-201</t>
  </si>
  <si>
    <t>天津市北辰区大张庄镇永进道北侧诗雅苑1号楼-3-202</t>
  </si>
  <si>
    <t>天津市北辰区大张庄镇永进道北侧诗雅苑1号楼-3-301</t>
  </si>
  <si>
    <t>天津市北辰区大张庄镇永进道北侧诗雅苑1号楼-1-202</t>
  </si>
  <si>
    <t>天津市北辰区大张庄镇永进道北侧诗雅苑1号楼-3-302</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</si>
</sst>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name val="宋体"/>
      <family val="2"/>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1" xfId="0" applyFont="1" applyFill="1" applyBorder="1" applyAlignment="1">
      <alignment horizontal="left" vertical="center"/>
    </xf>
    <xf numFmtId="0" fontId="83" fillId="0" borderId="13" xfId="0" applyFont="1" applyFill="1" applyBorder="1" applyAlignment="1">
      <alignment horizontal="left" vertical="center" wrapText="1"/>
    </xf>
    <xf numFmtId="0" fontId="83" fillId="0" borderId="1" xfId="17" applyNumberFormat="1" applyFont="1" applyFill="1" applyBorder="1" applyAlignment="1">
      <alignment horizontal="left" vertical="center" wrapText="1"/>
    </xf>
    <xf numFmtId="0" fontId="83" fillId="0" borderId="1" xfId="0" applyFont="1" applyFill="1" applyBorder="1" applyAlignment="1">
      <alignment horizontal="left" vertical="center" wrapText="1"/>
    </xf>
    <xf numFmtId="0" fontId="111" fillId="0" borderId="0" xfId="0" applyFont="1" applyAlignment="1">
      <alignment horizontal="left" vertical="center"/>
    </xf>
    <xf numFmtId="0" fontId="111" fillId="0" borderId="1" xfId="0" applyFont="1" applyBorder="1" applyAlignment="1">
      <alignment horizontal="left" vertical="center"/>
    </xf>
    <xf numFmtId="0" fontId="19" fillId="0" borderId="13" xfId="0" applyFont="1" applyFill="1" applyBorder="1" applyAlignment="1">
      <alignment horizontal="left" vertical="center" wrapText="1"/>
    </xf>
    <xf numFmtId="0" fontId="19" fillId="0" borderId="13" xfId="0" applyFont="1" applyFill="1" applyBorder="1" applyAlignment="1">
      <alignment horizontal="left"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97" fillId="2" borderId="30" xfId="0" applyFont="1" applyFill="1" applyBorder="1" applyAlignment="1" applyProtection="1">
      <alignment horizontal="center" vertical="center" wrapText="1"/>
      <protection locked="0"/>
    </xf>
    <xf numFmtId="43" fontId="46" fillId="0" borderId="37"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34"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57150</xdr:rowOff>
    </xdr:from>
    <xdr:to>
      <xdr:col>11</xdr:col>
      <xdr:colOff>484824</xdr:colOff>
      <xdr:row>16</xdr:row>
      <xdr:rowOff>104448</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228600"/>
          <a:ext cx="7609524" cy="2619048"/>
        </a:xfrm>
        <a:prstGeom prst="rect">
          <a:avLst/>
        </a:prstGeom>
      </xdr:spPr>
    </xdr:pic>
    <xdr:clientData/>
  </xdr:twoCellAnchor>
  <xdr:twoCellAnchor editAs="oneCell">
    <xdr:from>
      <xdr:col>0</xdr:col>
      <xdr:colOff>476250</xdr:colOff>
      <xdr:row>18</xdr:row>
      <xdr:rowOff>0</xdr:rowOff>
    </xdr:from>
    <xdr:to>
      <xdr:col>11</xdr:col>
      <xdr:colOff>608641</xdr:colOff>
      <xdr:row>39</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086100"/>
          <a:ext cx="7676191" cy="3752381"/>
        </a:xfrm>
        <a:prstGeom prst="rect">
          <a:avLst/>
        </a:prstGeom>
      </xdr:spPr>
    </xdr:pic>
    <xdr:clientData/>
  </xdr:twoCellAnchor>
  <xdr:twoCellAnchor editAs="oneCell">
    <xdr:from>
      <xdr:col>0</xdr:col>
      <xdr:colOff>514350</xdr:colOff>
      <xdr:row>40</xdr:row>
      <xdr:rowOff>142875</xdr:rowOff>
    </xdr:from>
    <xdr:to>
      <xdr:col>11</xdr:col>
      <xdr:colOff>561027</xdr:colOff>
      <xdr:row>46</xdr:row>
      <xdr:rowOff>133223</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000875"/>
          <a:ext cx="7590477" cy="1019048"/>
        </a:xfrm>
        <a:prstGeom prst="rect">
          <a:avLst/>
        </a:prstGeom>
      </xdr:spPr>
    </xdr:pic>
    <xdr:clientData/>
  </xdr:twoCellAnchor>
  <xdr:twoCellAnchor editAs="oneCell">
    <xdr:from>
      <xdr:col>13</xdr:col>
      <xdr:colOff>0</xdr:colOff>
      <xdr:row>3</xdr:row>
      <xdr:rowOff>0</xdr:rowOff>
    </xdr:from>
    <xdr:to>
      <xdr:col>18</xdr:col>
      <xdr:colOff>28143</xdr:colOff>
      <xdr:row>16</xdr:row>
      <xdr:rowOff>142579</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
          <a:ext cx="3457143" cy="2371429"/>
        </a:xfrm>
        <a:prstGeom prst="rect">
          <a:avLst/>
        </a:prstGeom>
      </xdr:spPr>
    </xdr:pic>
    <xdr:clientData/>
  </xdr:twoCellAnchor>
  <xdr:twoCellAnchor editAs="oneCell">
    <xdr:from>
      <xdr:col>13</xdr:col>
      <xdr:colOff>0</xdr:colOff>
      <xdr:row>18</xdr:row>
      <xdr:rowOff>0</xdr:rowOff>
    </xdr:from>
    <xdr:to>
      <xdr:col>18</xdr:col>
      <xdr:colOff>104334</xdr:colOff>
      <xdr:row>30</xdr:row>
      <xdr:rowOff>28314</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3086100"/>
          <a:ext cx="3533334" cy="2085714"/>
        </a:xfrm>
        <a:prstGeom prst="rect">
          <a:avLst/>
        </a:prstGeom>
      </xdr:spPr>
    </xdr:pic>
    <xdr:clientData/>
  </xdr:twoCellAnchor>
  <xdr:twoCellAnchor editAs="oneCell">
    <xdr:from>
      <xdr:col>13</xdr:col>
      <xdr:colOff>0</xdr:colOff>
      <xdr:row>32</xdr:row>
      <xdr:rowOff>0</xdr:rowOff>
    </xdr:from>
    <xdr:to>
      <xdr:col>17</xdr:col>
      <xdr:colOff>666324</xdr:colOff>
      <xdr:row>67</xdr:row>
      <xdr:rowOff>151631</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5486400"/>
          <a:ext cx="3409524" cy="6152381"/>
        </a:xfrm>
        <a:prstGeom prst="rect">
          <a:avLst/>
        </a:prstGeom>
      </xdr:spPr>
    </xdr:pic>
    <xdr:clientData/>
  </xdr:twoCellAnchor>
  <xdr:twoCellAnchor editAs="oneCell">
    <xdr:from>
      <xdr:col>18</xdr:col>
      <xdr:colOff>371475</xdr:colOff>
      <xdr:row>3</xdr:row>
      <xdr:rowOff>95250</xdr:rowOff>
    </xdr:from>
    <xdr:to>
      <xdr:col>29</xdr:col>
      <xdr:colOff>341961</xdr:colOff>
      <xdr:row>40</xdr:row>
      <xdr:rowOff>27791</xdr:rowOff>
    </xdr:to>
    <xdr:pic>
      <xdr:nvPicPr>
        <xdr:cNvPr id="8" name="图片 7"/>
        <xdr:cNvPicPr>
          <a:picLocks noChangeAspect="1"/>
        </xdr:cNvPicPr>
      </xdr:nvPicPr>
      <xdr:blipFill>
        <a:blip xmlns:r="http://schemas.openxmlformats.org/officeDocument/2006/relationships" r:embed="rId7"/>
        <a:stretch>
          <a:fillRect/>
        </a:stretch>
      </xdr:blipFill>
      <xdr:spPr>
        <a:xfrm>
          <a:off x="12715875" y="609600"/>
          <a:ext cx="7514286"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646248</xdr:colOff>
      <xdr:row>38</xdr:row>
      <xdr:rowOff>132520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19048" cy="6647620"/>
        </a:xfrm>
        <a:prstGeom prst="rect">
          <a:avLst/>
        </a:prstGeom>
      </xdr:spPr>
    </xdr:pic>
    <xdr:clientData/>
  </xdr:twoCellAnchor>
  <xdr:twoCellAnchor editAs="oneCell">
    <xdr:from>
      <xdr:col>0</xdr:col>
      <xdr:colOff>0</xdr:colOff>
      <xdr:row>39</xdr:row>
      <xdr:rowOff>0</xdr:rowOff>
    </xdr:from>
    <xdr:to>
      <xdr:col>16</xdr:col>
      <xdr:colOff>436725</xdr:colOff>
      <xdr:row>75</xdr:row>
      <xdr:rowOff>65896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409525" cy="6238096"/>
        </a:xfrm>
        <a:prstGeom prst="rect">
          <a:avLst/>
        </a:prstGeom>
      </xdr:spPr>
    </xdr:pic>
    <xdr:clientData/>
  </xdr:twoCellAnchor>
  <xdr:twoCellAnchor editAs="oneCell">
    <xdr:from>
      <xdr:col>0</xdr:col>
      <xdr:colOff>0</xdr:colOff>
      <xdr:row>76</xdr:row>
      <xdr:rowOff>0</xdr:rowOff>
    </xdr:from>
    <xdr:to>
      <xdr:col>16</xdr:col>
      <xdr:colOff>474820</xdr:colOff>
      <xdr:row>112</xdr:row>
      <xdr:rowOff>8753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11447620" cy="6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受贵公司委托，我公司对房地产抵押价值进行了预评估。</v>
      </c>
    </row>
    <row r="7" spans="1:2" s="1336" customFormat="1">
      <c r="A7" s="1334" t="s">
        <v>1172</v>
      </c>
      <c r="B7" s="1335" t="str">
        <f>'预评函-1'!A7</f>
        <v>估价对象为房地产，为所有。根据《国有土地使用证》[]，估价对象（分摊）出让国有建设用地使用权面积为0平方米，建筑面积为120.46平方米。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估价对象为房地产,属开发建设的，该项目尚在开发建设中。根据《国有土地使用证》[]，估价对象（分摊）出让国有建设用地使用权面积为0平方米，规划建筑面积为120.46平方米。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2022年2月23日</v>
      </c>
    </row>
    <row r="13" spans="1:2" s="1336" customFormat="1">
      <c r="A13" s="1334" t="s">
        <v>1135</v>
      </c>
      <c r="B13" s="1335"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105</v>
      </c>
    </row>
    <row r="21" spans="1:2" s="1336" customFormat="1">
      <c r="A21" s="1334" t="s">
        <v>1143</v>
      </c>
      <c r="B21" s="1335">
        <f ca="1">'预评函-2'!D7</f>
        <v>8717</v>
      </c>
    </row>
    <row r="22" spans="1:2" s="1336" customFormat="1">
      <c r="A22" s="1334" t="s">
        <v>1144</v>
      </c>
      <c r="B22" s="1335" t="str">
        <f ca="1">'预评函-2'!D6</f>
        <v>壹佰零伍万元整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105</v>
      </c>
    </row>
    <row r="31" spans="1:2" s="1336" customFormat="1">
      <c r="A31" s="1334" t="s">
        <v>1182</v>
      </c>
      <c r="B31" s="1335">
        <f ca="1">'预评函-2'!D15</f>
        <v>8717</v>
      </c>
    </row>
    <row r="32" spans="1:2" s="1336" customFormat="1">
      <c r="A32" s="1334" t="s">
        <v>1149</v>
      </c>
      <c r="B32" s="1335" t="str">
        <f ca="1">'预评函-2'!D14</f>
        <v>壹佰零伍万元整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房地产</v>
      </c>
    </row>
    <row r="42" spans="1:2" s="1336" customFormat="1">
      <c r="A42" s="1334" t="s">
        <v>1196</v>
      </c>
      <c r="B42" s="1335" t="str">
        <f>'预评函-3'!B2</f>
        <v>建筑面积</v>
      </c>
    </row>
    <row r="43" spans="1:2" s="1336" customFormat="1">
      <c r="A43" s="1334" t="s">
        <v>1197</v>
      </c>
      <c r="B43" s="1335">
        <f>'预评函-3'!B4</f>
        <v>120.46</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8"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708" t="s">
        <v>832</v>
      </c>
      <c r="C54" s="1705" t="s">
        <v>1189</v>
      </c>
    </row>
    <row r="55" spans="1:4">
      <c r="A55" s="3288"/>
      <c r="B55" s="1708" t="s">
        <v>833</v>
      </c>
      <c r="C55" s="1705" t="s">
        <v>1190</v>
      </c>
    </row>
    <row r="56" spans="1:4">
      <c r="A56" s="3288"/>
      <c r="B56" s="1708" t="s">
        <v>834</v>
      </c>
      <c r="C56" s="1705" t="s">
        <v>1194</v>
      </c>
    </row>
    <row r="57" spans="1:4">
      <c r="A57" s="3288"/>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22" sqref="I22"/>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8" t="s">
        <v>2853</v>
      </c>
      <c r="B1" s="3297" t="str">
        <f>IF(B10="北京市","北京市",C10)&amp;F10&amp;IF(结果表!G1="在建","出让国有建设用地使用权及在建建筑物",IF(结果表!G1="土地","出让国有建设用地使用权",))&amp;B9&amp;"预评估"</f>
        <v>房地产抵押价值预评估</v>
      </c>
      <c r="C1" s="3298"/>
      <c r="D1" s="3298"/>
      <c r="E1" s="3298"/>
      <c r="F1" s="3298"/>
      <c r="G1" s="3298"/>
      <c r="H1" s="3298"/>
      <c r="I1" s="3299"/>
      <c r="J1" s="2665"/>
      <c r="K1" s="2560"/>
      <c r="L1" s="2561"/>
      <c r="M1" s="2561"/>
      <c r="N1" s="2562"/>
      <c r="O1" s="1730"/>
      <c r="P1" s="2562"/>
      <c r="Q1" s="2562"/>
      <c r="R1" s="2562"/>
      <c r="S1" s="1837" t="str">
        <f>IF(B10="北京市","北京市",C10)&amp;F10&amp;IF(结果表!G1="在建","出让国有建设用地使用权及在建建筑物房地产抵押价值",IF(结果表!G1="土地","出让国有建设用地使用权抵押价值",B9))</f>
        <v>房地产抵押价值</v>
      </c>
      <c r="T1" s="1900"/>
      <c r="U1" s="1900"/>
      <c r="V1" s="1900"/>
      <c r="W1" s="1900"/>
      <c r="X1" s="1900"/>
      <c r="Y1" s="1900"/>
      <c r="Z1" s="1900"/>
      <c r="AA1" s="1900"/>
      <c r="AB1" s="1900"/>
    </row>
    <row r="2" spans="1:28">
      <c r="A2" s="2559" t="s">
        <v>2854</v>
      </c>
      <c r="B2" s="2563"/>
      <c r="C2" s="2564"/>
      <c r="D2" s="2867"/>
      <c r="E2" s="2857"/>
      <c r="F2" s="2857"/>
      <c r="G2" s="2858"/>
      <c r="H2" s="2858"/>
      <c r="I2" s="2858"/>
      <c r="J2" s="2665"/>
      <c r="K2" s="2560"/>
      <c r="L2" s="2561"/>
      <c r="M2" s="2561"/>
      <c r="N2" s="2562"/>
      <c r="O2" s="1730"/>
      <c r="P2" s="2562"/>
      <c r="Q2" s="2562"/>
      <c r="R2" s="2562"/>
      <c r="S2" s="1837" t="str">
        <f>IF(B10="北京市","北京市",C10)&amp;F10&amp;IF(结果表!G1="在建","出让国有建设用地使用权及在建建筑物房地产",IF(结果表!G1="土地","出让国有建设用地使用权","房地产"))</f>
        <v>房地产</v>
      </c>
      <c r="T2" s="1900"/>
      <c r="U2" s="1900"/>
      <c r="V2" s="1900"/>
      <c r="W2" s="1900"/>
      <c r="X2" s="1900"/>
      <c r="Y2" s="1900"/>
      <c r="Z2" s="1900"/>
      <c r="AA2" s="1900"/>
      <c r="AB2" s="1900"/>
    </row>
    <row r="3" spans="1:28">
      <c r="A3" s="308" t="s">
        <v>2855</v>
      </c>
      <c r="B3" s="2565"/>
      <c r="C3" s="2566" t="s">
        <v>2856</v>
      </c>
      <c r="D3" s="2565">
        <v>44615</v>
      </c>
      <c r="E3" s="2858"/>
      <c r="F3" s="2858"/>
      <c r="G3" s="2858"/>
      <c r="H3" s="2858"/>
      <c r="I3" s="2858"/>
      <c r="J3" s="2665"/>
      <c r="K3" s="2560"/>
      <c r="L3" s="2561"/>
      <c r="M3" s="2561"/>
      <c r="N3" s="2562"/>
      <c r="O3" s="1730"/>
      <c r="P3" s="2562"/>
      <c r="Q3" s="2562"/>
      <c r="R3" s="2562"/>
      <c r="S3" s="1837"/>
      <c r="T3" s="1900"/>
      <c r="U3" s="1900"/>
      <c r="V3" s="1900"/>
      <c r="W3" s="1900"/>
      <c r="X3" s="1900"/>
      <c r="Y3" s="1900"/>
      <c r="Z3" s="1900"/>
      <c r="AA3" s="1900"/>
      <c r="AB3" s="1900"/>
    </row>
    <row r="4" spans="1:28" ht="13.5" thickBot="1">
      <c r="A4" s="1221" t="s">
        <v>2857</v>
      </c>
      <c r="B4" s="2567" t="s">
        <v>3205</v>
      </c>
      <c r="C4" s="2568">
        <f ca="1">SUMIF(注册房地产估价师,B4,估价师及机构信息!B3:B24)</f>
        <v>1120100036</v>
      </c>
      <c r="D4" s="2567" t="s">
        <v>3206</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7"/>
      <c r="T4" s="1900"/>
      <c r="U4" s="1900"/>
      <c r="V4" s="1900"/>
      <c r="W4" s="1900"/>
      <c r="X4" s="1900"/>
      <c r="Y4" s="1900"/>
      <c r="Z4" s="1900"/>
      <c r="AA4" s="1900"/>
      <c r="AB4" s="1900"/>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900"/>
      <c r="T5" s="1900"/>
      <c r="U5" s="1900"/>
      <c r="V5" s="1900"/>
      <c r="W5" s="1900"/>
      <c r="X5" s="1900"/>
      <c r="Y5" s="1900"/>
      <c r="Z5" s="1900"/>
      <c r="AA5" s="1900"/>
      <c r="AB5" s="1900"/>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3129</v>
      </c>
      <c r="C8" s="2582"/>
      <c r="D8" s="3300" t="s">
        <v>2862</v>
      </c>
      <c r="E8" s="2583" t="s">
        <v>3130</v>
      </c>
      <c r="F8" s="2584"/>
      <c r="G8" s="2858"/>
      <c r="H8" s="2858"/>
      <c r="I8" s="2858"/>
      <c r="J8" s="2633"/>
      <c r="K8" s="2808"/>
      <c r="L8" s="2807"/>
      <c r="M8" s="2807"/>
      <c r="N8" s="2633"/>
      <c r="O8" s="2644"/>
      <c r="P8" s="2633"/>
      <c r="Q8" s="2633"/>
      <c r="R8" s="2633"/>
    </row>
    <row r="9" spans="1:28" ht="13.5" thickBot="1">
      <c r="A9" s="2585" t="s">
        <v>2863</v>
      </c>
      <c r="B9" s="2586" t="s">
        <v>3130</v>
      </c>
      <c r="C9" s="2587"/>
      <c r="D9" s="3301"/>
      <c r="E9" s="2586"/>
      <c r="F9" s="2588"/>
      <c r="G9" s="2860"/>
      <c r="H9" s="2860"/>
      <c r="I9" s="2860"/>
      <c r="J9" s="2633"/>
      <c r="K9" s="2810"/>
      <c r="L9" s="2807"/>
      <c r="M9" s="2807"/>
      <c r="N9" s="2633"/>
      <c r="O9" s="2644"/>
      <c r="P9" s="2633"/>
      <c r="Q9" s="2633"/>
      <c r="R9" s="2633"/>
    </row>
    <row r="10" spans="1:28" ht="13.5" thickTop="1">
      <c r="A10" s="2589" t="s">
        <v>2864</v>
      </c>
      <c r="B10" s="2590" t="s">
        <v>3131</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3132</v>
      </c>
      <c r="C11" s="2595"/>
      <c r="D11" s="2596"/>
      <c r="E11" s="2562"/>
      <c r="F11" s="2562"/>
      <c r="G11" s="2562"/>
      <c r="H11" s="2562"/>
      <c r="I11" s="2562"/>
      <c r="J11" s="2633"/>
      <c r="K11" s="2810"/>
      <c r="L11" s="2807"/>
      <c r="M11" s="2807"/>
      <c r="N11" s="2633"/>
      <c r="O11" s="2644"/>
      <c r="P11" s="2633"/>
      <c r="Q11" s="2633"/>
      <c r="R11" s="2633"/>
    </row>
    <row r="12" spans="1:28">
      <c r="A12" s="2597" t="s">
        <v>2867</v>
      </c>
      <c r="B12" s="2594" t="s">
        <v>3133</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5">
        <v>68804</v>
      </c>
      <c r="E13" s="965"/>
      <c r="F13" s="965"/>
      <c r="G13" s="965"/>
      <c r="H13" s="965"/>
      <c r="I13" s="965"/>
      <c r="J13" s="2633"/>
      <c r="K13" s="2810"/>
      <c r="L13" s="2807"/>
      <c r="M13" s="2807"/>
      <c r="N13" s="2633"/>
      <c r="O13" s="2644"/>
      <c r="P13" s="2633"/>
      <c r="Q13" s="2633"/>
      <c r="R13" s="2633"/>
    </row>
    <row r="14" spans="1:28">
      <c r="A14" s="1212"/>
      <c r="B14" s="2599"/>
      <c r="C14" s="2600" t="s">
        <v>2876</v>
      </c>
      <c r="D14" s="2601">
        <v>70</v>
      </c>
      <c r="E14" s="2601"/>
      <c r="F14" s="2601"/>
      <c r="G14" s="2601"/>
      <c r="H14" s="2601"/>
      <c r="I14" s="2601"/>
      <c r="J14" s="2633"/>
      <c r="K14" s="2811"/>
      <c r="L14" s="2807"/>
      <c r="M14" s="2807"/>
      <c r="N14" s="2633"/>
      <c r="O14" s="2644"/>
      <c r="P14" s="2633"/>
      <c r="Q14" s="2633"/>
      <c r="R14" s="2633"/>
    </row>
    <row r="15" spans="1:28">
      <c r="A15" s="326"/>
      <c r="B15" s="2602"/>
      <c r="C15" s="2603" t="s">
        <v>2877</v>
      </c>
      <c r="D15" s="2604">
        <f>IF(B12="出让",IF(D13="","",ROUNDDOWN(MIN((D13-$D$3)/365,D14),2)),D14)</f>
        <v>66.27</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7"/>
      <c r="C16" s="3308"/>
      <c r="D16" s="3309"/>
      <c r="E16" s="2607" t="s">
        <v>2879</v>
      </c>
      <c r="F16" s="3310"/>
      <c r="G16" s="3311"/>
      <c r="H16" s="3311"/>
      <c r="I16" s="3312"/>
      <c r="J16" s="2633"/>
      <c r="K16" s="2812"/>
      <c r="L16" s="2645"/>
      <c r="M16" s="2645"/>
      <c r="N16" s="2703"/>
      <c r="O16" s="2645"/>
      <c r="P16" s="2703"/>
      <c r="Q16" s="2633"/>
      <c r="R16" s="2633"/>
    </row>
    <row r="17" spans="1:28">
      <c r="A17" s="319" t="s">
        <v>2880</v>
      </c>
      <c r="B17" s="308" t="s">
        <v>2881</v>
      </c>
      <c r="C17" s="11">
        <f>'数据-汇总表'!E3</f>
        <v>120.46</v>
      </c>
      <c r="D17" s="2513" t="s">
        <v>2882</v>
      </c>
      <c r="E17" s="3313" t="s">
        <v>2883</v>
      </c>
      <c r="F17" s="3314"/>
      <c r="G17" s="3314"/>
      <c r="H17" s="3314"/>
      <c r="I17" s="3315"/>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0</v>
      </c>
      <c r="D18" s="1223" t="s">
        <v>2886</v>
      </c>
      <c r="E18" s="3316" t="s">
        <v>2887</v>
      </c>
      <c r="F18" s="3317"/>
      <c r="G18" s="3317"/>
      <c r="H18" s="3317"/>
      <c r="I18" s="3318"/>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303" t="s">
        <v>2891</v>
      </c>
      <c r="C20" s="3304"/>
      <c r="D20" s="3305" t="s">
        <v>2892</v>
      </c>
      <c r="E20" s="3306"/>
      <c r="F20" s="2842" t="s">
        <v>1682</v>
      </c>
      <c r="G20" s="2859"/>
      <c r="H20" s="2859"/>
      <c r="I20" s="2859"/>
      <c r="J20" s="2633"/>
      <c r="K20" s="3302"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900"/>
      <c r="X20" s="1900"/>
      <c r="Y20" s="1900"/>
      <c r="Z20" s="1900"/>
      <c r="AA20" s="1900"/>
      <c r="AB20" s="1900"/>
    </row>
    <row r="21" spans="1:28" ht="24.75" thickBot="1">
      <c r="A21" s="2827"/>
      <c r="B21" s="2828" t="s">
        <v>2894</v>
      </c>
      <c r="C21" s="2829" t="s">
        <v>1683</v>
      </c>
      <c r="D21" s="1722" t="s">
        <v>2895</v>
      </c>
      <c r="E21" s="2830" t="s">
        <v>1683</v>
      </c>
      <c r="F21" s="2843"/>
      <c r="G21" s="2859"/>
      <c r="H21" s="2859"/>
      <c r="I21" s="2859"/>
      <c r="J21" s="2633"/>
      <c r="K21" s="33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900"/>
      <c r="X21" s="1900"/>
      <c r="Y21" s="1900"/>
      <c r="Z21" s="1900"/>
      <c r="AA21" s="1900"/>
      <c r="AB21" s="1900"/>
    </row>
    <row r="22" spans="1:28" ht="24.75" thickBot="1">
      <c r="A22" s="2827"/>
      <c r="B22" s="2831" t="s">
        <v>2896</v>
      </c>
      <c r="C22" s="2829" t="s">
        <v>1684</v>
      </c>
      <c r="D22" s="2858"/>
      <c r="E22" s="2858"/>
      <c r="F22" s="2858"/>
      <c r="G22" s="2859"/>
      <c r="H22" s="2859"/>
      <c r="I22" s="2859"/>
      <c r="J22" s="2633"/>
      <c r="K22" s="33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900"/>
      <c r="X22" s="1900"/>
      <c r="Y22" s="1900"/>
      <c r="Z22" s="1900"/>
      <c r="AA22" s="1900"/>
      <c r="AB22" s="1900"/>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90"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0"/>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0"/>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91"/>
      <c r="B30" s="308" t="s">
        <v>2903</v>
      </c>
      <c r="C30" s="3292"/>
      <c r="D30" s="3293"/>
      <c r="E30" s="2859"/>
      <c r="F30" s="2859"/>
      <c r="G30" s="2859"/>
      <c r="H30" s="2859"/>
      <c r="I30" s="2859"/>
      <c r="J30" s="2633"/>
      <c r="K30" s="2810"/>
      <c r="L30" s="2807"/>
      <c r="M30" s="2807"/>
      <c r="N30" s="2633"/>
      <c r="O30" s="2644"/>
      <c r="P30" s="2633"/>
      <c r="Q30" s="2633"/>
      <c r="R30" s="2633"/>
      <c r="S30" s="2633"/>
      <c r="T30" s="2633"/>
      <c r="U30" s="2633"/>
      <c r="V30" s="2633"/>
    </row>
    <row r="31" spans="1:28">
      <c r="A31" s="3294"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295"/>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295"/>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89" t="s">
        <v>2913</v>
      </c>
      <c r="T34" s="2622" t="str">
        <f>NUMBERSTRING(7-K34,1)&amp;"通"</f>
        <v>七通</v>
      </c>
      <c r="U34" s="2633"/>
      <c r="V34" s="2633"/>
    </row>
    <row r="35" spans="1:30">
      <c r="A35" s="2623"/>
      <c r="B35" s="3296" t="s">
        <v>2914</v>
      </c>
      <c r="C35" s="3296"/>
      <c r="D35" s="3296"/>
      <c r="E35" s="3296"/>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9"/>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2"/>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120.46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120.46</v>
      </c>
      <c r="H5" s="16">
        <f t="shared" ref="H5:AT5" si="0">SUM(H13:H656)</f>
        <v>120.46</v>
      </c>
      <c r="I5" s="16">
        <f t="shared" si="0"/>
        <v>120.46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120.46</v>
      </c>
      <c r="BA5" s="18">
        <f t="shared" si="1"/>
        <v>120.46</v>
      </c>
      <c r="BB5" s="18">
        <f t="shared" si="1"/>
        <v>120.46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3134</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3135</v>
      </c>
      <c r="J10" s="918"/>
      <c r="K10" s="1763"/>
      <c r="L10" s="918"/>
      <c r="M10" s="1763"/>
      <c r="N10" s="918"/>
      <c r="O10" s="1763"/>
      <c r="P10" s="918"/>
      <c r="Q10" s="1763"/>
      <c r="R10" s="918"/>
      <c r="S10" s="1763"/>
      <c r="T10" s="918"/>
      <c r="U10" s="1763"/>
      <c r="V10" s="918"/>
      <c r="W10" s="1763"/>
      <c r="X10" s="918"/>
      <c r="Y10" s="1763"/>
      <c r="Z10" s="918"/>
      <c r="AA10" s="1763"/>
      <c r="AB10" s="918"/>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住宅</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3137</v>
      </c>
      <c r="E13" s="16">
        <f>IF($C$3="是",ROUND($A$3*G13/$B$3,2),ROUND($A$3*(G13-AT13)/$B$3,2))</f>
        <v>0</v>
      </c>
      <c r="F13" s="32"/>
      <c r="G13" s="33">
        <f>H13+AC13+AT13</f>
        <v>120.46</v>
      </c>
      <c r="H13" s="20">
        <f>SUMIF(I$12:AB$12,"总值",I13:AB13)</f>
        <v>120.46</v>
      </c>
      <c r="I13" s="1780">
        <v>120.46</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120.46</v>
      </c>
      <c r="BA13" s="16">
        <f>SUM(BB13:BK13)</f>
        <v>120.46</v>
      </c>
      <c r="BB13" s="16">
        <f>IF($D13="是",I13-J13,0)</f>
        <v>120.46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9" t="s">
        <v>0</v>
      </c>
      <c r="B1" s="3319" t="s">
        <v>4</v>
      </c>
      <c r="C1" s="3319" t="s">
        <v>5</v>
      </c>
      <c r="D1" s="3320" t="s">
        <v>53</v>
      </c>
      <c r="E1" s="3320" t="s">
        <v>54</v>
      </c>
      <c r="F1" s="3320"/>
      <c r="G1" s="3320"/>
      <c r="H1" s="3320"/>
      <c r="I1" s="3320"/>
      <c r="J1" s="3320"/>
      <c r="K1" s="3320"/>
      <c r="L1" s="3320"/>
      <c r="M1" s="3320"/>
    </row>
    <row r="2" spans="1:13" ht="27" customHeight="1">
      <c r="A2" s="3319"/>
      <c r="B2" s="3319"/>
      <c r="C2" s="3319"/>
      <c r="D2" s="3320"/>
      <c r="E2" s="3320" t="s">
        <v>37</v>
      </c>
      <c r="F2" s="3320" t="s">
        <v>38</v>
      </c>
      <c r="G2" s="3320"/>
      <c r="H2" s="3320"/>
      <c r="I2" s="3320"/>
      <c r="J2" s="3320" t="s">
        <v>39</v>
      </c>
      <c r="K2" s="3320"/>
      <c r="L2" s="3320"/>
      <c r="M2" s="3320"/>
    </row>
    <row r="3" spans="1:13" ht="28.5">
      <c r="A3" s="3319"/>
      <c r="B3" s="3319"/>
      <c r="C3" s="3319"/>
      <c r="D3" s="3320"/>
      <c r="E3" s="33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0" t="s">
        <v>55</v>
      </c>
      <c r="B9" s="3320"/>
      <c r="C9" s="33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6" sqref="F4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30" t="s">
        <v>1757</v>
      </c>
      <c r="B2" s="3330"/>
      <c r="C2" s="3330"/>
      <c r="D2" s="904" t="s">
        <v>1733</v>
      </c>
      <c r="E2" s="1793" t="s">
        <v>1734</v>
      </c>
      <c r="F2" s="2854"/>
      <c r="G2" s="2845"/>
      <c r="H2" s="2846"/>
      <c r="I2" s="2516" t="s">
        <v>1758</v>
      </c>
      <c r="J2" s="2854"/>
      <c r="K2" s="2854"/>
      <c r="L2" s="2854"/>
      <c r="M2" s="2854"/>
      <c r="N2" s="2856"/>
      <c r="O2" s="2854"/>
      <c r="P2" s="2854"/>
    </row>
    <row r="3" spans="1:16" ht="15.75" thickBot="1">
      <c r="A3" s="3331" t="s">
        <v>1731</v>
      </c>
      <c r="B3" s="3331"/>
      <c r="C3" s="3331"/>
      <c r="D3" s="46">
        <f>'数据-基础表'!AY6</f>
        <v>0</v>
      </c>
      <c r="E3" s="46">
        <f>'数据-基础表'!AZ5</f>
        <v>120.46</v>
      </c>
      <c r="F3" s="2854"/>
      <c r="G3" s="1278"/>
      <c r="H3" s="1156" t="s">
        <v>1732</v>
      </c>
      <c r="I3" s="964" t="e">
        <f>ROUND('数据-基础表'!B3/'数据-基础表'!A3,2)</f>
        <v>#DIV/0!</v>
      </c>
      <c r="J3" s="2854"/>
      <c r="K3" s="2854"/>
      <c r="L3" s="2854"/>
      <c r="M3" s="2854"/>
      <c r="N3" s="2856"/>
      <c r="O3" s="2854"/>
      <c r="P3" s="2854"/>
    </row>
    <row r="4" spans="1:16" ht="15">
      <c r="A4" s="3332"/>
      <c r="B4" s="3333"/>
      <c r="C4" s="3334"/>
      <c r="D4" s="1795" t="s">
        <v>1733</v>
      </c>
      <c r="E4" s="1796" t="s">
        <v>1734</v>
      </c>
      <c r="F4" s="2854"/>
      <c r="G4" s="2847" t="s">
        <v>1759</v>
      </c>
      <c r="H4" s="1156" t="s">
        <v>1739</v>
      </c>
      <c r="I4" s="964" t="e">
        <f>ROUND(SUMIF('数据-基础表'!I9:AS9,"地上",'数据-基础表'!I5:AS5)/'数据-基础表'!A3,2)</f>
        <v>#DIV/0!</v>
      </c>
      <c r="J4" s="2854"/>
      <c r="K4" s="2854"/>
      <c r="L4" s="2854"/>
      <c r="M4" s="2854"/>
      <c r="N4" s="2856"/>
      <c r="O4" s="2854"/>
      <c r="P4" s="2854"/>
    </row>
    <row r="5" spans="1:16">
      <c r="A5" s="47" t="s">
        <v>1735</v>
      </c>
      <c r="B5" s="3335" t="s">
        <v>1736</v>
      </c>
      <c r="C5" s="3335"/>
      <c r="D5" s="48">
        <f>ROUND($D$3*E5/$E$3,2)</f>
        <v>0</v>
      </c>
      <c r="E5" s="49">
        <f>SUMIF('数据-基础表'!$11:$11,"住宅",'数据-基础表'!$5:$5)</f>
        <v>120.46</v>
      </c>
      <c r="F5" s="2854"/>
      <c r="G5" s="1278"/>
      <c r="H5" s="1156" t="s">
        <v>1732</v>
      </c>
      <c r="I5" s="964" t="e">
        <f>ROUND(E31/D31,2)</f>
        <v>#DIV/0!</v>
      </c>
      <c r="J5" s="2854"/>
      <c r="K5" s="2854"/>
      <c r="L5" s="2854"/>
      <c r="M5" s="2854"/>
      <c r="N5" s="2854"/>
      <c r="O5" s="2854"/>
      <c r="P5" s="2854"/>
    </row>
    <row r="6" spans="1:16" ht="15" thickBot="1">
      <c r="A6" s="1798"/>
      <c r="B6" s="3335" t="s">
        <v>1737</v>
      </c>
      <c r="C6" s="3335"/>
      <c r="D6" s="48">
        <f>ROUND($D$3*E6/$E$3,2)</f>
        <v>0</v>
      </c>
      <c r="E6" s="49">
        <f>E3-E5</f>
        <v>0</v>
      </c>
      <c r="F6" s="2854"/>
      <c r="G6" s="2848" t="s">
        <v>1738</v>
      </c>
      <c r="H6" s="1279" t="s">
        <v>1739</v>
      </c>
      <c r="I6" s="2849" t="e">
        <f>ROUND(F31/D31,2)</f>
        <v>#DIV/0!</v>
      </c>
      <c r="J6" s="2854"/>
      <c r="K6" s="2854"/>
      <c r="L6" s="2854"/>
      <c r="M6" s="2854"/>
      <c r="N6" s="2854"/>
      <c r="O6" s="2854"/>
      <c r="P6" s="2854"/>
    </row>
    <row r="7" spans="1:16" ht="15.75" thickBot="1">
      <c r="A7" s="3327"/>
      <c r="B7" s="3328"/>
      <c r="C7" s="3329"/>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0</v>
      </c>
      <c r="E8" s="51">
        <f>SUMIF('数据-基础表'!BB10:BK10,"地上",'数据-基础表'!BB5:BK5)</f>
        <v>120.46</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0</v>
      </c>
      <c r="E16" s="53">
        <f>SUM(E8:E15)</f>
        <v>120.46</v>
      </c>
      <c r="F16" s="2854"/>
      <c r="G16" s="2855"/>
      <c r="H16" s="1802" t="s">
        <v>1761</v>
      </c>
      <c r="I16" s="1803"/>
      <c r="J16" s="1272"/>
      <c r="K16" s="3324" t="s">
        <v>1761</v>
      </c>
      <c r="L16" s="3325"/>
      <c r="M16" s="3325"/>
      <c r="N16" s="3325"/>
      <c r="O16" s="3325"/>
      <c r="P16" s="3326"/>
    </row>
    <row r="17" spans="1:19" ht="15">
      <c r="A17" s="1804" t="s">
        <v>1762</v>
      </c>
      <c r="B17" s="1805" t="s">
        <v>1763</v>
      </c>
      <c r="C17" s="1806" t="s">
        <v>1764</v>
      </c>
      <c r="D17" s="1807" t="s">
        <v>1752</v>
      </c>
      <c r="E17" s="1808" t="s">
        <v>1753</v>
      </c>
      <c r="F17" s="1809"/>
      <c r="G17" s="1810"/>
      <c r="H17" s="1811" t="s">
        <v>1765</v>
      </c>
      <c r="I17" s="1812" t="s">
        <v>1750</v>
      </c>
      <c r="J17" s="1272"/>
      <c r="K17" s="3321" t="s">
        <v>1766</v>
      </c>
      <c r="L17" s="3322"/>
      <c r="M17" s="3323"/>
      <c r="N17" s="3321" t="s">
        <v>1767</v>
      </c>
      <c r="O17" s="3322"/>
      <c r="P17" s="3323"/>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4" t="s">
        <v>1776</v>
      </c>
      <c r="N18" s="1171" t="s">
        <v>1774</v>
      </c>
      <c r="O18" s="1820" t="s">
        <v>1775</v>
      </c>
      <c r="P18" s="964" t="s">
        <v>1776</v>
      </c>
      <c r="R18" s="1156" t="s">
        <v>1777</v>
      </c>
      <c r="S18" s="1156" t="s">
        <v>1778</v>
      </c>
    </row>
    <row r="19" spans="1:19">
      <c r="A19" s="1821"/>
      <c r="B19" s="50" t="s">
        <v>1751</v>
      </c>
      <c r="C19" s="3205" t="s">
        <v>3136</v>
      </c>
      <c r="D19" s="48">
        <f>ROUND($D$3*E19/$E$3,2)</f>
        <v>0</v>
      </c>
      <c r="E19" s="56">
        <f t="shared" ref="E19:E26" si="1">SUM(F19:G19)</f>
        <v>120.46</v>
      </c>
      <c r="F19" s="2994">
        <f>'数据-基础表'!I13</f>
        <v>120.46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120.46</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1779</v>
      </c>
      <c r="C21" s="1822"/>
      <c r="D21" s="48">
        <f t="shared" si="6"/>
        <v>0</v>
      </c>
      <c r="E21" s="56">
        <f t="shared" si="1"/>
        <v>0</v>
      </c>
      <c r="F21" s="2994"/>
      <c r="G21" s="2995"/>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0</v>
      </c>
      <c r="E27" s="1274">
        <f>IF(SUM(E19:E26)='数据-基础表'!BA5,SUM(E19:E26),IF(F27="地上面积有误","面积有误","地下面积有误"))</f>
        <v>120.46</v>
      </c>
      <c r="F27" s="1273">
        <f>IF(SUM(F19:F26)=E8,SUM(F19:F26),"地上面积有误")</f>
        <v>120.46</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120.46</v>
      </c>
    </row>
    <row r="28" spans="1:19">
      <c r="A28" s="1825"/>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1"/>
      <c r="B31" s="1832"/>
      <c r="C31" s="944" t="s">
        <v>1784</v>
      </c>
      <c r="D31" s="685">
        <f>D27+D30</f>
        <v>0</v>
      </c>
      <c r="E31" s="685">
        <f>E27+E30</f>
        <v>120.46</v>
      </c>
      <c r="F31" s="686">
        <f>F27+F30</f>
        <v>120.46</v>
      </c>
      <c r="G31" s="687">
        <f>G27+G30</f>
        <v>0</v>
      </c>
      <c r="H31" s="2854"/>
      <c r="I31" s="2854"/>
      <c r="J31" s="2854"/>
      <c r="K31" s="2854"/>
      <c r="L31" s="2854"/>
      <c r="M31" s="2854"/>
      <c r="N31" s="2854"/>
      <c r="O31" s="2854"/>
      <c r="P31" s="2854"/>
    </row>
    <row r="32" spans="1:19">
      <c r="A32" s="1797"/>
      <c r="B32" s="1797" t="s">
        <v>1785</v>
      </c>
      <c r="C32" s="1797"/>
      <c r="D32" s="1797"/>
      <c r="E32" s="1183">
        <f>SUMIF(C19:C26,"*住宅*",E19:E26)</f>
        <v>120.46</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3.2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5">
        <f>项目基本情况!D3</f>
        <v>44615</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住宅</v>
      </c>
      <c r="B6" s="1868" t="str">
        <f>IF(A6=0,"","经营性")</f>
        <v>经营性</v>
      </c>
      <c r="C6" s="1869" t="s">
        <v>3135</v>
      </c>
      <c r="D6" s="967">
        <f>SUMIF(项目基本情况!D$12:I$12,C6,项目基本情况!D$14:I$14)</f>
        <v>70</v>
      </c>
      <c r="E6" s="966">
        <f>IF(B6="","",SUMIF(项目基本情况!D$12:I$12,C6,项目基本情况!D$13:I$13))</f>
        <v>68804</v>
      </c>
      <c r="F6" s="68">
        <f>SUMIF(项目基本情况!D$12:I$12,C6,项目基本情况!D$15:I$15)</f>
        <v>66.27</v>
      </c>
      <c r="G6" s="69">
        <f>IF(ISERROR(ROUND(POWER(1+H6,D6-F6)*(POWER(1+H6,F6)-1)/(POWER(1+H6,D6)-1),3)),0,ROUND(POWER(1+H6,D6-F6)*(POWER(1+H6,F6)-1)/(POWER(1+H6,D6)-1),3))</f>
        <v>0.99299999999999999</v>
      </c>
      <c r="H6" s="741">
        <v>0.05</v>
      </c>
      <c r="I6" s="741">
        <v>5.5E-2</v>
      </c>
      <c r="J6" s="70">
        <v>7.0000000000000007E-2</v>
      </c>
      <c r="K6" s="1160">
        <f>SUMIF('数据-汇总表'!C$19:C$33,A6,'数据-汇总表'!E$19:E$33)</f>
        <v>120.46</v>
      </c>
      <c r="L6" s="742">
        <v>3000</v>
      </c>
      <c r="M6" s="71">
        <f t="shared" ref="M6:M14" si="0">ROUND(K6*L6/10000,0)</f>
        <v>36</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5">
        <f>ROUND($L$14*S6/10000,0)</f>
        <v>0</v>
      </c>
      <c r="U6" s="74">
        <v>1700</v>
      </c>
      <c r="V6" s="75">
        <v>0.02</v>
      </c>
      <c r="W6" s="75">
        <v>0.1</v>
      </c>
      <c r="X6" s="1170"/>
      <c r="Y6" s="76">
        <f>N6</f>
        <v>0.98</v>
      </c>
      <c r="Z6" s="77"/>
      <c r="AA6" s="70"/>
      <c r="AB6" s="70"/>
      <c r="AC6" s="1170"/>
      <c r="AD6" s="78"/>
      <c r="AE6" s="1171">
        <f ca="1">IF(AN6="",0,SUMIF(INDIRECT("'"&amp;AN6&amp;"'"&amp;"!E:E"),$AE$5,INDIRECT("'"&amp;AN6&amp;"'"&amp;"!F:F")))</f>
        <v>66.27</v>
      </c>
      <c r="AF6" s="1501"/>
      <c r="AG6" s="143">
        <f>IF(AF6="",0,AE6-AF6)</f>
        <v>0</v>
      </c>
      <c r="AH6" s="79">
        <v>1</v>
      </c>
      <c r="AI6" s="81">
        <v>12</v>
      </c>
      <c r="AJ6" s="82"/>
      <c r="AK6" s="83">
        <v>5.0000000000000001E-3</v>
      </c>
      <c r="AL6" s="84">
        <v>1E-3</v>
      </c>
      <c r="AM6" s="85">
        <v>0.01</v>
      </c>
      <c r="AN6" s="1870" t="s">
        <v>3143</v>
      </c>
      <c r="AO6" s="55">
        <f ca="1">SUMIF(INDIRECT("'"&amp;AN6&amp;"'"&amp;"!A:A"),"总价",INDIRECT("'"&amp;AN6&amp;"'"&amp;"!B:B"))</f>
        <v>30</v>
      </c>
      <c r="AP6" s="1871">
        <f>IF(C6="住宅",K6*L6,0)</f>
        <v>361380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0"/>
      <c r="Y8" s="746"/>
      <c r="Z8" s="77"/>
      <c r="AA8" s="70"/>
      <c r="AB8" s="70"/>
      <c r="AC8" s="1170"/>
      <c r="AD8" s="78"/>
      <c r="AE8" s="1171">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0.99299999999999999</v>
      </c>
      <c r="H16" s="95">
        <f>ROUND(SUMPRODUCT(H6:H13,K6:K13)/SUMPRODUCT((H6:H13&gt;0)*(K6:K13)),3)</f>
        <v>0.05</v>
      </c>
      <c r="I16" s="96"/>
      <c r="J16" s="96"/>
      <c r="K16" s="97">
        <f>SUM(K6:K15)</f>
        <v>120.46</v>
      </c>
      <c r="L16" s="98">
        <f>ROUND(M16*10000/SUM(K6:K14),0)</f>
        <v>2989</v>
      </c>
      <c r="M16" s="98">
        <f>SUM(M6:M14)</f>
        <v>36</v>
      </c>
      <c r="N16" s="99">
        <f>ROUND(SUMPRODUCT(M6:M14,N6:N14)/M16,3)</f>
        <v>0.98</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v>2021</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2</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14.25">
      <c r="A27" s="1882" t="s">
        <v>1846</v>
      </c>
      <c r="B27" s="112">
        <v>200</v>
      </c>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 (元)'!C9</f>
        <v>24092</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3138</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4" t="s">
        <v>1871</v>
      </c>
      <c r="B53" s="1893"/>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8" sqref="C28"/>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1"/>
  </cols>
  <sheetData>
    <row r="1" spans="1:29" s="2651" customFormat="1" ht="18.75" thickBot="1">
      <c r="A1" s="3336" t="s">
        <v>2971</v>
      </c>
      <c r="B1" s="3337"/>
      <c r="C1" s="3337"/>
      <c r="D1" s="3337"/>
      <c r="E1" s="3337"/>
      <c r="F1" s="3337"/>
      <c r="G1" s="333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7"/>
      <c r="I2" s="907"/>
      <c r="J2" s="907"/>
      <c r="K2" s="907"/>
      <c r="L2" s="907"/>
      <c r="M2" s="907"/>
      <c r="N2" s="907"/>
      <c r="O2" s="907"/>
      <c r="P2" s="907"/>
      <c r="Q2" s="907"/>
      <c r="R2" s="907"/>
    </row>
    <row r="3" spans="1:29" ht="48">
      <c r="A3" s="2635" t="s">
        <v>2968</v>
      </c>
      <c r="B3" s="2657" t="s">
        <v>2937</v>
      </c>
      <c r="C3" s="2658" t="s">
        <v>2969</v>
      </c>
      <c r="D3" s="2659"/>
      <c r="E3" s="2636" t="s">
        <v>2968</v>
      </c>
      <c r="F3" s="2660" t="s">
        <v>2938</v>
      </c>
      <c r="G3" s="2661" t="s">
        <v>2970</v>
      </c>
      <c r="H3" s="907"/>
      <c r="I3" s="907"/>
      <c r="J3" s="907"/>
      <c r="K3" s="907"/>
      <c r="L3" s="907"/>
      <c r="M3" s="907"/>
      <c r="N3" s="907"/>
      <c r="O3" s="907"/>
      <c r="P3" s="907"/>
      <c r="Q3" s="907"/>
      <c r="R3" s="907"/>
    </row>
    <row r="4" spans="1:29" ht="36.75">
      <c r="A4" s="2636"/>
      <c r="B4" s="329" t="s">
        <v>2939</v>
      </c>
      <c r="C4" s="2662" t="s">
        <v>2940</v>
      </c>
      <c r="D4" s="2659"/>
      <c r="E4" s="2663"/>
      <c r="F4" s="1526" t="s">
        <v>2941</v>
      </c>
      <c r="G4" s="2664" t="s">
        <v>2942</v>
      </c>
      <c r="H4" s="907"/>
      <c r="I4" s="907"/>
      <c r="J4" s="907"/>
      <c r="K4" s="907"/>
      <c r="L4" s="907"/>
      <c r="M4" s="907"/>
      <c r="N4" s="907"/>
      <c r="O4" s="907"/>
      <c r="P4" s="907"/>
      <c r="Q4" s="907"/>
      <c r="R4" s="907"/>
    </row>
    <row r="5" spans="1:29" ht="36.75">
      <c r="A5" s="2636"/>
      <c r="B5" s="329" t="s">
        <v>2943</v>
      </c>
      <c r="C5" s="2662" t="s">
        <v>2944</v>
      </c>
      <c r="D5" s="2659"/>
      <c r="E5" s="2663"/>
      <c r="F5" s="329" t="s">
        <v>2945</v>
      </c>
      <c r="G5" s="2664" t="s">
        <v>2946</v>
      </c>
      <c r="H5" s="907"/>
      <c r="I5" s="907"/>
      <c r="J5" s="907"/>
      <c r="K5" s="907"/>
      <c r="L5" s="907"/>
      <c r="M5" s="907"/>
      <c r="N5" s="907"/>
      <c r="O5" s="907"/>
      <c r="P5" s="907"/>
      <c r="Q5" s="907"/>
      <c r="R5" s="907"/>
    </row>
    <row r="6" spans="1:29" ht="36">
      <c r="A6" s="2636"/>
      <c r="B6" s="329" t="s">
        <v>2947</v>
      </c>
      <c r="C6" s="2664" t="s">
        <v>2942</v>
      </c>
      <c r="D6" s="2659"/>
      <c r="E6" s="2663"/>
      <c r="F6" s="329" t="s">
        <v>2948</v>
      </c>
      <c r="G6" s="2664" t="s">
        <v>2949</v>
      </c>
      <c r="H6" s="907"/>
      <c r="I6" s="907"/>
      <c r="J6" s="907"/>
      <c r="K6" s="907"/>
      <c r="L6" s="907"/>
      <c r="M6" s="907"/>
      <c r="N6" s="907"/>
      <c r="O6" s="907"/>
      <c r="P6" s="907"/>
      <c r="Q6" s="907"/>
      <c r="R6" s="907"/>
    </row>
    <row r="7" spans="1:29" ht="24.75" thickBot="1">
      <c r="A7" s="2636"/>
      <c r="B7" s="329" t="s">
        <v>2945</v>
      </c>
      <c r="C7" s="2664" t="s">
        <v>2946</v>
      </c>
      <c r="D7" s="2665"/>
      <c r="E7" s="2666"/>
      <c r="F7" s="2667" t="s">
        <v>2950</v>
      </c>
      <c r="G7" s="2668" t="s">
        <v>2951</v>
      </c>
      <c r="H7" s="907"/>
      <c r="I7" s="907"/>
      <c r="J7" s="907"/>
      <c r="K7" s="907"/>
      <c r="L7" s="907"/>
      <c r="M7" s="907"/>
      <c r="N7" s="907"/>
      <c r="O7" s="907"/>
      <c r="P7" s="907"/>
      <c r="Q7" s="907"/>
      <c r="R7" s="907"/>
    </row>
    <row r="8" spans="1:29">
      <c r="A8" s="2636"/>
      <c r="B8" s="329" t="s">
        <v>2948</v>
      </c>
      <c r="C8" s="2664" t="s">
        <v>2949</v>
      </c>
      <c r="D8" s="2665"/>
      <c r="E8" s="2665"/>
      <c r="F8" s="2669"/>
      <c r="G8" s="2669"/>
      <c r="H8" s="907"/>
      <c r="I8" s="907"/>
      <c r="J8" s="907"/>
      <c r="K8" s="907"/>
      <c r="L8" s="907"/>
      <c r="M8" s="907"/>
      <c r="N8" s="907"/>
      <c r="O8" s="907"/>
      <c r="P8" s="907"/>
      <c r="Q8" s="907"/>
      <c r="R8" s="907"/>
    </row>
    <row r="9" spans="1:29" ht="24">
      <c r="A9" s="2636"/>
      <c r="B9" s="329" t="s">
        <v>2952</v>
      </c>
      <c r="C9" s="2662" t="s">
        <v>2953</v>
      </c>
      <c r="D9" s="2659"/>
      <c r="E9" s="2665"/>
      <c r="F9" s="2669"/>
      <c r="G9" s="2669"/>
      <c r="H9" s="907"/>
      <c r="I9" s="907"/>
      <c r="J9" s="907"/>
      <c r="K9" s="907"/>
      <c r="L9" s="907"/>
      <c r="M9" s="907"/>
      <c r="N9" s="907"/>
      <c r="O9" s="907"/>
      <c r="P9" s="907"/>
      <c r="Q9" s="907"/>
      <c r="R9" s="907"/>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7" customFormat="1" ht="15" thickBot="1">
      <c r="A23" s="2640"/>
      <c r="B23" s="2696" t="s">
        <v>2963</v>
      </c>
      <c r="C23" s="2699"/>
      <c r="D23" s="1896"/>
      <c r="E23" s="2642"/>
      <c r="F23" s="2700" t="s">
        <v>2964</v>
      </c>
      <c r="G23" s="2701"/>
      <c r="H23" s="2685"/>
      <c r="I23" s="2686"/>
      <c r="J23" s="2685"/>
      <c r="K23" s="2685"/>
      <c r="L23" s="2686"/>
      <c r="M23" s="2685"/>
      <c r="N23" s="2685"/>
      <c r="O23" s="2686"/>
      <c r="P23" s="2685"/>
      <c r="Q23" s="2685"/>
      <c r="R23" s="2687"/>
    </row>
    <row r="24" spans="1:18" s="907" customFormat="1" ht="15" thickBot="1">
      <c r="A24" s="2643"/>
      <c r="B24" s="2700" t="s">
        <v>2965</v>
      </c>
      <c r="C24" s="2702">
        <f>C10</f>
        <v>0</v>
      </c>
      <c r="D24" s="1896"/>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1204.6000000000001</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44615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1070</v>
      </c>
      <c r="C5" s="2706">
        <f ca="1">ROUND(B5*10000/$B$1,0)</f>
        <v>8883</v>
      </c>
      <c r="D5" s="2706" t="e">
        <f ca="1">ROUND(B5*10000/$B$2,0)</f>
        <v>#DIV/0!</v>
      </c>
      <c r="E5" s="2883"/>
      <c r="F5" s="2884"/>
      <c r="G5" s="2884"/>
      <c r="H5" s="2885"/>
      <c r="I5" s="2885"/>
      <c r="J5" s="2885"/>
      <c r="K5" s="2885"/>
    </row>
    <row r="6" spans="1:11" ht="16.5">
      <c r="A6" s="2706" t="s">
        <v>1262</v>
      </c>
      <c r="B6" s="2706">
        <f ca="1">SUM(G14:G23)</f>
        <v>1070</v>
      </c>
      <c r="C6" s="2706">
        <f ca="1">ROUND(B6*10000/$B$1,0)</f>
        <v>8883</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典型户型修正!B22</f>
        <v>1204.6000000000001</v>
      </c>
      <c r="C14" s="2712">
        <f>结果表!C118</f>
        <v>0</v>
      </c>
      <c r="D14" s="2712">
        <f ca="1">典型户型修正!S22</f>
        <v>1070</v>
      </c>
      <c r="E14" s="2712">
        <f ca="1">ROUND(D14*10000/B14,0)</f>
        <v>8883</v>
      </c>
      <c r="F14" s="2712" t="e">
        <f ca="1">ROUND(D14*10000/C14,0)</f>
        <v>#DIV/0!</v>
      </c>
      <c r="G14" s="2712">
        <f ca="1">D14</f>
        <v>1070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72" t="str">
        <f>项目基本情况!S2</f>
        <v>房地产</v>
      </c>
      <c r="B2" s="3373"/>
      <c r="C2" s="3373"/>
      <c r="D2" s="3373"/>
      <c r="E2" s="3373"/>
      <c r="F2" s="3373"/>
      <c r="G2" s="3373"/>
      <c r="H2" s="3373"/>
      <c r="I2" s="3374"/>
    </row>
    <row r="3" spans="1:12" ht="12.75">
      <c r="A3" s="3376" t="s">
        <v>1890</v>
      </c>
      <c r="B3" s="3377"/>
      <c r="C3" s="3377"/>
      <c r="D3" s="3377"/>
      <c r="E3" s="3377"/>
      <c r="F3" s="3377"/>
      <c r="G3" s="3377"/>
      <c r="H3" s="3377"/>
      <c r="I3" s="3377"/>
    </row>
    <row r="4" spans="1:12" ht="14.25">
      <c r="A4" s="1909" t="s">
        <v>1891</v>
      </c>
      <c r="B4" s="1910" t="s">
        <v>1892</v>
      </c>
      <c r="C4" s="1911" t="s">
        <v>3128</v>
      </c>
      <c r="D4" s="1911" t="s">
        <v>3143</v>
      </c>
      <c r="E4" s="3378" t="s">
        <v>1893</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2" t="s">
        <v>1894</v>
      </c>
      <c r="B5" s="3339">
        <v>25</v>
      </c>
      <c r="C5" s="3355"/>
      <c r="D5" s="3375"/>
      <c r="E5" s="136" t="s">
        <v>1895</v>
      </c>
      <c r="F5" s="1912"/>
      <c r="G5" s="1912"/>
      <c r="H5" s="1912"/>
      <c r="I5" s="1526"/>
    </row>
    <row r="6" spans="1:12" ht="12.75">
      <c r="A6" s="3352"/>
      <c r="B6" s="3339"/>
      <c r="C6" s="3356"/>
      <c r="D6" s="3375"/>
      <c r="E6" s="136" t="s">
        <v>1896</v>
      </c>
      <c r="F6" s="1912"/>
      <c r="G6" s="1912"/>
      <c r="H6" s="1912"/>
      <c r="I6" s="1526"/>
    </row>
    <row r="7" spans="1:12" ht="12.75">
      <c r="A7" s="3352"/>
      <c r="B7" s="3339"/>
      <c r="C7" s="3357"/>
      <c r="D7" s="3375"/>
      <c r="E7" s="136" t="s">
        <v>1897</v>
      </c>
      <c r="F7" s="1912"/>
      <c r="G7" s="1912"/>
      <c r="H7" s="1912"/>
      <c r="I7" s="1526"/>
    </row>
    <row r="8" spans="1:12" ht="12.75">
      <c r="A8" s="3352" t="s">
        <v>1898</v>
      </c>
      <c r="B8" s="3339">
        <v>15</v>
      </c>
      <c r="C8" s="3355"/>
      <c r="D8" s="3375"/>
      <c r="E8" s="136" t="s">
        <v>1899</v>
      </c>
      <c r="F8" s="1912"/>
      <c r="G8" s="1912"/>
      <c r="H8" s="1912"/>
      <c r="I8" s="1526"/>
    </row>
    <row r="9" spans="1:12" ht="12.75">
      <c r="A9" s="3352"/>
      <c r="B9" s="3339"/>
      <c r="C9" s="3357"/>
      <c r="D9" s="3375"/>
      <c r="E9" s="136" t="s">
        <v>1900</v>
      </c>
      <c r="F9" s="1912"/>
      <c r="G9" s="1912"/>
      <c r="H9" s="1912"/>
      <c r="I9" s="1526"/>
    </row>
    <row r="10" spans="1:12" ht="12.75">
      <c r="A10" s="3352" t="s">
        <v>1901</v>
      </c>
      <c r="B10" s="3339">
        <v>15</v>
      </c>
      <c r="C10" s="3355"/>
      <c r="D10" s="3375"/>
      <c r="E10" s="136" t="s">
        <v>1902</v>
      </c>
      <c r="F10" s="1912"/>
      <c r="G10" s="1912"/>
      <c r="H10" s="1912"/>
      <c r="I10" s="1526"/>
    </row>
    <row r="11" spans="1:12" ht="12.75">
      <c r="A11" s="3352"/>
      <c r="B11" s="3339"/>
      <c r="C11" s="3357"/>
      <c r="D11" s="3375"/>
      <c r="E11" s="136" t="s">
        <v>1903</v>
      </c>
      <c r="F11" s="1912"/>
      <c r="G11" s="1912"/>
      <c r="H11" s="1912"/>
      <c r="I11" s="1526"/>
    </row>
    <row r="12" spans="1:12" ht="12.75">
      <c r="A12" s="3352" t="s">
        <v>1904</v>
      </c>
      <c r="B12" s="3339">
        <v>15</v>
      </c>
      <c r="C12" s="3355"/>
      <c r="D12" s="3375"/>
      <c r="E12" s="136" t="s">
        <v>1905</v>
      </c>
      <c r="F12" s="1912"/>
      <c r="G12" s="1912"/>
      <c r="H12" s="1912"/>
      <c r="I12" s="1526"/>
    </row>
    <row r="13" spans="1:12" ht="12.75">
      <c r="A13" s="3352"/>
      <c r="B13" s="3339"/>
      <c r="C13" s="3357"/>
      <c r="D13" s="3375"/>
      <c r="E13" s="136" t="s">
        <v>1906</v>
      </c>
      <c r="F13" s="1912"/>
      <c r="G13" s="1912"/>
      <c r="H13" s="1912"/>
      <c r="I13" s="1526"/>
    </row>
    <row r="14" spans="1:12" ht="12.75">
      <c r="A14" s="3352" t="s">
        <v>1907</v>
      </c>
      <c r="B14" s="3339">
        <v>30</v>
      </c>
      <c r="C14" s="3355">
        <v>8</v>
      </c>
      <c r="D14" s="3375">
        <v>2</v>
      </c>
      <c r="E14" s="136" t="s">
        <v>1908</v>
      </c>
      <c r="F14" s="1912"/>
      <c r="G14" s="1912"/>
      <c r="H14" s="1912"/>
      <c r="I14" s="1526"/>
    </row>
    <row r="15" spans="1:12" ht="12.75">
      <c r="A15" s="3352"/>
      <c r="B15" s="3339"/>
      <c r="C15" s="3356"/>
      <c r="D15" s="3375"/>
      <c r="E15" s="136" t="s">
        <v>1909</v>
      </c>
      <c r="F15" s="1912"/>
      <c r="G15" s="1912"/>
      <c r="H15" s="1912"/>
      <c r="I15" s="1526"/>
    </row>
    <row r="16" spans="1:12" ht="12.75">
      <c r="A16" s="3352"/>
      <c r="B16" s="3339"/>
      <c r="C16" s="3357"/>
      <c r="D16" s="3375"/>
      <c r="E16" s="136" t="s">
        <v>1910</v>
      </c>
      <c r="F16" s="1912"/>
      <c r="G16" s="1912"/>
      <c r="H16" s="1912"/>
      <c r="I16" s="1526"/>
    </row>
    <row r="17" spans="1:36" ht="15">
      <c r="A17" s="1913" t="s">
        <v>1911</v>
      </c>
      <c r="B17" s="60"/>
      <c r="C17" s="137">
        <f>SUM(C5:C16)</f>
        <v>8</v>
      </c>
      <c r="D17" s="137">
        <f>SUM(D5:D16)</f>
        <v>2</v>
      </c>
      <c r="E17" s="134"/>
      <c r="F17" s="134"/>
      <c r="G17" s="134"/>
      <c r="H17" s="134"/>
      <c r="I17" s="134"/>
      <c r="K17" s="308"/>
      <c r="L17" s="308" t="s">
        <v>1912</v>
      </c>
      <c r="M17" s="308" t="s">
        <v>1913</v>
      </c>
    </row>
    <row r="18" spans="1:36" ht="31.9" customHeight="1" thickBot="1">
      <c r="A18" s="1914" t="s">
        <v>1914</v>
      </c>
      <c r="B18" s="1915"/>
      <c r="C18" s="138">
        <f>ROUND(C17/SUM(C17:D17),2)</f>
        <v>0.8</v>
      </c>
      <c r="D18" s="138">
        <f>1-C18</f>
        <v>0.19999999999999996</v>
      </c>
      <c r="E18" s="3362" t="s">
        <v>2812</v>
      </c>
      <c r="F18" s="3363"/>
      <c r="G18" s="3363"/>
      <c r="H18" s="3363"/>
      <c r="I18" s="3363"/>
      <c r="K18" s="308" t="s">
        <v>1915</v>
      </c>
      <c r="L18" s="308">
        <f>IF(C1="",'数据-汇总表'!E3,SUMIF(项目类型,C1,'数据-汇总表'!E17:E26)+SUMIF(项目类型,C1,'数据-汇总表'!I17:I26))</f>
        <v>120.46</v>
      </c>
      <c r="M18" s="308">
        <f>IF(C1="",'数据-汇总表'!E3,SUMIF(项目类型,C1,'数据-汇总表'!E17:E26))</f>
        <v>120.46</v>
      </c>
    </row>
    <row r="19" spans="1:36" ht="15">
      <c r="A19" s="1916" t="s">
        <v>1916</v>
      </c>
      <c r="B19" s="1917" t="s">
        <v>1917</v>
      </c>
      <c r="C19" s="139">
        <f ca="1">SUMIF(INDIRECT("'"&amp;C4&amp;"'"&amp;"!A:A"),结果表!B19,INDIRECT("'"&amp;C4&amp;"'"&amp;"!B:B"))</f>
        <v>124</v>
      </c>
      <c r="D19" s="140">
        <f ca="1">SUMIF(INDIRECT("'"&amp;D4&amp;"'"&amp;"!A:A"),结果表!B19,INDIRECT("'"&amp;D4&amp;"'"&amp;"!B:B"))</f>
        <v>30</v>
      </c>
      <c r="E19" s="1916" t="s">
        <v>1918</v>
      </c>
      <c r="F19" s="1917" t="s">
        <v>1917</v>
      </c>
      <c r="G19" s="141">
        <f ca="1">ROUND(C19*$C$18+D19*$D$18,0)</f>
        <v>105</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6" t="s">
        <v>1921</v>
      </c>
      <c r="C20" s="142">
        <f ca="1">SUMIF(INDIRECT("'"&amp;C4&amp;"'"&amp;"!A:A"),结果表!B20,INDIRECT("'"&amp;C4&amp;"'"&amp;"!B:B"))</f>
        <v>10307</v>
      </c>
      <c r="D20" s="143">
        <f ca="1">SUMIF(INDIRECT("'"&amp;D4&amp;"'"&amp;"!A:A"),结果表!B20,INDIRECT("'"&amp;D4&amp;"'"&amp;"!B:B"))</f>
        <v>2503</v>
      </c>
      <c r="E20" s="1919"/>
      <c r="F20" s="1156" t="s">
        <v>1921</v>
      </c>
      <c r="G20" s="144">
        <f ca="1">ROUND(C20*$C$18+D20*$D$18,0)</f>
        <v>8746</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3.1333333333333337</v>
      </c>
      <c r="E22" s="134"/>
      <c r="F22" s="134"/>
      <c r="G22" s="134"/>
      <c r="H22" s="134"/>
      <c r="I22" s="134"/>
    </row>
    <row r="23" spans="1:36" ht="13.5" thickBot="1">
      <c r="A23" s="1902"/>
      <c r="B23" s="1902"/>
      <c r="C23" s="1902"/>
      <c r="D23" s="1902"/>
      <c r="E23" s="134"/>
      <c r="F23" s="134"/>
      <c r="G23" s="134"/>
      <c r="H23" s="134"/>
      <c r="I23" s="134"/>
    </row>
    <row r="24" spans="1:36" ht="14.25">
      <c r="A24" s="3346" t="s">
        <v>1925</v>
      </c>
      <c r="B24" s="1917" t="s">
        <v>1917</v>
      </c>
      <c r="C24" s="141">
        <f>IF(B30=0,0,D30)</f>
        <v>0</v>
      </c>
      <c r="D24" s="1924"/>
      <c r="E24" s="134"/>
      <c r="F24" s="134"/>
      <c r="G24" s="134"/>
      <c r="H24" s="134"/>
      <c r="I24" s="134"/>
    </row>
    <row r="25" spans="1:36" ht="14.25">
      <c r="A25" s="3347"/>
      <c r="B25" s="1156"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8" t="s">
        <v>1931</v>
      </c>
      <c r="B32" s="1929"/>
      <c r="C32" s="149">
        <f ca="1">IF(D32="总价",G19-C24,G20-C25)</f>
        <v>105</v>
      </c>
      <c r="D32" s="1930" t="s">
        <v>3142</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366" t="s">
        <v>1938</v>
      </c>
      <c r="B36" s="1942" t="s">
        <v>1939</v>
      </c>
      <c r="C36" s="150"/>
      <c r="D36" s="1943"/>
      <c r="E36" s="1944"/>
      <c r="F36" s="1945"/>
      <c r="G36" s="134"/>
      <c r="H36" s="134"/>
      <c r="I36" s="134"/>
    </row>
    <row r="37" spans="1:15" ht="15.75" thickBot="1">
      <c r="A37" s="3367"/>
      <c r="B37" s="1829" t="s">
        <v>1940</v>
      </c>
      <c r="C37" s="152"/>
      <c r="D37" s="1272"/>
      <c r="E37" s="1272"/>
      <c r="F37" s="1945"/>
      <c r="G37" s="134"/>
      <c r="H37" s="134"/>
      <c r="I37" s="134"/>
    </row>
    <row r="38" spans="1:15" ht="15.75" thickBot="1">
      <c r="A38" s="3368"/>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43" t="s">
        <v>1952</v>
      </c>
      <c r="B45" s="3344"/>
      <c r="C45" s="3345"/>
      <c r="D45" s="160">
        <f ca="1">ROUND(H101*F45,0)</f>
        <v>105</v>
      </c>
      <c r="E45" s="161" t="s">
        <v>1953</v>
      </c>
      <c r="F45" s="162">
        <v>1</v>
      </c>
      <c r="G45" s="163" t="s">
        <v>1954</v>
      </c>
      <c r="H45" s="134"/>
      <c r="I45" s="134"/>
      <c r="J45" s="3424" t="s">
        <v>1955</v>
      </c>
      <c r="K45" s="3424"/>
      <c r="L45" s="3424"/>
      <c r="M45" s="3424"/>
      <c r="N45" s="3424"/>
      <c r="O45" s="3424"/>
    </row>
    <row r="46" spans="1:15" ht="14.25" customHeight="1">
      <c r="A46" s="3340" t="s">
        <v>1956</v>
      </c>
      <c r="B46" s="3341"/>
      <c r="C46" s="3341"/>
      <c r="D46" s="3341"/>
      <c r="E46" s="3341"/>
      <c r="F46" s="3341"/>
      <c r="G46" s="3342"/>
      <c r="H46" s="1961"/>
      <c r="I46" s="164"/>
      <c r="J46" s="2717">
        <v>1</v>
      </c>
      <c r="K46" s="3405" t="s">
        <v>1957</v>
      </c>
      <c r="L46" s="3405"/>
      <c r="M46" s="3425"/>
      <c r="N46" s="3425"/>
      <c r="O46" s="3425"/>
    </row>
    <row r="47" spans="1:15" ht="12" customHeight="1">
      <c r="A47" s="165" t="s">
        <v>1958</v>
      </c>
      <c r="B47" s="166"/>
      <c r="C47" s="167"/>
      <c r="D47" s="1218" t="s">
        <v>1959</v>
      </c>
      <c r="E47" s="308" t="s">
        <v>1960</v>
      </c>
      <c r="F47" s="168" t="s">
        <v>1961</v>
      </c>
      <c r="G47" s="2740" t="s">
        <v>1962</v>
      </c>
      <c r="H47" s="2741"/>
      <c r="I47" s="164"/>
      <c r="J47" s="2717">
        <v>2</v>
      </c>
      <c r="K47" s="3405" t="s">
        <v>1963</v>
      </c>
      <c r="L47" s="3405"/>
      <c r="M47" s="3426">
        <f>'数据-取费表'!B2</f>
        <v>44615</v>
      </c>
      <c r="N47" s="3426"/>
      <c r="O47" s="3426"/>
    </row>
    <row r="48" spans="1:15" ht="25.5">
      <c r="A48" s="3371" t="s">
        <v>1964</v>
      </c>
      <c r="B48" s="3354"/>
      <c r="C48" s="3354"/>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1"/>
      <c r="J48" s="2717">
        <v>3</v>
      </c>
      <c r="K48" s="3405" t="s">
        <v>1966</v>
      </c>
      <c r="L48" s="3405"/>
      <c r="M48" s="3427">
        <f ca="1">H101</f>
        <v>105</v>
      </c>
      <c r="N48" s="3427"/>
      <c r="O48" s="3427"/>
    </row>
    <row r="49" spans="1:35" ht="25.5" customHeight="1">
      <c r="A49" s="2524" t="s">
        <v>1967</v>
      </c>
      <c r="B49" s="3338" t="s">
        <v>1968</v>
      </c>
      <c r="C49" s="3338"/>
      <c r="D49" s="1744">
        <v>0</v>
      </c>
      <c r="E49" s="330" t="s">
        <v>1969</v>
      </c>
      <c r="F49" s="2618" t="s">
        <v>34</v>
      </c>
      <c r="G49" s="3411"/>
      <c r="H49" s="2496" t="s">
        <v>2815</v>
      </c>
      <c r="I49" s="2497"/>
      <c r="J49" s="2717">
        <v>4</v>
      </c>
      <c r="K49" s="3405" t="str">
        <f>IF(项目基本情况!E8="房地产抵押价值","房地产抵押价值","抵押担保权已注销时的房地产抵押价值")</f>
        <v>房地产抵押价值</v>
      </c>
      <c r="L49" s="3405"/>
      <c r="M49" s="3427">
        <f ca="1">IF(项目基本情况!E8="房地产抵押价值",H107,H109)</f>
        <v>105</v>
      </c>
      <c r="N49" s="3427"/>
      <c r="O49" s="3427"/>
    </row>
    <row r="50" spans="1:35" ht="25.5" customHeight="1">
      <c r="A50" s="2745"/>
      <c r="B50" s="3338" t="s">
        <v>1970</v>
      </c>
      <c r="C50" s="3338"/>
      <c r="D50" s="2746"/>
      <c r="E50" s="338"/>
      <c r="F50" s="2618"/>
      <c r="G50" s="3412"/>
      <c r="H50" s="2498" t="s">
        <v>2816</v>
      </c>
      <c r="I50" s="2497"/>
      <c r="J50" s="3424" t="s">
        <v>1971</v>
      </c>
      <c r="K50" s="3424"/>
      <c r="L50" s="3424"/>
      <c r="M50" s="3424"/>
      <c r="N50" s="3424"/>
      <c r="O50" s="3424"/>
    </row>
    <row r="51" spans="1:35" ht="20.45" customHeight="1">
      <c r="A51" s="2747"/>
      <c r="B51" s="3338" t="s">
        <v>1972</v>
      </c>
      <c r="C51" s="3338"/>
      <c r="D51" s="1218"/>
      <c r="E51" s="333"/>
      <c r="F51" s="2618"/>
      <c r="G51" s="3413"/>
      <c r="H51" s="2498" t="s">
        <v>2817</v>
      </c>
      <c r="I51" s="2497"/>
      <c r="J51" s="2718" t="s">
        <v>1973</v>
      </c>
      <c r="K51" s="3405" t="s">
        <v>1974</v>
      </c>
      <c r="L51" s="3405"/>
      <c r="M51" s="2718" t="s">
        <v>1975</v>
      </c>
      <c r="N51" s="2718" t="s">
        <v>1976</v>
      </c>
      <c r="O51" s="2718" t="s">
        <v>1977</v>
      </c>
    </row>
    <row r="52" spans="1:35" ht="24" customHeight="1">
      <c r="A52" s="2526" t="s">
        <v>1978</v>
      </c>
      <c r="B52" s="3338" t="s">
        <v>1979</v>
      </c>
      <c r="C52" s="3338"/>
      <c r="D52" s="1218">
        <f ca="1">ROUND(D45*'数据-取费表'!B41/(1+'数据-取费表'!C42),0)</f>
        <v>6</v>
      </c>
      <c r="E52" s="2525" t="s">
        <v>1980</v>
      </c>
      <c r="F52" s="2748">
        <f>'数据-取费表'!B41</f>
        <v>5.6000000000000001E-2</v>
      </c>
      <c r="G52" s="2749"/>
      <c r="H52" s="2738"/>
      <c r="I52" s="1962"/>
      <c r="J52" s="2717">
        <v>1</v>
      </c>
      <c r="K52" s="3406" t="s">
        <v>1981</v>
      </c>
      <c r="L52" s="3406"/>
      <c r="M52" s="2719" t="b">
        <f>D48</f>
        <v>0</v>
      </c>
      <c r="N52" s="2717" t="str">
        <f>E48</f>
        <v>销售额×税（费）率</v>
      </c>
      <c r="O52" s="2720">
        <f>F48</f>
        <v>5.6000000000000001E-2</v>
      </c>
    </row>
    <row r="53" spans="1:35" ht="12" customHeight="1">
      <c r="A53" s="2526" t="s">
        <v>1982</v>
      </c>
      <c r="B53" s="3364" t="s">
        <v>2976</v>
      </c>
      <c r="C53" s="3365"/>
      <c r="D53" s="1218">
        <f ca="1">ROUND(D45*'数据-取费表'!B41/(1+'数据-取费表'!C42),0)</f>
        <v>6</v>
      </c>
      <c r="E53" s="2525" t="s">
        <v>1980</v>
      </c>
      <c r="F53" s="2748">
        <f>'数据-取费表'!B41</f>
        <v>5.6000000000000001E-2</v>
      </c>
      <c r="G53" s="2749"/>
      <c r="H53" s="2738"/>
      <c r="I53" s="1962"/>
      <c r="J53" s="2717">
        <v>2</v>
      </c>
      <c r="K53" s="3406" t="s">
        <v>1983</v>
      </c>
      <c r="L53" s="3406"/>
      <c r="M53" s="2719">
        <f t="shared" ref="M53:O54" ca="1" si="0">D55</f>
        <v>0</v>
      </c>
      <c r="N53" s="2717" t="str">
        <f t="shared" si="0"/>
        <v>销售额×税（费）率</v>
      </c>
      <c r="O53" s="2720" t="str">
        <f t="shared" si="0"/>
        <v>免征</v>
      </c>
    </row>
    <row r="54" spans="1:35" ht="12" customHeight="1">
      <c r="A54" s="2526" t="s">
        <v>1984</v>
      </c>
      <c r="B54" s="3364" t="s">
        <v>2977</v>
      </c>
      <c r="C54" s="3365"/>
      <c r="D54" s="1218">
        <f ca="1">C68</f>
        <v>6</v>
      </c>
      <c r="E54" s="333" t="s">
        <v>1985</v>
      </c>
      <c r="F54" s="2748">
        <f>'数据-取费表'!B41</f>
        <v>5.6000000000000001E-2</v>
      </c>
      <c r="G54" s="2749"/>
      <c r="H54" s="2750"/>
      <c r="I54" s="1962"/>
      <c r="J54" s="2717">
        <v>3</v>
      </c>
      <c r="K54" s="3406" t="s">
        <v>1986</v>
      </c>
      <c r="L54" s="3406"/>
      <c r="M54" s="2719">
        <f t="shared" ca="1" si="0"/>
        <v>59</v>
      </c>
      <c r="N54" s="2717" t="str">
        <f t="shared" si="0"/>
        <v>增值额×税（费）率</v>
      </c>
      <c r="O54" s="2721" t="str">
        <f t="shared" si="0"/>
        <v>免征</v>
      </c>
    </row>
    <row r="55" spans="1:35" ht="24" customHeight="1">
      <c r="A55" s="3353" t="s">
        <v>1987</v>
      </c>
      <c r="B55" s="3354"/>
      <c r="C55" s="3354"/>
      <c r="D55" s="2515">
        <f ca="1">IF(H55="个人住宅",0,ROUND(D45*I55,0))</f>
        <v>0</v>
      </c>
      <c r="E55" s="2525" t="s">
        <v>1988</v>
      </c>
      <c r="F55" s="2748" t="str">
        <f>IF(H55="正常",I55,"免征")</f>
        <v>免征</v>
      </c>
      <c r="G55" s="2749"/>
      <c r="H55" s="2744"/>
      <c r="I55" s="170">
        <f>'数据-取费表'!B49</f>
        <v>5.0000000000000001E-4</v>
      </c>
      <c r="J55" s="2717">
        <f>IF(H59="非个人房产","",4)</f>
        <v>4</v>
      </c>
      <c r="K55" s="3406" t="str">
        <f>IF(H59="非个人房产","——","个人所得税")</f>
        <v>个人所得税</v>
      </c>
      <c r="L55" s="3406"/>
      <c r="M55" s="2722">
        <f ca="1">D59</f>
        <v>1</v>
      </c>
      <c r="N55" s="2196" t="str">
        <f>E59</f>
        <v>差额计税</v>
      </c>
      <c r="O55" s="2723">
        <f>F59</f>
        <v>0.01</v>
      </c>
    </row>
    <row r="56" spans="1:35" ht="24.75">
      <c r="A56" s="3353" t="s">
        <v>1989</v>
      </c>
      <c r="B56" s="3354"/>
      <c r="C56" s="3354"/>
      <c r="D56" s="2515">
        <f ca="1">IF(H56="个人住宅",D57,D58)</f>
        <v>59</v>
      </c>
      <c r="E56" s="2525" t="s">
        <v>1990</v>
      </c>
      <c r="F56" s="2748" t="str">
        <f>IF(H56="正常",F58,"免征")</f>
        <v>免征</v>
      </c>
      <c r="G56" s="2751" t="s">
        <v>1991</v>
      </c>
      <c r="H56" s="2752"/>
      <c r="I56" s="1963"/>
      <c r="J56" s="2717" t="str">
        <f>IF(项目基本情况!K6="上海银行",IF(J55="",4,J55+1),"")</f>
        <v/>
      </c>
      <c r="K56" s="3429" t="str">
        <f>IF(项目基本情况!K6="上海银行","其他处置费用","")</f>
        <v/>
      </c>
      <c r="L56" s="3430"/>
      <c r="M56" s="2719" t="str">
        <f>IF(项目基本情况!K6="上海银行",M69,"")</f>
        <v/>
      </c>
      <c r="N56" s="3429" t="str">
        <f>IF(项目基本情况!K6="上海银行","包含处置中涉及的律师、诉讼、拍卖、评估等费用","")</f>
        <v/>
      </c>
      <c r="O56" s="3432"/>
    </row>
    <row r="57" spans="1:35" ht="12.75">
      <c r="A57" s="2526" t="s">
        <v>1967</v>
      </c>
      <c r="B57" s="3364" t="s">
        <v>1992</v>
      </c>
      <c r="C57" s="3365"/>
      <c r="D57" s="1744">
        <v>0</v>
      </c>
      <c r="E57" s="330" t="s">
        <v>1969</v>
      </c>
      <c r="F57" s="308"/>
      <c r="G57" s="2749"/>
      <c r="H57" s="2753"/>
      <c r="I57" s="1963"/>
      <c r="J57" s="3406">
        <f>IF(AND(J55="",J56=""),4,IF(项目基本情况!K6="上海银行",结果表!J56+1,结果表!J55+1))</f>
        <v>5</v>
      </c>
      <c r="K57" s="3406" t="s">
        <v>1993</v>
      </c>
      <c r="L57" s="2724" t="s">
        <v>1994</v>
      </c>
      <c r="M57" s="2725"/>
      <c r="N57" s="2726">
        <f ca="1">SUMIF(M52:M56,"&lt;9e307")</f>
        <v>60</v>
      </c>
      <c r="O57" s="2727"/>
      <c r="P57" s="2887">
        <f ca="1">N57/M49</f>
        <v>0.5714285714285714</v>
      </c>
    </row>
    <row r="58" spans="1:35" ht="24.75">
      <c r="A58" s="2526" t="s">
        <v>1978</v>
      </c>
      <c r="B58" s="3364" t="s">
        <v>1995</v>
      </c>
      <c r="C58" s="3338"/>
      <c r="D58" s="2515">
        <f ca="1">IF(H58="转让取得",C81,C97)</f>
        <v>59</v>
      </c>
      <c r="E58" s="2525" t="s">
        <v>1990</v>
      </c>
      <c r="F58" s="308" t="s">
        <v>34</v>
      </c>
      <c r="G58" s="2749"/>
      <c r="H58" s="2752"/>
      <c r="I58" s="1963"/>
      <c r="J58" s="3406"/>
      <c r="K58" s="3406"/>
      <c r="L58" s="2724" t="s">
        <v>1996</v>
      </c>
      <c r="M58" s="2728"/>
      <c r="N58" s="2729" t="str">
        <f ca="1">NUMBERSTRING(INT(N57*10000),2)&amp;"元整"</f>
        <v>陆拾万元整</v>
      </c>
      <c r="O58" s="2730"/>
    </row>
    <row r="59" spans="1:35" ht="24.75" thickBot="1">
      <c r="A59" s="3409" t="s">
        <v>1997</v>
      </c>
      <c r="B59" s="3410"/>
      <c r="C59" s="3410"/>
      <c r="D59" s="2754">
        <f ca="1">IF(H59="非个人房产","——",IF(H59="个人住宅（满五唯一有凭证）",0,IF(H59="个人其他（无凭证）",ROUND(D45*F59,0),ROUND(C67*F59,0))))</f>
        <v>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07">
        <f>J57+1</f>
        <v>6</v>
      </c>
      <c r="K59" s="3406" t="s">
        <v>1998</v>
      </c>
      <c r="L59" s="2717" t="s">
        <v>1994</v>
      </c>
      <c r="M59" s="2731"/>
      <c r="N59" s="2732">
        <f ca="1">M49-N57</f>
        <v>45</v>
      </c>
      <c r="O59" s="2733"/>
    </row>
    <row r="60" spans="1:35" ht="12" customHeight="1">
      <c r="A60" s="1964"/>
      <c r="B60" s="1902"/>
      <c r="C60" s="1902"/>
      <c r="D60" s="1902"/>
      <c r="E60" s="1732"/>
      <c r="F60" s="1963"/>
      <c r="G60" s="1963"/>
      <c r="H60" s="1965"/>
      <c r="I60" s="134"/>
      <c r="J60" s="3408"/>
      <c r="K60" s="3406"/>
      <c r="L60" s="2724" t="s">
        <v>1996</v>
      </c>
      <c r="M60" s="2728"/>
      <c r="N60" s="2729" t="str">
        <f ca="1">NUMBERSTRING(INT(N59*10000),2)&amp;"元整"</f>
        <v>肆拾伍万元整</v>
      </c>
      <c r="O60" s="2730"/>
    </row>
    <row r="61" spans="1:35" ht="13.5" thickBot="1">
      <c r="A61" s="3351" t="s">
        <v>1999</v>
      </c>
      <c r="B61" s="3351"/>
      <c r="C61" s="3351"/>
      <c r="D61" s="3351"/>
      <c r="E61" s="3351"/>
      <c r="F61" s="1963"/>
      <c r="G61" s="1963"/>
      <c r="H61" s="1965"/>
      <c r="I61" s="134"/>
      <c r="J61" s="2717">
        <f>J59+1</f>
        <v>7</v>
      </c>
      <c r="K61" s="3406" t="s">
        <v>2000</v>
      </c>
      <c r="L61" s="3406"/>
      <c r="M61" s="2734"/>
      <c r="N61" s="2735">
        <f ca="1">ROUND(N59*10000/'数据-汇总表'!E3,0)</f>
        <v>3736</v>
      </c>
      <c r="O61" s="2736"/>
    </row>
    <row r="62" spans="1:35" ht="12.75">
      <c r="A62" s="3369" t="s">
        <v>2001</v>
      </c>
      <c r="B62" s="3370"/>
      <c r="C62" s="2177"/>
      <c r="D62" s="2177" t="s">
        <v>2002</v>
      </c>
      <c r="E62" s="171" t="s">
        <v>2003</v>
      </c>
      <c r="F62" s="1963"/>
      <c r="G62" s="1963"/>
      <c r="H62" s="1965"/>
      <c r="I62" s="134"/>
    </row>
    <row r="63" spans="1:35" ht="12.75">
      <c r="A63" s="178" t="s">
        <v>775</v>
      </c>
      <c r="B63" s="172" t="s">
        <v>2004</v>
      </c>
      <c r="C63" s="2758">
        <f ca="1">ROUND((C64+C65)/(1+'数据-取费表'!C42),0)</f>
        <v>100</v>
      </c>
      <c r="D63" s="172"/>
      <c r="E63" s="173"/>
      <c r="F63" s="1963"/>
      <c r="G63" s="1963"/>
      <c r="H63" s="1965"/>
      <c r="I63" s="134"/>
      <c r="J63" s="3431" t="s">
        <v>2005</v>
      </c>
      <c r="K63" s="1471" t="s">
        <v>2006</v>
      </c>
      <c r="L63" s="1471">
        <f ca="1">IF(M49&gt;10000,M49*0.5%,IF(AND(M49&gt;1000,M49&lt;=10000),M49*1%,IF(AND(M49&gt;100,M49&lt;=1000),M49*3%,IF(AND(M49&gt;10,M49&lt;=100),M49*5%,M49*8%))))</f>
        <v>3.15</v>
      </c>
      <c r="M63" s="308">
        <f ca="1">ROUND(L63,1)</f>
        <v>3.2</v>
      </c>
      <c r="N63" s="2737"/>
      <c r="Z63" s="1907"/>
      <c r="AI63" s="1908"/>
    </row>
    <row r="64" spans="1:35" ht="14.25" customHeight="1">
      <c r="A64" s="174" t="s">
        <v>770</v>
      </c>
      <c r="B64" s="175" t="s">
        <v>2007</v>
      </c>
      <c r="C64" s="2759">
        <f ca="1">D45</f>
        <v>105</v>
      </c>
      <c r="D64" s="175" t="s">
        <v>32</v>
      </c>
      <c r="E64" s="177"/>
      <c r="F64" s="1963"/>
      <c r="G64" s="1963"/>
      <c r="H64" s="1965"/>
      <c r="I64" s="134"/>
      <c r="J64" s="3431"/>
      <c r="K64" s="1471" t="s">
        <v>2008</v>
      </c>
      <c r="L64" s="1471">
        <f ca="1">IF(M49&gt;2000,M49*0.5%,IF(AND(M49&gt;1000,M49&lt;=2000),M49*0.6%,IF(AND(M49&gt;500,M49&lt;=1000),M49*0.7%,IF(AND(M49&gt;200,M49&lt;=500),M49*0.8%,IF(AND(M49&gt;100,M49&lt;=200),M49*0.9%,IF(AND(M49&gt;50,M49&lt;=100),M49*1%,IF(AND(M49&gt;20,M49&lt;=50),M49*1.5%,IF(AND(M49&gt;10,M49&lt;=20),M49*2%,IF(AND(M49&gt;1,M49&lt;=10),M49*2.5%)))))))))</f>
        <v>0.94500000000000006</v>
      </c>
      <c r="M64" s="308">
        <f t="shared" ref="M64:M65" ca="1" si="1">ROUND(L64,1)</f>
        <v>0.9</v>
      </c>
      <c r="N64" s="2738" t="s">
        <v>2009</v>
      </c>
      <c r="Z64" s="1907"/>
      <c r="AI64" s="1908"/>
    </row>
    <row r="65" spans="1:35" ht="14.25" customHeight="1">
      <c r="A65" s="174" t="s">
        <v>771</v>
      </c>
      <c r="B65" s="175" t="s">
        <v>2010</v>
      </c>
      <c r="C65" s="2760"/>
      <c r="D65" s="175"/>
      <c r="E65" s="177"/>
      <c r="F65" s="1963"/>
      <c r="G65" s="1963"/>
      <c r="H65" s="1965"/>
      <c r="I65" s="134"/>
      <c r="J65" s="3431"/>
      <c r="K65" s="1471" t="s">
        <v>2011</v>
      </c>
      <c r="L65" s="1471">
        <f ca="1">IF(M49&gt;1000,M49*0.1%,IF(AND(M49&gt;500,M49&lt;=1000),M49*0.5%,IF(AND(M49&gt;50,M49&lt;=500),M49*1%,IF(AND(M49&gt;1,M49&lt;=50),M49*1.5%))))</f>
        <v>1.05</v>
      </c>
      <c r="M65" s="308">
        <f t="shared" ca="1" si="1"/>
        <v>1.1000000000000001</v>
      </c>
      <c r="N65" s="2738" t="s">
        <v>2009</v>
      </c>
      <c r="Z65" s="1907"/>
      <c r="AI65" s="1908"/>
    </row>
    <row r="66" spans="1:35" ht="14.25" customHeight="1">
      <c r="A66" s="178" t="s">
        <v>772</v>
      </c>
      <c r="B66" s="179" t="s">
        <v>2012</v>
      </c>
      <c r="C66" s="2761"/>
      <c r="D66" s="179" t="s">
        <v>32</v>
      </c>
      <c r="E66" s="1478" t="s">
        <v>1277</v>
      </c>
      <c r="F66" s="1963"/>
      <c r="G66" s="1963"/>
      <c r="H66" s="1965"/>
      <c r="I66" s="134"/>
      <c r="J66" s="3431"/>
      <c r="K66" s="1471" t="s">
        <v>2013</v>
      </c>
      <c r="L66" s="1471">
        <f ca="1">M49*0.5%</f>
        <v>0.52500000000000002</v>
      </c>
      <c r="M66" s="308">
        <f ca="1">IF(L66&gt;0.5,0.5,ROUND(L66,0))</f>
        <v>0.5</v>
      </c>
      <c r="N66" s="2738" t="s">
        <v>2014</v>
      </c>
      <c r="Z66" s="1907"/>
      <c r="AI66" s="1908"/>
    </row>
    <row r="67" spans="1:35" ht="14.25" customHeight="1">
      <c r="A67" s="178" t="s">
        <v>773</v>
      </c>
      <c r="B67" s="179" t="s">
        <v>2015</v>
      </c>
      <c r="C67" s="2762">
        <f ca="1">C63-C66</f>
        <v>100</v>
      </c>
      <c r="D67" s="175" t="s">
        <v>32</v>
      </c>
      <c r="E67" s="177"/>
      <c r="F67" s="1963"/>
      <c r="G67" s="1963"/>
      <c r="H67" s="1965"/>
      <c r="I67" s="134"/>
      <c r="J67" s="3431"/>
      <c r="K67" s="1471" t="s">
        <v>2016</v>
      </c>
      <c r="L67" s="1471">
        <f ca="1">IF(M49&gt;=10000,(8.25+(M49-10000)*0.01%),IF(AND(M49&gt;=8000,M49&lt;10000),(7.85+(M49-8000)*0.02%),IF(AND(M49&gt;=5000,M49&lt;8000),(6.65+(M49-5000)*0.04%),IF(AND(M49&gt;=2000,M49&lt;5000),(4.25+(PM49-2000)*0.08%),IF(AND(M49&gt;=1000,M49&lt;2000),(2.75+(M49-1000)*0.15%),IF(AND(M49&gt;=100,M49&lt;1000),(0.5+(M49-100)*0.25%),IF(AND(M49&gt;0,M49&lt;100),M49*0.5%)))))))</f>
        <v>0.51249999999999996</v>
      </c>
      <c r="M67" s="308">
        <f ca="1">ROUND(L67*0.9,1)</f>
        <v>0.5</v>
      </c>
      <c r="N67" s="2737"/>
      <c r="Z67" s="1907"/>
      <c r="AI67" s="1908"/>
    </row>
    <row r="68" spans="1:35" ht="14.25" customHeight="1" thickBot="1">
      <c r="A68" s="181" t="s">
        <v>774</v>
      </c>
      <c r="B68" s="182" t="s">
        <v>2017</v>
      </c>
      <c r="C68" s="2763">
        <f ca="1">IF(C67&lt;=0,0,ROUND(C67*D68,0))</f>
        <v>6</v>
      </c>
      <c r="D68" s="2764">
        <f>'数据-取费表'!B41</f>
        <v>5.6000000000000001E-2</v>
      </c>
      <c r="E68" s="184"/>
      <c r="F68" s="1963"/>
      <c r="G68" s="1963"/>
      <c r="H68" s="1965"/>
      <c r="I68" s="134"/>
      <c r="J68" s="3431"/>
      <c r="K68" s="1471" t="s">
        <v>2018</v>
      </c>
      <c r="L68" s="1471">
        <f ca="1">IF(M49&gt;10000,M49*0.5%,IF(AND(M49&gt;5000,M49&lt;=10000),M49*1%,IF(AND(M49&gt;1000,M49&lt;=5000),M49*2%,IF(AND(M49&gt;200,M49&lt;=1000),M49*3%,M49*5%))))</f>
        <v>5.25</v>
      </c>
      <c r="M68" s="308">
        <f ca="1">ROUND(L68,1)</f>
        <v>5.3</v>
      </c>
      <c r="N68" s="2737"/>
      <c r="Z68" s="1907"/>
      <c r="AI68" s="1908"/>
    </row>
    <row r="69" spans="1:35" s="1927" customFormat="1" ht="16.5" customHeight="1">
      <c r="A69" s="1966"/>
      <c r="B69" s="1967"/>
      <c r="C69" s="1968"/>
      <c r="D69" s="1969"/>
      <c r="E69" s="1970"/>
      <c r="F69" s="1732"/>
      <c r="G69" s="1732"/>
      <c r="H69" s="1731"/>
      <c r="I69" s="1902"/>
      <c r="J69" s="3431"/>
      <c r="K69" s="1471" t="s">
        <v>2019</v>
      </c>
      <c r="L69" s="1471"/>
      <c r="M69" s="308">
        <f ca="1">ROUND(SUM(M63:M68),0)</f>
        <v>12</v>
      </c>
      <c r="N69" s="2739">
        <f ca="1">M69/M49</f>
        <v>0.11428571428571428</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0" t="s">
        <v>2020</v>
      </c>
      <c r="B70" s="3391"/>
      <c r="C70" s="3391"/>
      <c r="D70" s="3391"/>
      <c r="E70" s="3391"/>
      <c r="F70" s="3391"/>
      <c r="G70" s="3391"/>
      <c r="H70" s="3391"/>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9" t="s">
        <v>2001</v>
      </c>
      <c r="B71" s="3370"/>
      <c r="C71" s="2177"/>
      <c r="D71" s="2177"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100</v>
      </c>
      <c r="D72" s="175" t="s">
        <v>32</v>
      </c>
      <c r="E72" s="2522"/>
      <c r="F72" s="2521"/>
      <c r="G72" s="2521"/>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1</v>
      </c>
      <c r="D73" s="175" t="s">
        <v>32</v>
      </c>
      <c r="E73" s="2522"/>
      <c r="F73" s="2521"/>
      <c r="G73" s="2521"/>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2"/>
      <c r="F74" s="2521"/>
      <c r="G74" s="2521"/>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364" t="s">
        <v>2028</v>
      </c>
      <c r="F76" s="3338"/>
      <c r="G76" s="3338"/>
      <c r="H76" s="338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7"/>
      <c r="H77" s="25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1</v>
      </c>
      <c r="D78" s="2771">
        <f>'数据-取费表'!B43</f>
        <v>6.000000000000001E-3</v>
      </c>
      <c r="E78" s="3348" t="s">
        <v>2032</v>
      </c>
      <c r="F78" s="3349"/>
      <c r="G78" s="3349"/>
      <c r="H78" s="3358"/>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99</v>
      </c>
      <c r="D79" s="175" t="s">
        <v>32</v>
      </c>
      <c r="E79" s="2522"/>
      <c r="F79" s="2521"/>
      <c r="G79" s="2521"/>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99</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59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0" t="s">
        <v>2036</v>
      </c>
      <c r="B83" s="3391"/>
      <c r="C83" s="3391"/>
      <c r="D83" s="3391"/>
      <c r="E83" s="3391"/>
      <c r="F83" s="3391"/>
      <c r="G83" s="3391"/>
      <c r="H83" s="339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9" t="s">
        <v>2001</v>
      </c>
      <c r="B84" s="3370"/>
      <c r="C84" s="2177"/>
      <c r="D84" s="2177"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100</v>
      </c>
      <c r="D85" s="175" t="s">
        <v>32</v>
      </c>
      <c r="E85" s="2522"/>
      <c r="F85" s="2521"/>
      <c r="G85" s="2521"/>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1</v>
      </c>
      <c r="D86" s="2775"/>
      <c r="E86" s="2522"/>
      <c r="F86" s="2521"/>
      <c r="G86" s="2521"/>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7"/>
      <c r="F87" s="2518"/>
      <c r="G87" s="2518"/>
      <c r="H87" s="25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8"/>
      <c r="G88" s="200" t="s">
        <v>2040</v>
      </c>
      <c r="H88" s="1979"/>
      <c r="I88" s="1976"/>
      <c r="J88" s="2715"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8"/>
      <c r="G89" s="2518"/>
      <c r="H89" s="25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8"/>
      <c r="G90" s="3433" t="s">
        <v>2810</v>
      </c>
      <c r="H90" s="3434"/>
      <c r="I90" s="1976"/>
      <c r="J90" s="2715"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48" t="s">
        <v>2045</v>
      </c>
      <c r="F91" s="3349"/>
      <c r="G91" s="334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48" t="s">
        <v>2048</v>
      </c>
      <c r="F92" s="3349"/>
      <c r="G92" s="3349"/>
      <c r="H92" s="3358"/>
      <c r="I92" s="1976"/>
      <c r="J92" s="2716"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1</v>
      </c>
      <c r="D93" s="2771">
        <f>'数据-取费表'!B43</f>
        <v>6.000000000000001E-3</v>
      </c>
      <c r="E93" s="3348" t="s">
        <v>2032</v>
      </c>
      <c r="F93" s="3349"/>
      <c r="G93" s="3349"/>
      <c r="H93" s="3358"/>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359" t="s">
        <v>2052</v>
      </c>
      <c r="F94" s="3360"/>
      <c r="G94" s="3360"/>
      <c r="H94" s="336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99</v>
      </c>
      <c r="D95" s="175" t="s">
        <v>32</v>
      </c>
      <c r="E95" s="2522"/>
      <c r="F95" s="2521"/>
      <c r="G95" s="2521"/>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99</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59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2" t="s">
        <v>2054</v>
      </c>
      <c r="B100" s="3333"/>
      <c r="C100" s="3333"/>
      <c r="D100" s="3350"/>
      <c r="E100" s="3333" t="s">
        <v>2055</v>
      </c>
      <c r="F100" s="3333"/>
      <c r="G100" s="3333"/>
      <c r="H100" s="3350"/>
      <c r="I100" s="134"/>
    </row>
    <row r="101" spans="1:35" ht="18.75" customHeight="1">
      <c r="A101" s="3414" t="s">
        <v>2056</v>
      </c>
      <c r="B101" s="3415"/>
      <c r="C101" s="2779" t="str">
        <f>C4</f>
        <v>比较法-住宅</v>
      </c>
      <c r="D101" s="2780" t="str">
        <f>D4</f>
        <v>收益法 (元)</v>
      </c>
      <c r="E101" s="3428" t="s">
        <v>2057</v>
      </c>
      <c r="F101" s="3382"/>
      <c r="G101" s="1982" t="s">
        <v>2058</v>
      </c>
      <c r="H101" s="2789">
        <f ca="1">H118</f>
        <v>105</v>
      </c>
      <c r="I101" s="134"/>
    </row>
    <row r="102" spans="1:35" ht="18.75" customHeight="1">
      <c r="A102" s="3384" t="s">
        <v>2059</v>
      </c>
      <c r="B102" s="2778" t="s">
        <v>2058</v>
      </c>
      <c r="C102" s="2779">
        <f ca="1">C19</f>
        <v>124</v>
      </c>
      <c r="D102" s="2780">
        <f ca="1">D19</f>
        <v>30</v>
      </c>
      <c r="E102" s="3428"/>
      <c r="F102" s="3382"/>
      <c r="G102" s="1982" t="s">
        <v>2060</v>
      </c>
      <c r="H102" s="2749">
        <f ca="1">I118</f>
        <v>8717</v>
      </c>
      <c r="I102" s="134"/>
    </row>
    <row r="103" spans="1:35" ht="42.75" customHeight="1">
      <c r="A103" s="3384"/>
      <c r="B103" s="2778" t="s">
        <v>2060</v>
      </c>
      <c r="C103" s="2781">
        <f ca="1">C20</f>
        <v>10307</v>
      </c>
      <c r="D103" s="2782">
        <f ca="1">D20</f>
        <v>2503</v>
      </c>
      <c r="E103" s="3422" t="s">
        <v>2061</v>
      </c>
      <c r="F103" s="3423"/>
      <c r="G103" s="1983" t="s">
        <v>2062</v>
      </c>
      <c r="H103" s="2789">
        <f>IF(D36="正常操作",H104+H105+H106,H105+H106)</f>
        <v>0</v>
      </c>
      <c r="I103" s="134"/>
    </row>
    <row r="104" spans="1:35" ht="18.75" customHeight="1">
      <c r="A104" s="3384" t="s">
        <v>2063</v>
      </c>
      <c r="B104" s="2783" t="s">
        <v>2058</v>
      </c>
      <c r="C104" s="2784">
        <f ca="1">H118</f>
        <v>105</v>
      </c>
      <c r="D104" s="2785"/>
      <c r="E104" s="1829" t="s">
        <v>2064</v>
      </c>
      <c r="F104" s="1820"/>
      <c r="G104" s="1983" t="s">
        <v>2062</v>
      </c>
      <c r="H104" s="2790">
        <f>IF(D36="同一抵押权人同一抵押物续贷",C36&amp;"（续贷，未扣减，详见特别提示）",C36)</f>
        <v>0</v>
      </c>
      <c r="I104" s="134"/>
    </row>
    <row r="105" spans="1:35" ht="18.75" customHeight="1" thickBot="1">
      <c r="A105" s="3385"/>
      <c r="B105" s="2786" t="s">
        <v>2060</v>
      </c>
      <c r="C105" s="2787">
        <f ca="1">I118</f>
        <v>8717</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381" t="str">
        <f>IF(项目基本情况!E8="已注销","——","3.房地产抵押价值")</f>
        <v>3.房地产抵押价值</v>
      </c>
      <c r="F107" s="3382"/>
      <c r="G107" s="1982" t="s">
        <v>2058</v>
      </c>
      <c r="H107" s="2789">
        <f ca="1">IF(E107="——","——",H101-H103)</f>
        <v>105</v>
      </c>
      <c r="I107" s="134"/>
    </row>
    <row r="108" spans="1:35" ht="18.75" customHeight="1">
      <c r="A108" s="134"/>
      <c r="B108" s="134"/>
      <c r="C108" s="134"/>
      <c r="D108" s="134"/>
      <c r="E108" s="3381"/>
      <c r="F108" s="3382"/>
      <c r="G108" s="1982" t="s">
        <v>2060</v>
      </c>
      <c r="H108" s="2749">
        <f ca="1">ROUND(H107*10000/'数据-汇总表'!E3,0)</f>
        <v>8717</v>
      </c>
      <c r="I108" s="134"/>
    </row>
    <row r="109" spans="1:35" ht="18.75" customHeight="1">
      <c r="A109" s="134"/>
      <c r="B109" s="134"/>
      <c r="C109" s="134"/>
      <c r="D109" s="134"/>
      <c r="E109" s="3381" t="str">
        <f>IF(项目基本情况!E8="已注销及未注销","4.抵押担保权已注销时的房地产抵押价值",IF(项目基本情况!E8="已注销","3.抵押担保权已注销时的房地产抵押价值","——"))</f>
        <v>——</v>
      </c>
      <c r="F109" s="3382"/>
      <c r="G109" s="1982" t="s">
        <v>2058</v>
      </c>
      <c r="H109" s="2792" t="str">
        <f>IF(E109="——","——",H101-H105-H106)</f>
        <v>——</v>
      </c>
      <c r="I109" s="134"/>
    </row>
    <row r="110" spans="1:35" ht="18.75" customHeight="1">
      <c r="A110" s="134"/>
      <c r="B110" s="134"/>
      <c r="C110" s="134"/>
      <c r="D110" s="134"/>
      <c r="E110" s="3381"/>
      <c r="F110" s="3382"/>
      <c r="G110" s="1982" t="s">
        <v>2060</v>
      </c>
      <c r="H110" s="2749" t="str">
        <f>IF(H109="——","——",ROUND(H109*10000/'数据-汇总表'!E3,0))</f>
        <v>——</v>
      </c>
      <c r="I110" s="134"/>
    </row>
    <row r="111" spans="1:35" ht="18.75" customHeight="1">
      <c r="A111" s="134"/>
      <c r="B111" s="134"/>
      <c r="C111" s="134"/>
      <c r="D111" s="134"/>
      <c r="E111" s="3416" t="str">
        <f>IF(项目基本情况!E9="抵押净值",IF(OR(项目基本情况!E8="已注销",项目基本情况!E8="房地产抵押价值"),"4.抵押净值","5.抵押净值"),"——")</f>
        <v>——</v>
      </c>
      <c r="F111" s="3383"/>
      <c r="G111" s="1982" t="s">
        <v>2058</v>
      </c>
      <c r="H111" s="2789" t="str">
        <f>IF(E111="——","——",N59)</f>
        <v>——</v>
      </c>
      <c r="I111" s="134"/>
    </row>
    <row r="112" spans="1:35" ht="18.75" customHeight="1" thickBot="1">
      <c r="A112" s="134"/>
      <c r="B112" s="134"/>
      <c r="C112" s="134"/>
      <c r="D112" s="134"/>
      <c r="E112" s="3417"/>
      <c r="F112" s="3418"/>
      <c r="G112" s="1985" t="s">
        <v>2060</v>
      </c>
      <c r="H112" s="2793" t="str">
        <f>IF(E111="——","——",N61)</f>
        <v>——</v>
      </c>
      <c r="I112" s="134"/>
    </row>
    <row r="113" spans="1:27" ht="18.75" customHeight="1">
      <c r="A113" s="134"/>
      <c r="B113" s="134"/>
      <c r="C113" s="134"/>
      <c r="D113" s="134"/>
      <c r="E113" s="3386" t="s">
        <v>2066</v>
      </c>
      <c r="F113" s="3386"/>
      <c r="G113" s="3386"/>
      <c r="H113" s="3386"/>
      <c r="I113" s="134"/>
    </row>
    <row r="114" spans="1:27" ht="3.75" customHeight="1">
      <c r="A114" s="1902"/>
      <c r="B114" s="1902"/>
      <c r="C114" s="1902"/>
      <c r="D114" s="1902"/>
      <c r="E114" s="1964"/>
      <c r="F114" s="1964"/>
      <c r="G114" s="1964"/>
      <c r="H114" s="1964"/>
      <c r="I114" s="1902"/>
    </row>
    <row r="115" spans="1:27" ht="18.75" customHeight="1">
      <c r="A115" s="3399" t="s">
        <v>2068</v>
      </c>
      <c r="B115" s="3400"/>
      <c r="C115" s="3400"/>
      <c r="D115" s="3400"/>
      <c r="E115" s="3400"/>
      <c r="F115" s="3400"/>
      <c r="G115" s="3400"/>
      <c r="H115" s="3400"/>
      <c r="I115" s="3401"/>
    </row>
    <row r="116" spans="1:27" ht="27" customHeight="1">
      <c r="A116" s="3352" t="s">
        <v>2069</v>
      </c>
      <c r="B116" s="3387" t="s">
        <v>2070</v>
      </c>
      <c r="C116" s="3387" t="s">
        <v>2071</v>
      </c>
      <c r="D116" s="3403" t="s">
        <v>2072</v>
      </c>
      <c r="E116" s="3404"/>
      <c r="F116" s="3395" t="s">
        <v>2073</v>
      </c>
      <c r="G116" s="3395"/>
      <c r="H116" s="3352" t="s">
        <v>2074</v>
      </c>
      <c r="I116" s="3352"/>
    </row>
    <row r="117" spans="1:27" ht="18.75" customHeight="1">
      <c r="A117" s="3352"/>
      <c r="B117" s="3388"/>
      <c r="C117" s="3388"/>
      <c r="D117" s="2520" t="s">
        <v>2075</v>
      </c>
      <c r="E117" s="2520" t="s">
        <v>2076</v>
      </c>
      <c r="F117" s="2520" t="s">
        <v>2075</v>
      </c>
      <c r="G117" s="2520" t="s">
        <v>2077</v>
      </c>
      <c r="H117" s="2520" t="s">
        <v>2075</v>
      </c>
      <c r="I117" s="2520" t="s">
        <v>2077</v>
      </c>
    </row>
    <row r="118" spans="1:27" ht="24.75" customHeight="1">
      <c r="A118" s="2794" t="str">
        <f>项目基本情况!S2</f>
        <v>房地产</v>
      </c>
      <c r="B118" s="2520">
        <f>M18</f>
        <v>120.46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105</v>
      </c>
      <c r="I118" s="2520">
        <f ca="1">ROUND(IF(D32="楼面单价",C32,H118*10000/B118),0)</f>
        <v>8717</v>
      </c>
    </row>
    <row r="119" spans="1:27" ht="18.75" customHeight="1">
      <c r="A119" s="3352" t="s">
        <v>2078</v>
      </c>
      <c r="B119" s="3352"/>
      <c r="C119" s="3352"/>
      <c r="D119" s="3392" t="e">
        <f ca="1">NUMBERSTRING(INT(D118*10000),2)&amp;"元整"</f>
        <v>#REF!</v>
      </c>
      <c r="E119" s="3394"/>
      <c r="F119" s="3392" t="e">
        <f ca="1">NUMBERSTRING(INT(F118*10000),2)&amp;"元整"</f>
        <v>#REF!</v>
      </c>
      <c r="G119" s="3394"/>
      <c r="H119" s="3392" t="str">
        <f ca="1">NUMBERSTRING(INT(H118*10000),2)&amp;"元整"</f>
        <v>壹佰零伍万元整</v>
      </c>
      <c r="I119" s="3394"/>
    </row>
    <row r="120" spans="1:27" ht="18.75" customHeight="1">
      <c r="A120" s="3419" t="str">
        <f>IF(项目基本情况!B9="房地产市场价值","",MID(E103,3,LEN(E103)-2))</f>
        <v>估价师知悉的法定优先受偿款</v>
      </c>
      <c r="B120" s="3420"/>
      <c r="C120" s="3421"/>
      <c r="D120" s="3419">
        <f>H103</f>
        <v>0</v>
      </c>
      <c r="E120" s="3420"/>
      <c r="F120" s="3420"/>
      <c r="G120" s="3420"/>
      <c r="H120" s="3420"/>
      <c r="I120" s="342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96" t="s">
        <v>2078</v>
      </c>
      <c r="B121" s="3397"/>
      <c r="C121" s="3398"/>
      <c r="D121" s="3392" t="str">
        <f>IF(D120=0,"零元整",NUMBERSTRING(INT(D120*10000),2)&amp;"元整")</f>
        <v>零元整</v>
      </c>
      <c r="E121" s="3393"/>
      <c r="F121" s="3393"/>
      <c r="G121" s="3393"/>
      <c r="H121" s="3393"/>
      <c r="I121" s="3394"/>
      <c r="AA121" s="734"/>
    </row>
    <row r="122" spans="1:27" ht="18.75" customHeight="1">
      <c r="A122" s="3383" t="str">
        <f>IF(项目基本情况!B9="房地产市场价值","",MID(E107,3,LEN(E107)-2))</f>
        <v>房地产抵押价值</v>
      </c>
      <c r="B122" s="3383"/>
      <c r="C122" s="3383"/>
      <c r="D122" s="3419">
        <f ca="1">H107</f>
        <v>105</v>
      </c>
      <c r="E122" s="3420"/>
      <c r="F122" s="3420"/>
      <c r="G122" s="3420"/>
      <c r="H122" s="3420"/>
      <c r="I122" s="3421"/>
      <c r="AA122" s="734"/>
    </row>
    <row r="123" spans="1:27" ht="18.75" customHeight="1">
      <c r="A123" s="3352" t="s">
        <v>2078</v>
      </c>
      <c r="B123" s="3352"/>
      <c r="C123" s="3352"/>
      <c r="D123" s="3392" t="str">
        <f ca="1">NUMBERSTRING(INT(D122*10000),2)&amp;"元整"</f>
        <v>壹佰零伍万元整</v>
      </c>
      <c r="E123" s="3393"/>
      <c r="F123" s="3393"/>
      <c r="G123" s="3393"/>
      <c r="H123" s="3393"/>
      <c r="I123" s="3394"/>
      <c r="AA123" s="734"/>
    </row>
    <row r="124" spans="1:27" ht="18.75" customHeight="1">
      <c r="A124" s="3383" t="str">
        <f>IF(项目基本情况!B9="房地产市场价值","",MID(E109,3,LEN(E109)-2))</f>
        <v/>
      </c>
      <c r="B124" s="3383"/>
      <c r="C124" s="3383"/>
      <c r="D124" s="3419" t="str">
        <f>H109</f>
        <v>——</v>
      </c>
      <c r="E124" s="3420"/>
      <c r="F124" s="3420"/>
      <c r="G124" s="3420"/>
      <c r="H124" s="3420"/>
      <c r="I124" s="3421"/>
      <c r="AA124" s="734"/>
    </row>
    <row r="125" spans="1:27" ht="18.75" customHeight="1">
      <c r="A125" s="3352" t="s">
        <v>2078</v>
      </c>
      <c r="B125" s="3352"/>
      <c r="C125" s="3352"/>
      <c r="D125" s="3392" t="e">
        <f>NUMBERSTRING(INT(D124*10000),2)&amp;"元整"</f>
        <v>#VALUE!</v>
      </c>
      <c r="E125" s="3393"/>
      <c r="F125" s="3393"/>
      <c r="G125" s="3393"/>
      <c r="H125" s="3393"/>
      <c r="I125" s="3394"/>
      <c r="AA125" s="734"/>
    </row>
    <row r="126" spans="1:27" ht="18.75" customHeight="1">
      <c r="A126" s="3383" t="str">
        <f>IF(项目基本情况!B9="房地产市场价值","",MID(E111,3,LEN(E111)-2))</f>
        <v/>
      </c>
      <c r="B126" s="3383"/>
      <c r="C126" s="3383"/>
      <c r="D126" s="3419" t="str">
        <f>H111</f>
        <v>——</v>
      </c>
      <c r="E126" s="3420"/>
      <c r="F126" s="3420"/>
      <c r="G126" s="3420"/>
      <c r="H126" s="3420"/>
      <c r="I126" s="3421"/>
      <c r="AA126" s="734"/>
    </row>
    <row r="127" spans="1:27" ht="18.75" customHeight="1">
      <c r="A127" s="3352" t="s">
        <v>2078</v>
      </c>
      <c r="B127" s="3352"/>
      <c r="C127" s="3352"/>
      <c r="D127" s="3392" t="e">
        <f>NUMBERSTRING(INT(D126*10000),2)&amp;"元整"</f>
        <v>#VALUE!</v>
      </c>
      <c r="E127" s="3393"/>
      <c r="F127" s="3393"/>
      <c r="G127" s="3393"/>
      <c r="H127" s="3393"/>
      <c r="I127" s="3394"/>
      <c r="AA127" s="734"/>
    </row>
    <row r="128" spans="1:27" ht="21.75" customHeight="1">
      <c r="A128" s="3402" t="s">
        <v>2079</v>
      </c>
      <c r="B128" s="3402"/>
      <c r="C128" s="3402"/>
      <c r="D128" s="3402"/>
      <c r="E128" s="3402"/>
      <c r="F128" s="3402"/>
      <c r="G128" s="3402"/>
      <c r="H128" s="3402"/>
      <c r="I128" s="3402"/>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7</v>
      </c>
    </row>
    <row r="2" spans="1:9" s="206" customFormat="1" ht="18" customHeight="1">
      <c r="A2" s="207" t="s">
        <v>2088</v>
      </c>
      <c r="B2" s="208">
        <f ca="1">IF(D2="——",C52,C52-E2)</f>
        <v>32937</v>
      </c>
      <c r="C2" s="205" t="s">
        <v>2089</v>
      </c>
      <c r="D2" s="2008" t="s">
        <v>70</v>
      </c>
      <c r="E2" s="1302"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2734269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24092</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24092</v>
      </c>
      <c r="D8" s="228"/>
      <c r="E8" s="226"/>
      <c r="F8" s="227"/>
      <c r="G8" s="2011"/>
    </row>
    <row r="9" spans="1:9" s="220" customFormat="1" ht="13.5" customHeight="1">
      <c r="A9" s="887" t="s">
        <v>800</v>
      </c>
      <c r="B9" s="230" t="s">
        <v>2104</v>
      </c>
      <c r="C9" s="231">
        <f ca="1">ROUND(D9*E9/10000,0)</f>
        <v>2</v>
      </c>
      <c r="D9" s="954">
        <f ca="1">IF(B1="",'数据-汇总表'!E5,IF(INDIRECT("'数据-取费表'!c"&amp;$G$1)="住宅",INDIRECT("'数据-取费表'!k"&amp;$G$1),0))</f>
        <v>120.46</v>
      </c>
      <c r="E9" s="231">
        <f>'数据-取费表'!B27</f>
        <v>200</v>
      </c>
      <c r="F9" s="227"/>
      <c r="G9" s="2012"/>
      <c r="H9" s="1270"/>
      <c r="I9" s="2013"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120.46</v>
      </c>
      <c r="E19" s="217">
        <f>'数据-取费表'!B31</f>
        <v>200</v>
      </c>
      <c r="F19" s="237"/>
      <c r="G19" s="2011"/>
    </row>
    <row r="20" spans="1:7" s="220" customFormat="1" ht="13.5" customHeight="1">
      <c r="A20" s="261" t="s">
        <v>2119</v>
      </c>
      <c r="B20" s="216" t="s">
        <v>2120</v>
      </c>
      <c r="C20" s="238">
        <f ca="1">ROUND((C5+C19)*F20,0)</f>
        <v>482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2086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6">
        <f ca="1">ROUND(IF('数据-取费表'!B22&lt;=1,C5*F22*'数据-取费表'!B23,C5*(POWER((1+F22),'数据-取费表'!B23)-1)),0)</f>
        <v>2066</v>
      </c>
      <c r="D23" s="244"/>
      <c r="E23" s="244"/>
      <c r="F23" s="245"/>
      <c r="G23" s="246" t="s">
        <v>2130</v>
      </c>
    </row>
    <row r="24" spans="1:7" s="220" customFormat="1" ht="13.5" customHeight="1">
      <c r="A24" s="888"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6">
        <f ca="1">ROUND(IF('数据-取费表'!B22&lt;=1,C20*F22*'数据-取费表'!B23/2,C20*(POWER((1+F22),'数据-取费表'!B23/2)-1)),0)</f>
        <v>20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3686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3686</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32883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36</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120.46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2</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435" t="s">
        <v>2170</v>
      </c>
    </row>
    <row r="43" spans="1:7" ht="13.5" customHeight="1">
      <c r="A43" s="888" t="s">
        <v>792</v>
      </c>
      <c r="B43" s="221" t="s">
        <v>2171</v>
      </c>
      <c r="C43" s="244">
        <f ca="1">ROUND(IF('数据-取费表'!B22&lt;=1,C39*F22*'数据-取费表'!B21/2,C39*(POWER((1+F22),'数据-取费表'!B21/2)-1)),0)</f>
        <v>0</v>
      </c>
      <c r="D43" s="244"/>
      <c r="E43" s="244"/>
      <c r="F43" s="245"/>
      <c r="G43" s="3436"/>
    </row>
    <row r="44" spans="1:7" ht="13.5" customHeight="1">
      <c r="A44" s="888" t="s">
        <v>793</v>
      </c>
      <c r="B44" s="221" t="s">
        <v>2172</v>
      </c>
      <c r="C44" s="244">
        <f ca="1">ROUND(IF('数据-取费表'!B22&lt;=1,C40*F22*'数据-取费表'!B21/2,C40*(POWER((1+F22),'数据-取费表'!B21/2)-1)),4)</f>
        <v>8.0000000000000004E-4</v>
      </c>
      <c r="D44" s="244"/>
      <c r="E44" s="244"/>
      <c r="F44" s="245"/>
      <c r="G44" s="3437"/>
    </row>
    <row r="45" spans="1:7" s="220" customFormat="1" ht="13.5" customHeight="1">
      <c r="A45" s="261" t="s">
        <v>2173</v>
      </c>
      <c r="B45" s="250" t="s">
        <v>2139</v>
      </c>
      <c r="C45" s="251">
        <f ca="1">C46</f>
        <v>6</v>
      </c>
      <c r="D45" s="241">
        <f ca="1">C47</f>
        <v>3.0000000000000001E-3</v>
      </c>
      <c r="E45" s="242" t="s">
        <v>2165</v>
      </c>
      <c r="F45" s="2505">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55</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54</v>
      </c>
      <c r="D51" s="238"/>
      <c r="E51" s="238"/>
      <c r="F51" s="270"/>
      <c r="G51" s="240" t="s">
        <v>2186</v>
      </c>
    </row>
    <row r="52" spans="1:7" s="214" customFormat="1" ht="16.5" thickBot="1">
      <c r="A52" s="271" t="s">
        <v>2187</v>
      </c>
      <c r="B52" s="272"/>
      <c r="C52" s="273">
        <f ca="1">C31+C51</f>
        <v>32937</v>
      </c>
      <c r="D52" s="272"/>
      <c r="E52" s="272"/>
      <c r="F52" s="272"/>
      <c r="G52" s="274"/>
    </row>
    <row r="55" spans="1:7" ht="15">
      <c r="B55" s="276" t="s">
        <v>2188</v>
      </c>
      <c r="C55" s="277"/>
    </row>
    <row r="56" spans="1:7">
      <c r="B56" s="279" t="s">
        <v>1418</v>
      </c>
      <c r="C56" s="281">
        <f ca="1">1-C57</f>
        <v>0.998</v>
      </c>
    </row>
    <row r="57" spans="1:7">
      <c r="B57" s="279" t="s">
        <v>1419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6" t="str">
        <f>项目基本情况!B1</f>
        <v>房地产抵押价值预评估</v>
      </c>
      <c r="C37" s="3246"/>
      <c r="D37" s="3246"/>
      <c r="E37" s="3246"/>
      <c r="F37" s="3246"/>
      <c r="G37" s="3246"/>
      <c r="H37" s="3246"/>
      <c r="I37" s="3246"/>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60" zoomScaleSheetLayoutView="80" workbookViewId="0">
      <selection activeCell="M51" sqref="M5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2"/>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f>IF(C2="——",ROUND(C49*D3/10000,0),ROUND(C49*D3/10000,0)-D2)</f>
        <v>124</v>
      </c>
      <c r="C2" s="2036" t="s">
        <v>70</v>
      </c>
      <c r="D2" s="1246" t="e">
        <f ca="1">SUMIF(INDIRECT("'"&amp;F2&amp;"'"&amp;"!A:A"),"承租人权益价值",INDIRECT("'"&amp;F2&amp;"'"&amp;"!c:c"))</f>
        <v>#REF!</v>
      </c>
      <c r="E2" s="2037" t="s">
        <v>2294</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10307</v>
      </c>
      <c r="C3" s="360" t="s">
        <v>2295</v>
      </c>
      <c r="D3" s="359">
        <f>IF(D1="",'数据-汇总表'!E3,SUMIF('数据-汇总表'!$C19:$C33,D1,'数据-汇总表'!$E19:$E33))</f>
        <v>120.46</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1"/>
    </row>
    <row r="4" spans="1:29" ht="15">
      <c r="A4" s="361" t="s">
        <v>2296</v>
      </c>
      <c r="B4" s="362"/>
      <c r="C4" s="3456" t="s">
        <v>2297</v>
      </c>
      <c r="D4" s="3457"/>
      <c r="E4" s="3458" t="s">
        <v>2298</v>
      </c>
      <c r="F4" s="3459"/>
      <c r="G4" s="3456" t="s">
        <v>2299</v>
      </c>
      <c r="H4" s="3457"/>
      <c r="I4" s="3456" t="s">
        <v>2300</v>
      </c>
      <c r="J4" s="3457"/>
      <c r="K4" s="2044" t="s">
        <v>2301</v>
      </c>
      <c r="L4" s="2912"/>
      <c r="M4" s="2913"/>
      <c r="N4" s="2913"/>
      <c r="O4" s="2913"/>
      <c r="P4" s="3460" t="s">
        <v>2302</v>
      </c>
      <c r="Q4" s="3461"/>
      <c r="R4" s="3466" t="s">
        <v>2298</v>
      </c>
      <c r="S4" s="3467"/>
      <c r="T4" s="3466" t="s">
        <v>2299</v>
      </c>
      <c r="U4" s="3467"/>
      <c r="V4" s="3472" t="s">
        <v>2300</v>
      </c>
      <c r="W4" s="3472"/>
      <c r="X4" s="1508"/>
      <c r="Y4" s="3466" t="s">
        <v>2302</v>
      </c>
      <c r="Z4" s="3467"/>
      <c r="AA4" s="3453" t="s">
        <v>2298</v>
      </c>
      <c r="AB4" s="3453" t="s">
        <v>2299</v>
      </c>
      <c r="AC4" s="3453" t="s">
        <v>2300</v>
      </c>
    </row>
    <row r="5" spans="1:29" ht="15">
      <c r="A5" s="364"/>
      <c r="B5" s="365"/>
      <c r="C5" s="3475" t="s">
        <v>2303</v>
      </c>
      <c r="D5" s="3476"/>
      <c r="E5" s="3482" t="s">
        <v>2304</v>
      </c>
      <c r="F5" s="3483"/>
      <c r="G5" s="3475" t="s">
        <v>2305</v>
      </c>
      <c r="H5" s="3476"/>
      <c r="I5" s="3475" t="s">
        <v>2306</v>
      </c>
      <c r="J5" s="3476"/>
      <c r="K5" s="2045"/>
      <c r="L5" s="2912"/>
      <c r="M5" s="2913"/>
      <c r="N5" s="2913"/>
      <c r="O5" s="2913"/>
      <c r="P5" s="3462"/>
      <c r="Q5" s="3463"/>
      <c r="R5" s="3468"/>
      <c r="S5" s="3469"/>
      <c r="T5" s="3468"/>
      <c r="U5" s="3469"/>
      <c r="V5" s="3472"/>
      <c r="W5" s="3472"/>
      <c r="X5" s="1508"/>
      <c r="Y5" s="3468"/>
      <c r="Z5" s="3469"/>
      <c r="AA5" s="3454"/>
      <c r="AB5" s="3454"/>
      <c r="AC5" s="3454"/>
    </row>
    <row r="6" spans="1:29" ht="15.75" thickBot="1">
      <c r="A6" s="366"/>
      <c r="B6" s="367"/>
      <c r="C6" s="3473" t="s">
        <v>2307</v>
      </c>
      <c r="D6" s="3474"/>
      <c r="E6" s="3480" t="s">
        <v>2307</v>
      </c>
      <c r="F6" s="3481"/>
      <c r="G6" s="3473" t="s">
        <v>2307</v>
      </c>
      <c r="H6" s="3474"/>
      <c r="I6" s="3473" t="s">
        <v>2307</v>
      </c>
      <c r="J6" s="3474"/>
      <c r="K6" s="2045" t="s">
        <v>2308</v>
      </c>
      <c r="L6" s="2912"/>
      <c r="M6" s="2913"/>
      <c r="N6" s="2913"/>
      <c r="O6" s="2913"/>
      <c r="P6" s="3464"/>
      <c r="Q6" s="3465"/>
      <c r="R6" s="3468"/>
      <c r="S6" s="3469"/>
      <c r="T6" s="3470"/>
      <c r="U6" s="3471"/>
      <c r="V6" s="3472"/>
      <c r="W6" s="3472"/>
      <c r="X6" s="1508"/>
      <c r="Y6" s="3470"/>
      <c r="Z6" s="3471"/>
      <c r="AA6" s="3455"/>
      <c r="AB6" s="3455"/>
      <c r="AC6" s="3455"/>
    </row>
    <row r="7" spans="1:29" s="113" customFormat="1" ht="15.75" thickBot="1">
      <c r="A7" s="368" t="s">
        <v>2309</v>
      </c>
      <c r="B7" s="369"/>
      <c r="C7" s="370">
        <f>'数据-取费表'!B2</f>
        <v>44615</v>
      </c>
      <c r="D7" s="371">
        <v>100</v>
      </c>
      <c r="E7" s="372">
        <f>C7</f>
        <v>44615</v>
      </c>
      <c r="F7" s="373">
        <f>SUMIF(58:58,YEAR(E7)&amp;"-"&amp;MONTH(E7),59:59)</f>
        <v>100</v>
      </c>
      <c r="G7" s="372">
        <f>C7</f>
        <v>44615</v>
      </c>
      <c r="H7" s="371">
        <f>SUMIF(58:58,YEAR(G7)&amp;"-"&amp;MONTH(G7),59:59)</f>
        <v>100</v>
      </c>
      <c r="I7" s="372">
        <f>C7</f>
        <v>44615</v>
      </c>
      <c r="J7" s="371">
        <f>SUMIF(58:58,YEAR(I7)&amp;"-"&amp;MONTH(I7),59:59)</f>
        <v>100</v>
      </c>
      <c r="K7" s="2046"/>
      <c r="L7" s="2914"/>
      <c r="M7" s="2915"/>
      <c r="N7" s="2915"/>
      <c r="O7" s="2915"/>
      <c r="P7" s="3477" t="s">
        <v>2310</v>
      </c>
      <c r="Q7" s="3479"/>
      <c r="R7" s="710" t="s">
        <v>23</v>
      </c>
      <c r="S7" s="711">
        <f t="shared" ref="S7:S15" si="0">F7</f>
        <v>100</v>
      </c>
      <c r="T7" s="710" t="s">
        <v>23</v>
      </c>
      <c r="U7" s="711">
        <f t="shared" ref="U7:U15" si="1">H7</f>
        <v>100</v>
      </c>
      <c r="V7" s="710" t="s">
        <v>23</v>
      </c>
      <c r="W7" s="711">
        <f t="shared" ref="W7:W15" si="2">J7</f>
        <v>100</v>
      </c>
      <c r="X7" s="712"/>
      <c r="Y7" s="3477" t="s">
        <v>2310</v>
      </c>
      <c r="Z7" s="3478"/>
      <c r="AA7" s="713">
        <f>D7/F7</f>
        <v>1</v>
      </c>
      <c r="AB7" s="713">
        <f>D7/H7</f>
        <v>1</v>
      </c>
      <c r="AC7" s="713">
        <f>D7/J7</f>
        <v>1</v>
      </c>
    </row>
    <row r="8" spans="1:29" s="113" customFormat="1" ht="15.75" thickBot="1">
      <c r="A8" s="368" t="s">
        <v>2311</v>
      </c>
      <c r="B8" s="369"/>
      <c r="C8" s="374" t="s">
        <v>2312</v>
      </c>
      <c r="D8" s="371">
        <v>100</v>
      </c>
      <c r="E8" s="2047" t="s">
        <v>3127</v>
      </c>
      <c r="F8" s="373">
        <f>SUMIF(61:61,E8,62:62)-SUMIF(61:61,C8,62:62)+100</f>
        <v>100</v>
      </c>
      <c r="G8" s="374" t="s">
        <v>3127</v>
      </c>
      <c r="H8" s="371">
        <f>SUMIF(61:61,G8,62:62)-SUMIF(61:61,C8,62:62)+100</f>
        <v>100</v>
      </c>
      <c r="I8" s="2047" t="s">
        <v>3127</v>
      </c>
      <c r="J8" s="371">
        <f>SUMIF(61:61,I8,62:62)-SUMIF(61:61,C8,62:62)+100</f>
        <v>100</v>
      </c>
      <c r="K8" s="2046"/>
      <c r="L8" s="2914"/>
      <c r="M8" s="2915"/>
      <c r="N8" s="2915"/>
      <c r="O8" s="2915"/>
      <c r="P8" s="3477" t="s">
        <v>2313</v>
      </c>
      <c r="Q8" s="3478"/>
      <c r="R8" s="710" t="s">
        <v>23</v>
      </c>
      <c r="S8" s="711">
        <f t="shared" si="0"/>
        <v>100</v>
      </c>
      <c r="T8" s="710" t="s">
        <v>23</v>
      </c>
      <c r="U8" s="711">
        <f t="shared" si="1"/>
        <v>100</v>
      </c>
      <c r="V8" s="710" t="s">
        <v>23</v>
      </c>
      <c r="W8" s="711">
        <f t="shared" si="2"/>
        <v>100</v>
      </c>
      <c r="X8" s="712"/>
      <c r="Y8" s="3477" t="s">
        <v>2313</v>
      </c>
      <c r="Z8" s="3478"/>
      <c r="AA8" s="713">
        <f t="shared" ref="AA8:AA19" si="3">D8/F8</f>
        <v>1</v>
      </c>
      <c r="AB8" s="713">
        <f t="shared" ref="AB8:AB19" si="4">D8/H8</f>
        <v>1</v>
      </c>
      <c r="AC8" s="713">
        <f t="shared" ref="AC8:AC19" si="5">D8/J8</f>
        <v>1</v>
      </c>
    </row>
    <row r="9" spans="1:29" s="113" customFormat="1">
      <c r="A9" s="375" t="s">
        <v>2314</v>
      </c>
      <c r="B9" s="67" t="s">
        <v>2315</v>
      </c>
      <c r="C9" s="3217" t="s">
        <v>3175</v>
      </c>
      <c r="D9" s="131">
        <v>100</v>
      </c>
      <c r="E9" s="3218" t="s">
        <v>3175</v>
      </c>
      <c r="F9" s="378">
        <f>SUMIF(63:63,E9,64:64)-SUMIF(63:63,C9,64:64)+100</f>
        <v>100</v>
      </c>
      <c r="G9" s="3219" t="s">
        <v>3175</v>
      </c>
      <c r="H9" s="131">
        <f>SUMIF(63:63,G9,64:64)-SUMIF(63:63,C9,64:64)+100</f>
        <v>100</v>
      </c>
      <c r="I9" s="3219" t="s">
        <v>3175</v>
      </c>
      <c r="J9" s="131">
        <f>SUMIF(63:63,I9,64:64)-SUMIF(63:63,C9,64:64)+100</f>
        <v>100</v>
      </c>
      <c r="K9" s="2046"/>
      <c r="L9" s="2914"/>
      <c r="M9" s="2915"/>
      <c r="N9" s="2915"/>
      <c r="O9" s="2915"/>
      <c r="P9" s="3452"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52"/>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18"/>
      <c r="M11" s="2913"/>
      <c r="N11" s="2913"/>
      <c r="O11" s="2913"/>
      <c r="P11" s="3452"/>
      <c r="Q11" s="1496" t="str">
        <f t="shared" si="6"/>
        <v>容积率</v>
      </c>
      <c r="R11" s="710" t="s">
        <v>21</v>
      </c>
      <c r="S11" s="711">
        <f t="shared" si="0"/>
        <v>100</v>
      </c>
      <c r="T11" s="710" t="s">
        <v>21</v>
      </c>
      <c r="U11" s="711">
        <f t="shared" si="1"/>
        <v>100</v>
      </c>
      <c r="V11" s="710" t="s">
        <v>21</v>
      </c>
      <c r="W11" s="711">
        <f t="shared" si="2"/>
        <v>100</v>
      </c>
      <c r="X11" s="712"/>
      <c r="Y11" s="3339"/>
      <c r="Z11" s="55" t="str">
        <f t="shared" si="7"/>
        <v>容积率</v>
      </c>
      <c r="AA11" s="713">
        <f t="shared" si="3"/>
        <v>1</v>
      </c>
      <c r="AB11" s="713">
        <f t="shared" si="4"/>
        <v>1</v>
      </c>
      <c r="AC11" s="713">
        <f t="shared" si="5"/>
        <v>1</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52"/>
      <c r="Q12" s="1496">
        <f t="shared" si="6"/>
        <v>111</v>
      </c>
      <c r="R12" s="710" t="s">
        <v>21</v>
      </c>
      <c r="S12" s="711">
        <f t="shared" si="0"/>
        <v>100</v>
      </c>
      <c r="T12" s="710" t="s">
        <v>21</v>
      </c>
      <c r="U12" s="711">
        <f t="shared" si="1"/>
        <v>100</v>
      </c>
      <c r="V12" s="710" t="s">
        <v>21</v>
      </c>
      <c r="W12" s="711">
        <f t="shared" si="2"/>
        <v>100</v>
      </c>
      <c r="X12" s="712"/>
      <c r="Y12" s="333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52"/>
      <c r="Q13" s="1496">
        <f t="shared" si="6"/>
        <v>111</v>
      </c>
      <c r="R13" s="710" t="s">
        <v>21</v>
      </c>
      <c r="S13" s="711">
        <f t="shared" si="0"/>
        <v>100</v>
      </c>
      <c r="T13" s="710" t="s">
        <v>21</v>
      </c>
      <c r="U13" s="711">
        <f t="shared" si="1"/>
        <v>100</v>
      </c>
      <c r="V13" s="710" t="s">
        <v>21</v>
      </c>
      <c r="W13" s="711">
        <f t="shared" si="2"/>
        <v>100</v>
      </c>
      <c r="X13" s="712"/>
      <c r="Y13" s="333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52"/>
      <c r="Q14" s="1496">
        <f t="shared" si="6"/>
        <v>111</v>
      </c>
      <c r="R14" s="710" t="s">
        <v>21</v>
      </c>
      <c r="S14" s="711">
        <f t="shared" si="0"/>
        <v>100</v>
      </c>
      <c r="T14" s="710" t="s">
        <v>21</v>
      </c>
      <c r="U14" s="711">
        <f t="shared" si="1"/>
        <v>100</v>
      </c>
      <c r="V14" s="710" t="s">
        <v>21</v>
      </c>
      <c r="W14" s="711">
        <f t="shared" si="2"/>
        <v>100</v>
      </c>
      <c r="X14" s="712"/>
      <c r="Y14" s="3339"/>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50" t="s">
        <v>2321</v>
      </c>
      <c r="Q15" s="1505" t="str">
        <f t="shared" si="6"/>
        <v>居住社区成熟度</v>
      </c>
      <c r="R15" s="714" t="s">
        <v>21</v>
      </c>
      <c r="S15" s="715">
        <f t="shared" si="0"/>
        <v>100</v>
      </c>
      <c r="T15" s="714" t="s">
        <v>21</v>
      </c>
      <c r="U15" s="715">
        <f t="shared" si="1"/>
        <v>100</v>
      </c>
      <c r="V15" s="714" t="s">
        <v>21</v>
      </c>
      <c r="W15" s="715">
        <f t="shared" si="2"/>
        <v>100</v>
      </c>
      <c r="X15" s="1508"/>
      <c r="Y15" s="3443" t="s">
        <v>2321</v>
      </c>
      <c r="Z15" s="1509" t="str">
        <f t="shared" si="7"/>
        <v>居住社区成熟度</v>
      </c>
      <c r="AA15" s="1506">
        <f t="shared" si="3"/>
        <v>1</v>
      </c>
      <c r="AB15" s="1506">
        <f t="shared" si="4"/>
        <v>1</v>
      </c>
      <c r="AC15" s="1506">
        <f t="shared" si="5"/>
        <v>1</v>
      </c>
    </row>
    <row r="16" spans="1:29" ht="15">
      <c r="A16" s="387"/>
      <c r="B16" s="405"/>
      <c r="C16" s="3220" t="s">
        <v>3176</v>
      </c>
      <c r="D16" s="407"/>
      <c r="E16" s="3221" t="s">
        <v>3176</v>
      </c>
      <c r="F16" s="407"/>
      <c r="G16" s="3222" t="s">
        <v>3176</v>
      </c>
      <c r="H16" s="409"/>
      <c r="I16" s="3222" t="s">
        <v>3176</v>
      </c>
      <c r="J16" s="407"/>
      <c r="K16" s="2054"/>
      <c r="L16" s="2919"/>
      <c r="M16" s="2913"/>
      <c r="N16" s="2913"/>
      <c r="O16" s="2913"/>
      <c r="P16" s="3451"/>
      <c r="Q16" s="1505"/>
      <c r="R16" s="714"/>
      <c r="S16" s="715"/>
      <c r="T16" s="714"/>
      <c r="U16" s="715"/>
      <c r="V16" s="714"/>
      <c r="W16" s="715"/>
      <c r="X16" s="1508"/>
      <c r="Y16" s="344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51"/>
      <c r="Q17" s="1505" t="str">
        <f>B17</f>
        <v>交通便捷度</v>
      </c>
      <c r="R17" s="714" t="s">
        <v>21</v>
      </c>
      <c r="S17" s="715">
        <f>F17</f>
        <v>100</v>
      </c>
      <c r="T17" s="714" t="s">
        <v>21</v>
      </c>
      <c r="U17" s="715">
        <f>H17</f>
        <v>100</v>
      </c>
      <c r="V17" s="714" t="s">
        <v>21</v>
      </c>
      <c r="W17" s="715">
        <f>J17</f>
        <v>100</v>
      </c>
      <c r="X17" s="1508"/>
      <c r="Y17" s="3444"/>
      <c r="Z17" s="1509" t="str">
        <f>Q17</f>
        <v>交通便捷度</v>
      </c>
      <c r="AA17" s="1506">
        <f t="shared" si="3"/>
        <v>1</v>
      </c>
      <c r="AB17" s="1506">
        <f t="shared" si="4"/>
        <v>1</v>
      </c>
      <c r="AC17" s="1506">
        <f t="shared" si="5"/>
        <v>1</v>
      </c>
    </row>
    <row r="18" spans="1:29" ht="15">
      <c r="A18" s="387"/>
      <c r="B18" s="415"/>
      <c r="C18" s="3223" t="s">
        <v>3176</v>
      </c>
      <c r="D18" s="409"/>
      <c r="E18" s="3224" t="s">
        <v>3176</v>
      </c>
      <c r="F18" s="409"/>
      <c r="G18" s="3225" t="s">
        <v>3176</v>
      </c>
      <c r="H18" s="407"/>
      <c r="I18" s="3225" t="s">
        <v>3176</v>
      </c>
      <c r="J18" s="407"/>
      <c r="K18" s="2054"/>
      <c r="L18" s="2919"/>
      <c r="M18" s="2913"/>
      <c r="N18" s="2913"/>
      <c r="O18" s="2913"/>
      <c r="P18" s="3451"/>
      <c r="Q18" s="1505"/>
      <c r="R18" s="714"/>
      <c r="S18" s="715"/>
      <c r="T18" s="714"/>
      <c r="U18" s="715"/>
      <c r="V18" s="714"/>
      <c r="W18" s="715"/>
      <c r="X18" s="1508"/>
      <c r="Y18" s="3444"/>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51"/>
      <c r="Q19" s="1505" t="str">
        <f>B19</f>
        <v>公共配套设施</v>
      </c>
      <c r="R19" s="714" t="s">
        <v>21</v>
      </c>
      <c r="S19" s="715">
        <f>F19</f>
        <v>100</v>
      </c>
      <c r="T19" s="714" t="s">
        <v>21</v>
      </c>
      <c r="U19" s="715">
        <f>H19</f>
        <v>100</v>
      </c>
      <c r="V19" s="714" t="s">
        <v>21</v>
      </c>
      <c r="W19" s="715">
        <f>J19</f>
        <v>100</v>
      </c>
      <c r="X19" s="1508"/>
      <c r="Y19" s="3444"/>
      <c r="Z19" s="1509" t="str">
        <f>Q19</f>
        <v>公共配套设施</v>
      </c>
      <c r="AA19" s="1506">
        <f t="shared" si="3"/>
        <v>1</v>
      </c>
      <c r="AB19" s="1506">
        <f t="shared" si="4"/>
        <v>1</v>
      </c>
      <c r="AC19" s="1506">
        <f t="shared" si="5"/>
        <v>1</v>
      </c>
    </row>
    <row r="20" spans="1:29" ht="15">
      <c r="A20" s="387"/>
      <c r="B20" s="415"/>
      <c r="C20" s="3220" t="s">
        <v>3176</v>
      </c>
      <c r="D20" s="407"/>
      <c r="E20" s="3221" t="s">
        <v>3176</v>
      </c>
      <c r="F20" s="407"/>
      <c r="G20" s="3222" t="s">
        <v>3176</v>
      </c>
      <c r="H20" s="407"/>
      <c r="I20" s="3222" t="s">
        <v>3176</v>
      </c>
      <c r="J20" s="407"/>
      <c r="K20" s="2054"/>
      <c r="L20" s="2919"/>
      <c r="M20" s="2913"/>
      <c r="N20" s="2913"/>
      <c r="O20" s="2913"/>
      <c r="P20" s="3451"/>
      <c r="Q20" s="1505"/>
      <c r="R20" s="714"/>
      <c r="S20" s="715"/>
      <c r="T20" s="714"/>
      <c r="U20" s="715"/>
      <c r="V20" s="714"/>
      <c r="W20" s="715"/>
      <c r="X20" s="1508"/>
      <c r="Y20" s="3444"/>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51"/>
      <c r="Q21" s="1505" t="str">
        <f>B21</f>
        <v>基础设施水平</v>
      </c>
      <c r="R21" s="714" t="s">
        <v>17</v>
      </c>
      <c r="S21" s="715">
        <f>F21</f>
        <v>100</v>
      </c>
      <c r="T21" s="714" t="s">
        <v>17</v>
      </c>
      <c r="U21" s="715">
        <f>H21</f>
        <v>100</v>
      </c>
      <c r="V21" s="714" t="s">
        <v>17</v>
      </c>
      <c r="W21" s="715">
        <f>J21</f>
        <v>100</v>
      </c>
      <c r="X21" s="1508"/>
      <c r="Y21" s="3444"/>
      <c r="Z21" s="1509" t="str">
        <f>Q21</f>
        <v>基础设施水平</v>
      </c>
      <c r="AA21" s="1506">
        <f t="shared" ref="AA21" si="8">D21/F21</f>
        <v>1</v>
      </c>
      <c r="AB21" s="1506">
        <f t="shared" ref="AB21" si="9">D21/H21</f>
        <v>1</v>
      </c>
      <c r="AC21" s="1506">
        <f t="shared" ref="AC21" si="10">D21/J21</f>
        <v>1</v>
      </c>
    </row>
    <row r="22" spans="1:29" ht="15">
      <c r="A22" s="387"/>
      <c r="B22" s="1264"/>
      <c r="C22" s="3223" t="s">
        <v>3177</v>
      </c>
      <c r="D22" s="407"/>
      <c r="E22" s="3220" t="s">
        <v>3178</v>
      </c>
      <c r="F22" s="407"/>
      <c r="G22" s="3226" t="s">
        <v>3177</v>
      </c>
      <c r="H22" s="407"/>
      <c r="I22" s="3220" t="s">
        <v>3177</v>
      </c>
      <c r="J22" s="407"/>
      <c r="K22" s="2060"/>
      <c r="L22" s="2919"/>
      <c r="M22" s="2913"/>
      <c r="N22" s="2913"/>
      <c r="O22" s="2913"/>
      <c r="P22" s="3451"/>
      <c r="Q22" s="1505"/>
      <c r="R22" s="714"/>
      <c r="S22" s="715"/>
      <c r="T22" s="714"/>
      <c r="U22" s="715"/>
      <c r="V22" s="714"/>
      <c r="W22" s="715"/>
      <c r="X22" s="1508"/>
      <c r="Y22" s="3444"/>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51"/>
      <c r="Q23" s="1505" t="str">
        <f>B23</f>
        <v>自然及人文环境</v>
      </c>
      <c r="R23" s="714" t="s">
        <v>21</v>
      </c>
      <c r="S23" s="715">
        <f>F23</f>
        <v>100</v>
      </c>
      <c r="T23" s="714" t="s">
        <v>21</v>
      </c>
      <c r="U23" s="715">
        <f>H23</f>
        <v>100</v>
      </c>
      <c r="V23" s="714" t="s">
        <v>21</v>
      </c>
      <c r="W23" s="715">
        <f>J23</f>
        <v>100</v>
      </c>
      <c r="X23" s="1508"/>
      <c r="Y23" s="3444"/>
      <c r="Z23" s="1509" t="str">
        <f>Q23</f>
        <v>自然及人文环境</v>
      </c>
      <c r="AA23" s="1506">
        <f>D23/F23</f>
        <v>1</v>
      </c>
      <c r="AB23" s="1506">
        <f>D23/H23</f>
        <v>1</v>
      </c>
      <c r="AC23" s="1506">
        <f>D23/J23</f>
        <v>1</v>
      </c>
    </row>
    <row r="24" spans="1:29" ht="15">
      <c r="A24" s="387"/>
      <c r="B24" s="415"/>
      <c r="C24" s="3220" t="s">
        <v>3176</v>
      </c>
      <c r="D24" s="407"/>
      <c r="E24" s="3221" t="s">
        <v>3176</v>
      </c>
      <c r="F24" s="407"/>
      <c r="G24" s="3222" t="s">
        <v>3176</v>
      </c>
      <c r="H24" s="407"/>
      <c r="I24" s="3222" t="s">
        <v>3176</v>
      </c>
      <c r="J24" s="407"/>
      <c r="K24" s="2054"/>
      <c r="L24" s="2919"/>
      <c r="M24" s="2913"/>
      <c r="N24" s="2913"/>
      <c r="O24" s="2913"/>
      <c r="P24" s="3451"/>
      <c r="Q24" s="1505"/>
      <c r="R24" s="714"/>
      <c r="S24" s="715"/>
      <c r="T24" s="714"/>
      <c r="U24" s="715"/>
      <c r="V24" s="714"/>
      <c r="W24" s="715"/>
      <c r="X24" s="1508"/>
      <c r="Y24" s="3444"/>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45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44"/>
      <c r="Z25" s="1509" t="str">
        <f>Q25</f>
        <v>楼层-1</v>
      </c>
      <c r="AA25" s="1506">
        <f t="shared" ref="AA25:AA46" si="15">D25/F25</f>
        <v>1</v>
      </c>
      <c r="AB25" s="1506">
        <f t="shared" ref="AB25:AB46" si="16">D25/H25</f>
        <v>1</v>
      </c>
      <c r="AC25" s="1506">
        <f t="shared" ref="AC25:AC46" si="17">D25/J25</f>
        <v>1</v>
      </c>
    </row>
    <row r="26" spans="1:29" ht="15">
      <c r="A26" s="387"/>
      <c r="B26" s="381" t="s">
        <v>2323</v>
      </c>
      <c r="C26" s="3228" t="s">
        <v>3180</v>
      </c>
      <c r="D26" s="394">
        <v>100</v>
      </c>
      <c r="E26" s="3229" t="s">
        <v>3180</v>
      </c>
      <c r="F26" s="394">
        <f>SUMIF(88:88,E26,89:89)-SUMIF(88:88,C26,89:89)+100</f>
        <v>100</v>
      </c>
      <c r="G26" s="3230" t="s">
        <v>3180</v>
      </c>
      <c r="H26" s="394">
        <f>SUMIF(88:88,G26,89:89)-SUMIF(88:88,C26,89:89)+100</f>
        <v>100</v>
      </c>
      <c r="I26" s="3230" t="s">
        <v>3180</v>
      </c>
      <c r="J26" s="394">
        <f>SUMIF(88:88,I26,89:89)-SUMIF(88:88,C26,89:89)+100</f>
        <v>100</v>
      </c>
      <c r="K26" s="385"/>
      <c r="L26" s="2919"/>
      <c r="M26" s="2913"/>
      <c r="N26" s="2913"/>
      <c r="O26" s="2913"/>
      <c r="P26" s="3451"/>
      <c r="Q26" s="1505" t="str">
        <f t="shared" si="11"/>
        <v>朝向</v>
      </c>
      <c r="R26" s="714" t="s">
        <v>21</v>
      </c>
      <c r="S26" s="715">
        <f t="shared" si="12"/>
        <v>100</v>
      </c>
      <c r="T26" s="714" t="s">
        <v>21</v>
      </c>
      <c r="U26" s="715">
        <f t="shared" si="13"/>
        <v>100</v>
      </c>
      <c r="V26" s="714" t="s">
        <v>21</v>
      </c>
      <c r="W26" s="715">
        <f t="shared" si="14"/>
        <v>100</v>
      </c>
      <c r="X26" s="1508"/>
      <c r="Y26" s="3444"/>
      <c r="Z26" s="1509" t="str">
        <f>Q26</f>
        <v>朝向</v>
      </c>
      <c r="AA26" s="1506">
        <f t="shared" si="15"/>
        <v>1</v>
      </c>
      <c r="AB26" s="1506">
        <f t="shared" si="16"/>
        <v>1</v>
      </c>
      <c r="AC26" s="1506">
        <f t="shared" si="17"/>
        <v>1</v>
      </c>
    </row>
    <row r="27" spans="1:29" s="113" customFormat="1" ht="15">
      <c r="A27" s="390"/>
      <c r="B27" s="3227" t="s">
        <v>3179</v>
      </c>
      <c r="C27" s="3231" t="s">
        <v>3181</v>
      </c>
      <c r="D27" s="421">
        <v>100</v>
      </c>
      <c r="E27" s="3232" t="s">
        <v>3182</v>
      </c>
      <c r="F27" s="421">
        <f>SUMIF(90:90,E27,91:91)-SUMIF(90:90,C27,91:91)+100</f>
        <v>102</v>
      </c>
      <c r="G27" s="3233" t="s">
        <v>3182</v>
      </c>
      <c r="H27" s="421">
        <f>SUMIF(90:90,G27,91:91)-SUMIF(90:90,C27,91:91)+100</f>
        <v>102</v>
      </c>
      <c r="I27" s="3233" t="s">
        <v>3183</v>
      </c>
      <c r="J27" s="421">
        <f>SUMIF(90:90,I27,91:91)-SUMIF(90:90,C27,91:91)+100</f>
        <v>104</v>
      </c>
      <c r="K27" s="2049"/>
      <c r="L27" s="2914"/>
      <c r="M27" s="2915"/>
      <c r="N27" s="2915"/>
      <c r="O27" s="2915"/>
      <c r="P27" s="3451"/>
      <c r="Q27" s="1496" t="str">
        <f t="shared" si="11"/>
        <v>楼层</v>
      </c>
      <c r="R27" s="710" t="s">
        <v>21</v>
      </c>
      <c r="S27" s="711">
        <f t="shared" si="12"/>
        <v>102</v>
      </c>
      <c r="T27" s="710" t="s">
        <v>21</v>
      </c>
      <c r="U27" s="711">
        <f t="shared" si="13"/>
        <v>102</v>
      </c>
      <c r="V27" s="710" t="s">
        <v>21</v>
      </c>
      <c r="W27" s="711">
        <f t="shared" si="14"/>
        <v>104</v>
      </c>
      <c r="X27" s="712"/>
      <c r="Y27" s="3444"/>
      <c r="Z27" s="55" t="str">
        <f>Q27</f>
        <v>楼层</v>
      </c>
      <c r="AA27" s="1506">
        <f t="shared" si="15"/>
        <v>0.98039215686274506</v>
      </c>
      <c r="AB27" s="1506">
        <f t="shared" si="16"/>
        <v>0.98039215686274506</v>
      </c>
      <c r="AC27" s="1506">
        <f t="shared" si="17"/>
        <v>0.96153846153846156</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451"/>
      <c r="Q28" s="1505">
        <f t="shared" si="11"/>
        <v>111</v>
      </c>
      <c r="R28" s="714" t="s">
        <v>21</v>
      </c>
      <c r="S28" s="715">
        <f t="shared" si="12"/>
        <v>100</v>
      </c>
      <c r="T28" s="714" t="s">
        <v>21</v>
      </c>
      <c r="U28" s="715">
        <f t="shared" si="13"/>
        <v>100</v>
      </c>
      <c r="V28" s="714" t="s">
        <v>21</v>
      </c>
      <c r="W28" s="715">
        <f t="shared" si="14"/>
        <v>100</v>
      </c>
      <c r="X28" s="1508"/>
      <c r="Y28" s="3444"/>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451"/>
      <c r="Q29" s="1505">
        <f t="shared" si="11"/>
        <v>111</v>
      </c>
      <c r="R29" s="714" t="s">
        <v>21</v>
      </c>
      <c r="S29" s="715">
        <f t="shared" si="12"/>
        <v>100</v>
      </c>
      <c r="T29" s="714" t="s">
        <v>21</v>
      </c>
      <c r="U29" s="715">
        <f t="shared" si="13"/>
        <v>100</v>
      </c>
      <c r="V29" s="714" t="s">
        <v>21</v>
      </c>
      <c r="W29" s="715">
        <f t="shared" si="14"/>
        <v>100</v>
      </c>
      <c r="X29" s="1508"/>
      <c r="Y29" s="3444"/>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451"/>
      <c r="Q30" s="1505">
        <f t="shared" si="11"/>
        <v>111</v>
      </c>
      <c r="R30" s="714" t="s">
        <v>21</v>
      </c>
      <c r="S30" s="715">
        <f t="shared" si="12"/>
        <v>100</v>
      </c>
      <c r="T30" s="714" t="s">
        <v>21</v>
      </c>
      <c r="U30" s="715">
        <f t="shared" si="13"/>
        <v>100</v>
      </c>
      <c r="V30" s="714" t="s">
        <v>21</v>
      </c>
      <c r="W30" s="715">
        <f t="shared" si="14"/>
        <v>100</v>
      </c>
      <c r="X30" s="1508"/>
      <c r="Y30" s="3444"/>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451"/>
      <c r="Q31" s="1505">
        <f t="shared" si="11"/>
        <v>111</v>
      </c>
      <c r="R31" s="714" t="s">
        <v>21</v>
      </c>
      <c r="S31" s="715">
        <f t="shared" si="12"/>
        <v>100</v>
      </c>
      <c r="T31" s="714" t="s">
        <v>21</v>
      </c>
      <c r="U31" s="715">
        <f t="shared" si="13"/>
        <v>100</v>
      </c>
      <c r="V31" s="714" t="s">
        <v>21</v>
      </c>
      <c r="W31" s="715">
        <f t="shared" si="14"/>
        <v>100</v>
      </c>
      <c r="X31" s="1508"/>
      <c r="Y31" s="3444"/>
      <c r="Z31" s="1509">
        <f t="shared" si="18"/>
        <v>111</v>
      </c>
      <c r="AA31" s="1506">
        <f t="shared" si="15"/>
        <v>1</v>
      </c>
      <c r="AB31" s="1506">
        <f t="shared" si="16"/>
        <v>1</v>
      </c>
      <c r="AC31" s="1506">
        <f t="shared" si="17"/>
        <v>1</v>
      </c>
    </row>
    <row r="32" spans="1:29" ht="15">
      <c r="A32" s="399" t="s">
        <v>2324</v>
      </c>
      <c r="B32" s="67" t="s">
        <v>2325</v>
      </c>
      <c r="C32" s="3235" t="s">
        <v>3175</v>
      </c>
      <c r="D32" s="426">
        <v>100</v>
      </c>
      <c r="E32" s="3236" t="s">
        <v>3175</v>
      </c>
      <c r="F32" s="420">
        <f>SUMIF(100:100,E32,101:101)-SUMIF(100:100,C32,101:101)+100</f>
        <v>100</v>
      </c>
      <c r="G32" s="3235" t="s">
        <v>3175</v>
      </c>
      <c r="H32" s="426">
        <f>SUMIF(100:100,G32,101:101)-SUMIF(100:100,C32,101:101)+100</f>
        <v>100</v>
      </c>
      <c r="I32" s="3236" t="s">
        <v>3175</v>
      </c>
      <c r="J32" s="394">
        <f>SUMIF(100:100,I32,101:101)-SUMIF(100:100,C32,101:101)+100</f>
        <v>100</v>
      </c>
      <c r="K32" s="385"/>
      <c r="L32" s="2919"/>
      <c r="M32" s="2913"/>
      <c r="N32" s="2913"/>
      <c r="O32" s="2913"/>
      <c r="P32" s="3445" t="s">
        <v>2326</v>
      </c>
      <c r="Q32" s="1505" t="str">
        <f t="shared" si="11"/>
        <v>建筑类型</v>
      </c>
      <c r="R32" s="714" t="s">
        <v>21</v>
      </c>
      <c r="S32" s="715">
        <f t="shared" si="12"/>
        <v>100</v>
      </c>
      <c r="T32" s="714" t="s">
        <v>21</v>
      </c>
      <c r="U32" s="715">
        <f t="shared" si="13"/>
        <v>100</v>
      </c>
      <c r="V32" s="714" t="s">
        <v>21</v>
      </c>
      <c r="W32" s="715">
        <f t="shared" si="14"/>
        <v>100</v>
      </c>
      <c r="X32" s="1508"/>
      <c r="Y32" s="3448" t="s">
        <v>2326</v>
      </c>
      <c r="Z32" s="1509" t="str">
        <f t="shared" si="18"/>
        <v>建筑类型</v>
      </c>
      <c r="AA32" s="1506">
        <f t="shared" si="15"/>
        <v>1</v>
      </c>
      <c r="AB32" s="1506">
        <f t="shared" si="16"/>
        <v>1</v>
      </c>
      <c r="AC32" s="1506">
        <f t="shared" si="17"/>
        <v>1</v>
      </c>
    </row>
    <row r="33" spans="1:29" s="430" customFormat="1" ht="15">
      <c r="A33" s="427"/>
      <c r="B33" s="381" t="s">
        <v>2327</v>
      </c>
      <c r="C33" s="3237">
        <f>面积清单!F2</f>
        <v>120.46</v>
      </c>
      <c r="D33" s="132">
        <v>100</v>
      </c>
      <c r="E33" s="389">
        <v>120</v>
      </c>
      <c r="F33" s="384">
        <f>LOOKUP(E33,103:103,104:104)-LOOKUP(C33,103:103,104:104)+100</f>
        <v>100</v>
      </c>
      <c r="G33" s="388">
        <v>118</v>
      </c>
      <c r="H33" s="132">
        <f>LOOKUP(G33,103:103,104:104)-LOOKUP(C33,103:103,104:104)+100</f>
        <v>102</v>
      </c>
      <c r="I33" s="389">
        <v>120</v>
      </c>
      <c r="J33" s="132">
        <f>LOOKUP(I33,103:103,104:104)-LOOKUP(C33,103:103,104:104)+100</f>
        <v>100</v>
      </c>
      <c r="K33" s="2049"/>
      <c r="L33" s="2918"/>
      <c r="M33" s="2920"/>
      <c r="N33" s="2920"/>
      <c r="O33" s="2920"/>
      <c r="P33" s="3446"/>
      <c r="Q33" s="716" t="str">
        <f t="shared" si="11"/>
        <v>项目建筑规模</v>
      </c>
      <c r="R33" s="717" t="s">
        <v>21</v>
      </c>
      <c r="S33" s="718">
        <f t="shared" si="12"/>
        <v>100</v>
      </c>
      <c r="T33" s="717" t="s">
        <v>21</v>
      </c>
      <c r="U33" s="718">
        <f t="shared" si="13"/>
        <v>102</v>
      </c>
      <c r="V33" s="717" t="s">
        <v>21</v>
      </c>
      <c r="W33" s="718">
        <f t="shared" si="14"/>
        <v>100</v>
      </c>
      <c r="X33" s="719"/>
      <c r="Y33" s="3448"/>
      <c r="Z33" s="720" t="str">
        <f t="shared" si="18"/>
        <v>项目建筑规模</v>
      </c>
      <c r="AA33" s="1506">
        <f t="shared" si="15"/>
        <v>1</v>
      </c>
      <c r="AB33" s="1506">
        <f t="shared" si="16"/>
        <v>0.98039215686274506</v>
      </c>
      <c r="AC33" s="1506">
        <f t="shared" si="17"/>
        <v>1</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46"/>
      <c r="Q34" s="1505" t="str">
        <f t="shared" si="11"/>
        <v>建筑结构</v>
      </c>
      <c r="R34" s="714" t="s">
        <v>21</v>
      </c>
      <c r="S34" s="715">
        <f t="shared" si="12"/>
        <v>100</v>
      </c>
      <c r="T34" s="714" t="s">
        <v>21</v>
      </c>
      <c r="U34" s="715">
        <f t="shared" si="13"/>
        <v>100</v>
      </c>
      <c r="V34" s="714" t="s">
        <v>21</v>
      </c>
      <c r="W34" s="715">
        <f t="shared" si="14"/>
        <v>100</v>
      </c>
      <c r="X34" s="1508"/>
      <c r="Y34" s="3448"/>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446"/>
      <c r="Q35" s="1505" t="str">
        <f t="shared" si="11"/>
        <v>建筑品质</v>
      </c>
      <c r="R35" s="714" t="s">
        <v>21</v>
      </c>
      <c r="S35" s="715">
        <f t="shared" si="12"/>
        <v>100</v>
      </c>
      <c r="T35" s="714" t="s">
        <v>21</v>
      </c>
      <c r="U35" s="715">
        <f t="shared" si="13"/>
        <v>100</v>
      </c>
      <c r="V35" s="714" t="s">
        <v>21</v>
      </c>
      <c r="W35" s="715">
        <f t="shared" si="14"/>
        <v>100</v>
      </c>
      <c r="X35" s="1508"/>
      <c r="Y35" s="3448"/>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446"/>
      <c r="Q36" s="1505" t="str">
        <f t="shared" si="11"/>
        <v>公共部分装修</v>
      </c>
      <c r="R36" s="714" t="s">
        <v>21</v>
      </c>
      <c r="S36" s="715">
        <f t="shared" si="12"/>
        <v>100</v>
      </c>
      <c r="T36" s="714" t="s">
        <v>21</v>
      </c>
      <c r="U36" s="715">
        <f t="shared" si="13"/>
        <v>100</v>
      </c>
      <c r="V36" s="714" t="s">
        <v>21</v>
      </c>
      <c r="W36" s="715">
        <f t="shared" si="14"/>
        <v>100</v>
      </c>
      <c r="X36" s="1508"/>
      <c r="Y36" s="3448"/>
      <c r="Z36" s="1509" t="str">
        <f t="shared" si="18"/>
        <v>公共部分装修</v>
      </c>
      <c r="AA36" s="1506">
        <f t="shared" si="15"/>
        <v>1</v>
      </c>
      <c r="AB36" s="1506">
        <f t="shared" si="16"/>
        <v>1</v>
      </c>
      <c r="AC36" s="1506">
        <f t="shared" si="17"/>
        <v>1</v>
      </c>
    </row>
    <row r="37" spans="1:29" s="113" customFormat="1" ht="15">
      <c r="A37" s="432"/>
      <c r="B37" s="381" t="s">
        <v>2331</v>
      </c>
      <c r="C37" s="433">
        <v>0.9</v>
      </c>
      <c r="D37" s="132">
        <v>100</v>
      </c>
      <c r="E37" s="433">
        <v>0.9</v>
      </c>
      <c r="F37" s="384">
        <f>LOOKUP(E37,112:112,113:113)-LOOKUP(C37,112:112,113:113)+100</f>
        <v>100</v>
      </c>
      <c r="G37" s="435">
        <v>0.9</v>
      </c>
      <c r="H37" s="132">
        <f>LOOKUP(G37,112:112,113:113)-LOOKUP(C37,112:112,113:113)+100</f>
        <v>100</v>
      </c>
      <c r="I37" s="434">
        <v>0.9</v>
      </c>
      <c r="J37" s="132">
        <f>LOOKUP(I37,112:112,113:113)-LOOKUP(C37,112:112,113:113)+100</f>
        <v>100</v>
      </c>
      <c r="K37" s="385"/>
      <c r="L37" s="2914"/>
      <c r="M37" s="2915"/>
      <c r="N37" s="2915"/>
      <c r="O37" s="2915"/>
      <c r="P37" s="3446"/>
      <c r="Q37" s="1496" t="str">
        <f t="shared" si="11"/>
        <v>成新度</v>
      </c>
      <c r="R37" s="710" t="s">
        <v>21</v>
      </c>
      <c r="S37" s="711">
        <f t="shared" si="12"/>
        <v>100</v>
      </c>
      <c r="T37" s="710" t="s">
        <v>21</v>
      </c>
      <c r="U37" s="711">
        <f t="shared" si="13"/>
        <v>100</v>
      </c>
      <c r="V37" s="710" t="s">
        <v>21</v>
      </c>
      <c r="W37" s="711">
        <f t="shared" si="14"/>
        <v>100</v>
      </c>
      <c r="X37" s="712"/>
      <c r="Y37" s="3448"/>
      <c r="Z37" s="55" t="str">
        <f t="shared" si="18"/>
        <v>成新度</v>
      </c>
      <c r="AA37" s="713">
        <f t="shared" si="15"/>
        <v>1</v>
      </c>
      <c r="AB37" s="713">
        <f t="shared" si="16"/>
        <v>1</v>
      </c>
      <c r="AC37" s="713">
        <f t="shared" si="17"/>
        <v>1</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446" t="s">
        <v>2326</v>
      </c>
      <c r="Q38" s="1505" t="str">
        <f t="shared" si="11"/>
        <v>物业管理</v>
      </c>
      <c r="R38" s="714" t="s">
        <v>21</v>
      </c>
      <c r="S38" s="715">
        <f t="shared" si="12"/>
        <v>100</v>
      </c>
      <c r="T38" s="714" t="s">
        <v>21</v>
      </c>
      <c r="U38" s="715">
        <f t="shared" si="13"/>
        <v>100</v>
      </c>
      <c r="V38" s="714" t="s">
        <v>21</v>
      </c>
      <c r="W38" s="715">
        <f t="shared" si="14"/>
        <v>100</v>
      </c>
      <c r="X38" s="1508"/>
      <c r="Y38" s="3448"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446"/>
      <c r="Q39" s="1505" t="str">
        <f t="shared" si="11"/>
        <v>市政基础设施</v>
      </c>
      <c r="R39" s="714" t="s">
        <v>21</v>
      </c>
      <c r="S39" s="715">
        <f t="shared" si="12"/>
        <v>100</v>
      </c>
      <c r="T39" s="714" t="s">
        <v>21</v>
      </c>
      <c r="U39" s="715">
        <f t="shared" si="13"/>
        <v>100</v>
      </c>
      <c r="V39" s="714" t="s">
        <v>21</v>
      </c>
      <c r="W39" s="715">
        <f t="shared" si="14"/>
        <v>100</v>
      </c>
      <c r="X39" s="1508"/>
      <c r="Y39" s="3448"/>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446"/>
      <c r="Q40" s="1505" t="str">
        <f t="shared" si="11"/>
        <v>房型</v>
      </c>
      <c r="R40" s="714" t="s">
        <v>21</v>
      </c>
      <c r="S40" s="715">
        <f t="shared" si="12"/>
        <v>100</v>
      </c>
      <c r="T40" s="714" t="s">
        <v>21</v>
      </c>
      <c r="U40" s="715">
        <f t="shared" si="13"/>
        <v>100</v>
      </c>
      <c r="V40" s="714" t="s">
        <v>21</v>
      </c>
      <c r="W40" s="715">
        <f t="shared" si="14"/>
        <v>100</v>
      </c>
      <c r="X40" s="1508"/>
      <c r="Y40" s="3448"/>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446"/>
      <c r="Q41" s="716" t="str">
        <f t="shared" si="11"/>
        <v>单套/主力户型建筑面积</v>
      </c>
      <c r="R41" s="717" t="s">
        <v>21</v>
      </c>
      <c r="S41" s="718">
        <f t="shared" si="12"/>
        <v>100</v>
      </c>
      <c r="T41" s="717" t="s">
        <v>21</v>
      </c>
      <c r="U41" s="718">
        <f t="shared" si="13"/>
        <v>100</v>
      </c>
      <c r="V41" s="717" t="s">
        <v>21</v>
      </c>
      <c r="W41" s="718">
        <f t="shared" si="14"/>
        <v>100</v>
      </c>
      <c r="X41" s="719"/>
      <c r="Y41" s="3448"/>
      <c r="Z41" s="720" t="str">
        <f t="shared" si="18"/>
        <v>单套/主力户型建筑面积</v>
      </c>
      <c r="AA41" s="1506">
        <f t="shared" si="15"/>
        <v>1</v>
      </c>
      <c r="AB41" s="1506">
        <f t="shared" si="16"/>
        <v>1</v>
      </c>
      <c r="AC41" s="1506">
        <f t="shared" si="17"/>
        <v>1</v>
      </c>
    </row>
    <row r="42" spans="1:29" ht="15">
      <c r="A42" s="431"/>
      <c r="B42" s="381" t="s">
        <v>2336</v>
      </c>
      <c r="C42" s="3229" t="s">
        <v>3197</v>
      </c>
      <c r="D42" s="394">
        <v>100</v>
      </c>
      <c r="E42" s="3230" t="s">
        <v>3185</v>
      </c>
      <c r="F42" s="420">
        <f>SUMIF(122:122,E42,123:123)-SUMIF(122:122,C42,123:123)+100</f>
        <v>96</v>
      </c>
      <c r="G42" s="3229" t="s">
        <v>3185</v>
      </c>
      <c r="H42" s="394">
        <f>SUMIF(122:122,G42,123:123)-SUMIF(122:122,C42,123:123)+100</f>
        <v>96</v>
      </c>
      <c r="I42" s="3230" t="s">
        <v>3186</v>
      </c>
      <c r="J42" s="394">
        <f>SUMIF(122:122,I42,123:123)-SUMIF(122:122,C42,123:123)+100</f>
        <v>96</v>
      </c>
      <c r="K42" s="385">
        <v>2</v>
      </c>
      <c r="L42" s="2919"/>
      <c r="M42" s="2913"/>
      <c r="N42" s="2913"/>
      <c r="O42" s="2913"/>
      <c r="P42" s="3446"/>
      <c r="Q42" s="1505" t="str">
        <f t="shared" si="11"/>
        <v>内部装修</v>
      </c>
      <c r="R42" s="714" t="s">
        <v>21</v>
      </c>
      <c r="S42" s="715">
        <f t="shared" si="12"/>
        <v>96</v>
      </c>
      <c r="T42" s="714" t="s">
        <v>21</v>
      </c>
      <c r="U42" s="715">
        <f t="shared" si="13"/>
        <v>96</v>
      </c>
      <c r="V42" s="714" t="s">
        <v>21</v>
      </c>
      <c r="W42" s="715">
        <f t="shared" si="14"/>
        <v>96</v>
      </c>
      <c r="X42" s="1508"/>
      <c r="Y42" s="3448"/>
      <c r="Z42" s="1509" t="str">
        <f t="shared" si="18"/>
        <v>内部装修</v>
      </c>
      <c r="AA42" s="1506">
        <f t="shared" si="15"/>
        <v>1.0416666666666667</v>
      </c>
      <c r="AB42" s="1506">
        <f t="shared" si="16"/>
        <v>1.0416666666666667</v>
      </c>
      <c r="AC42" s="1506">
        <f t="shared" si="17"/>
        <v>1.0416666666666667</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446"/>
      <c r="Q43" s="1505" t="str">
        <f t="shared" si="11"/>
        <v>内部装修维护情况</v>
      </c>
      <c r="R43" s="714" t="s">
        <v>21</v>
      </c>
      <c r="S43" s="715">
        <f t="shared" si="12"/>
        <v>100</v>
      </c>
      <c r="T43" s="714" t="s">
        <v>21</v>
      </c>
      <c r="U43" s="715">
        <f t="shared" si="13"/>
        <v>100</v>
      </c>
      <c r="V43" s="714" t="s">
        <v>21</v>
      </c>
      <c r="W43" s="715">
        <f t="shared" si="14"/>
        <v>100</v>
      </c>
      <c r="X43" s="1508"/>
      <c r="Y43" s="3448"/>
      <c r="Z43" s="1509" t="str">
        <f t="shared" si="18"/>
        <v>内部装修维护情况</v>
      </c>
      <c r="AA43" s="1506">
        <f t="shared" si="15"/>
        <v>1</v>
      </c>
      <c r="AB43" s="1506">
        <f t="shared" si="16"/>
        <v>1</v>
      </c>
      <c r="AC43" s="1506">
        <f t="shared" si="17"/>
        <v>1</v>
      </c>
    </row>
    <row r="44" spans="1:29" s="113" customFormat="1" ht="15">
      <c r="A44" s="432"/>
      <c r="B44" s="3227" t="s">
        <v>3194</v>
      </c>
      <c r="C44" s="3245" t="s">
        <v>3195</v>
      </c>
      <c r="D44" s="132">
        <v>100</v>
      </c>
      <c r="E44" s="3245" t="s">
        <v>3195</v>
      </c>
      <c r="F44" s="384">
        <f>SUMIF(126:126,E44,127:127)-SUMIF(126:126,C44,127:127)+100</f>
        <v>100</v>
      </c>
      <c r="G44" s="3245" t="s">
        <v>3195</v>
      </c>
      <c r="H44" s="132">
        <f>SUMIF(126:126,G44,127:127)-SUMIF(126:126,C44,127:127)+100</f>
        <v>100</v>
      </c>
      <c r="I44" s="3245" t="s">
        <v>3196</v>
      </c>
      <c r="J44" s="132">
        <f>SUMIF(126:126,I44,127:127)-SUMIF(126:126,C44,127:127)+100</f>
        <v>100</v>
      </c>
      <c r="K44" s="2049"/>
      <c r="L44" s="2914"/>
      <c r="M44" s="2915"/>
      <c r="N44" s="2915"/>
      <c r="O44" s="2915"/>
      <c r="P44" s="3446"/>
      <c r="Q44" s="1496" t="str">
        <f t="shared" si="11"/>
        <v>有无电梯</v>
      </c>
      <c r="R44" s="710" t="s">
        <v>21</v>
      </c>
      <c r="S44" s="711">
        <f t="shared" si="12"/>
        <v>100</v>
      </c>
      <c r="T44" s="710" t="s">
        <v>21</v>
      </c>
      <c r="U44" s="711">
        <f t="shared" si="13"/>
        <v>100</v>
      </c>
      <c r="V44" s="710" t="s">
        <v>21</v>
      </c>
      <c r="W44" s="711">
        <f t="shared" si="14"/>
        <v>100</v>
      </c>
      <c r="X44" s="712"/>
      <c r="Y44" s="3448"/>
      <c r="Z44" s="55" t="str">
        <f t="shared" si="18"/>
        <v>有无电梯</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446"/>
      <c r="Q45" s="1505">
        <f t="shared" si="11"/>
        <v>111</v>
      </c>
      <c r="R45" s="714" t="s">
        <v>21</v>
      </c>
      <c r="S45" s="715">
        <f t="shared" si="12"/>
        <v>100</v>
      </c>
      <c r="T45" s="714" t="s">
        <v>21</v>
      </c>
      <c r="U45" s="715">
        <f t="shared" si="13"/>
        <v>100</v>
      </c>
      <c r="V45" s="714" t="s">
        <v>21</v>
      </c>
      <c r="W45" s="715">
        <f t="shared" si="14"/>
        <v>100</v>
      </c>
      <c r="X45" s="1508"/>
      <c r="Y45" s="3448"/>
      <c r="Z45" s="1509">
        <f t="shared" si="18"/>
        <v>111</v>
      </c>
      <c r="AA45" s="1506">
        <f t="shared" si="15"/>
        <v>1</v>
      </c>
      <c r="AB45" s="1506">
        <f t="shared" si="16"/>
        <v>1</v>
      </c>
      <c r="AC45" s="1506">
        <f t="shared" si="17"/>
        <v>1</v>
      </c>
    </row>
    <row r="46" spans="1:29" ht="15.75" thickBot="1">
      <c r="A46" s="437"/>
      <c r="B46" s="2050">
        <v>0.95</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447"/>
      <c r="Q46" s="1505">
        <f t="shared" si="11"/>
        <v>0.95</v>
      </c>
      <c r="R46" s="714" t="s">
        <v>20</v>
      </c>
      <c r="S46" s="715">
        <f t="shared" si="12"/>
        <v>100</v>
      </c>
      <c r="T46" s="714" t="s">
        <v>20</v>
      </c>
      <c r="U46" s="715">
        <f t="shared" si="13"/>
        <v>100</v>
      </c>
      <c r="V46" s="714" t="s">
        <v>20</v>
      </c>
      <c r="W46" s="715">
        <f t="shared" si="14"/>
        <v>100</v>
      </c>
      <c r="X46" s="1508"/>
      <c r="Y46" s="3449"/>
      <c r="Z46" s="1509">
        <f t="shared" si="18"/>
        <v>0.95</v>
      </c>
      <c r="AA46" s="1506">
        <f t="shared" si="15"/>
        <v>1</v>
      </c>
      <c r="AB46" s="1506">
        <f t="shared" si="16"/>
        <v>1</v>
      </c>
      <c r="AC46" s="1506">
        <f t="shared" si="17"/>
        <v>1</v>
      </c>
    </row>
    <row r="47" spans="1:29" ht="15">
      <c r="A47" s="438" t="s">
        <v>2338</v>
      </c>
      <c r="B47" s="439"/>
      <c r="C47" s="1287" t="s">
        <v>19</v>
      </c>
      <c r="D47" s="1288"/>
      <c r="E47" s="1289">
        <f>ROUND(B46*10200,0)</f>
        <v>9690</v>
      </c>
      <c r="F47" s="1290"/>
      <c r="G47" s="1291">
        <f>ROUND(B46*10900,0)</f>
        <v>10355</v>
      </c>
      <c r="H47" s="1292"/>
      <c r="I47" s="1289">
        <f>ROUND(B46*11200,0)</f>
        <v>10640</v>
      </c>
      <c r="J47" s="1292"/>
      <c r="K47" s="2068"/>
      <c r="L47" s="2921"/>
      <c r="M47" s="2922"/>
      <c r="N47" s="2913"/>
      <c r="O47" s="2922"/>
      <c r="P47" s="3441" t="str">
        <f>A47</f>
        <v>成交单价（元/平方米）</v>
      </c>
      <c r="Q47" s="3441"/>
      <c r="R47" s="3442">
        <f>E47</f>
        <v>9690</v>
      </c>
      <c r="S47" s="3442"/>
      <c r="T47" s="3442">
        <f>G47</f>
        <v>10355</v>
      </c>
      <c r="U47" s="3442"/>
      <c r="V47" s="3442">
        <f>I47</f>
        <v>10640</v>
      </c>
      <c r="W47" s="3442"/>
      <c r="X47" s="699"/>
      <c r="Y47" s="721"/>
      <c r="Z47" s="699"/>
      <c r="AA47" s="699"/>
      <c r="AB47" s="699"/>
      <c r="AC47" s="699"/>
    </row>
    <row r="48" spans="1:29" ht="15.75" thickBot="1">
      <c r="A48" s="445" t="s">
        <v>2339</v>
      </c>
      <c r="B48" s="446"/>
      <c r="C48" s="1293">
        <f>R49</f>
        <v>10307</v>
      </c>
      <c r="D48" s="2506" t="s">
        <v>2819</v>
      </c>
      <c r="E48" s="1294">
        <f>R48</f>
        <v>9896</v>
      </c>
      <c r="F48" s="2507"/>
      <c r="G48" s="1293">
        <f>T48</f>
        <v>10368</v>
      </c>
      <c r="H48" s="2507"/>
      <c r="I48" s="1294">
        <f>V48</f>
        <v>10657</v>
      </c>
      <c r="J48" s="2507"/>
      <c r="K48" s="2508">
        <f>F48+H48+J48</f>
        <v>0</v>
      </c>
      <c r="L48" s="2921"/>
      <c r="M48" s="2922"/>
      <c r="N48" s="2922"/>
      <c r="O48" s="2922"/>
      <c r="P48" s="3441" t="str">
        <f>A48</f>
        <v>比较价值（元/平方米）</v>
      </c>
      <c r="Q48" s="3441"/>
      <c r="R48" s="3442">
        <f>IF(F1="售价",ROUND(PRODUCT(R47,AA7:AA46),0),ROUND(PRODUCT(R47,AA7:AA46),1))</f>
        <v>9896</v>
      </c>
      <c r="S48" s="3442"/>
      <c r="T48" s="3442">
        <f>IF(F1="售价",ROUND(PRODUCT(T47,AB7:AB46),0),ROUND(PRODUCT(T47,AB7:AB46),1))</f>
        <v>10368</v>
      </c>
      <c r="U48" s="3442"/>
      <c r="V48" s="3442">
        <f>IF(F1="售价",ROUND(PRODUCT(V47,AC7:AC46),0),ROUND(PRODUCT(V47,AC7:AC46),1))</f>
        <v>10657</v>
      </c>
      <c r="W48" s="3442"/>
      <c r="X48" s="699"/>
      <c r="Y48" s="699"/>
      <c r="Z48" s="699"/>
      <c r="AA48" s="699"/>
      <c r="AB48" s="699"/>
      <c r="AC48" s="699"/>
    </row>
    <row r="49" spans="1:29" ht="15.75" thickBot="1">
      <c r="A49" s="449" t="s">
        <v>2340</v>
      </c>
      <c r="B49" s="450"/>
      <c r="C49" s="1295">
        <f>R49</f>
        <v>10307</v>
      </c>
      <c r="D49" s="1296"/>
      <c r="E49" s="1296"/>
      <c r="F49" s="1296"/>
      <c r="G49" s="1296"/>
      <c r="H49" s="1296"/>
      <c r="I49" s="1296"/>
      <c r="J49" s="1296"/>
      <c r="K49" s="2069"/>
      <c r="L49" s="2921"/>
      <c r="M49" s="2922"/>
      <c r="N49" s="2922"/>
      <c r="O49" s="2922"/>
      <c r="P49" s="3438" t="str">
        <f>A49</f>
        <v>估价对象XX用房的比较价值（楼面单价，元/平方米）</v>
      </c>
      <c r="Q49" s="3439"/>
      <c r="R49" s="3440">
        <f>IF(F1="售价",ROUND(IF(D48="简单平均",AVERAGE(R48:V48),R48*F48+T48*H48+V48*J48),0),ROUND(IF(D48="简单平均",AVERAGE(R48:V48),R48*F48+T48*H48+V48*J48),1))</f>
        <v>10307</v>
      </c>
      <c r="S49" s="3440"/>
      <c r="T49" s="3440"/>
      <c r="U49" s="3440"/>
      <c r="V49" s="3440"/>
      <c r="W49" s="344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f>IF(E47&lt;E48,E48/E47-1,E47/E48-1)</f>
        <v>2.1259029927760631E-2</v>
      </c>
      <c r="F52" s="457" t="str">
        <f>IF(OR(E52&gt;=0.3,E52&lt;=-0.3),"超过30%","")</f>
        <v/>
      </c>
      <c r="G52" s="456">
        <f>IF(G47&lt;G48,G48/G47-1,G47/G48-1)</f>
        <v>1.2554321583775341E-3</v>
      </c>
      <c r="H52" s="457" t="str">
        <f>IF(OR(G52&gt;=0.3,G52&lt;=-0.3),"超过30%","")</f>
        <v/>
      </c>
      <c r="I52" s="456">
        <f>IF(I47&lt;I48,I48/I47-1,I47/I48-1)</f>
        <v>1.5977443609023201E-3</v>
      </c>
      <c r="J52" s="457" t="str">
        <f>IF(OR(I52&gt;=0.3,I52&lt;=-0.3),"超过30%","")</f>
        <v/>
      </c>
      <c r="K52" s="2927"/>
      <c r="L52" s="2923"/>
      <c r="M52" s="2922"/>
      <c r="N52" s="2922"/>
      <c r="O52" s="2922"/>
    </row>
    <row r="53" spans="1:29" ht="13.5" customHeight="1">
      <c r="A53" s="2922"/>
      <c r="B53" s="2922"/>
      <c r="C53" s="454" t="s">
        <v>2342</v>
      </c>
      <c r="D53" s="458"/>
      <c r="E53" s="456">
        <f>IF(E48&lt;G48,G48/E48-1,E48/G48-1)</f>
        <v>4.7696038803556995E-2</v>
      </c>
      <c r="F53" s="457" t="str">
        <f>IF(OR(E53&gt;=0.2,E53&lt;=-0.2),"超过20%","")</f>
        <v/>
      </c>
      <c r="G53" s="456">
        <f>IF(G48&lt;I48,I48/G48-1,G48/I48-1)</f>
        <v>2.7874228395061706E-2</v>
      </c>
      <c r="H53" s="457" t="str">
        <f>IF(OR(G53&gt;=0.2,G53&lt;=-0.2),"超过20%","")</f>
        <v/>
      </c>
      <c r="I53" s="456">
        <f>IF(I48&lt;E48,E48/I48-1,I48/E48-1)</f>
        <v>7.6899757477768782E-2</v>
      </c>
      <c r="J53" s="457" t="str">
        <f>IF(OR(I53&gt;=0.2,I53&lt;=-0.2),"超过20%","")</f>
        <v/>
      </c>
      <c r="K53" s="2927"/>
      <c r="L53" s="2923"/>
      <c r="M53" s="2922"/>
      <c r="N53" s="2922"/>
      <c r="O53" s="2922"/>
    </row>
    <row r="54" spans="1:29" s="459" customFormat="1" ht="13.5" customHeight="1">
      <c r="A54" s="2925"/>
      <c r="B54" s="2925"/>
      <c r="C54" s="454" t="s">
        <v>2343</v>
      </c>
      <c r="D54" s="458"/>
      <c r="E54" s="456">
        <f>IF(E47&lt;G47,G47/E47-1,E47/G47-1)</f>
        <v>6.8627450980392135E-2</v>
      </c>
      <c r="F54" s="457" t="str">
        <f>IF(OR(E54&gt;=0.3,E54&lt;=-0.3),"超过30%","")</f>
        <v/>
      </c>
      <c r="G54" s="456">
        <f>IF(G47&lt;I47,I47/G47-1,G47/I47-1)</f>
        <v>2.7522935779816571E-2</v>
      </c>
      <c r="H54" s="457" t="str">
        <f>IF(OR(G54&gt;=0.3,G54&lt;=-0.3),"超过30%","")</f>
        <v/>
      </c>
      <c r="I54" s="456">
        <f>IF(I47&lt;E47,E47/I47-1,I47/E47-1)</f>
        <v>9.8039215686274606E-2</v>
      </c>
      <c r="J54" s="457" t="str">
        <f>IF(OR(I54&gt;=0.3,I54&lt;=-0.3),"超过30%","")</f>
        <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2"/>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2349</v>
      </c>
      <c r="B63" s="485" t="s">
        <v>2315</v>
      </c>
      <c r="C63" s="486" t="str">
        <f>C9</f>
        <v>住宅</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6"/>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c r="E68" s="506"/>
      <c r="F68" s="506"/>
      <c r="G68" s="506"/>
      <c r="H68" s="506"/>
      <c r="I68" s="506"/>
      <c r="J68" s="506"/>
      <c r="K68" s="507"/>
      <c r="L68" s="508"/>
      <c r="M68" s="509"/>
      <c r="N68" s="1064"/>
      <c r="O68" s="1064"/>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5"/>
      <c r="O82" s="1065"/>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6"/>
      <c r="Q85" s="461"/>
    </row>
    <row r="86" spans="1:17" s="113" customFormat="1" ht="15.75" thickTop="1">
      <c r="A86" s="536"/>
      <c r="B86" s="495" t="s">
        <v>2371</v>
      </c>
      <c r="C86" s="511"/>
      <c r="D86" s="511"/>
      <c r="E86" s="511"/>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2372</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234" t="s">
        <v>3183</v>
      </c>
      <c r="D90" s="3234" t="s">
        <v>3182</v>
      </c>
      <c r="E90" s="3234" t="s">
        <v>3184</v>
      </c>
      <c r="F90" s="511"/>
      <c r="G90" s="511"/>
      <c r="H90" s="512"/>
      <c r="I90" s="512"/>
      <c r="J90" s="512"/>
      <c r="K90" s="512"/>
      <c r="L90" s="513"/>
      <c r="M90" s="514"/>
      <c r="N90" s="1066"/>
      <c r="O90" s="1066"/>
      <c r="P90" s="2077"/>
      <c r="Q90" s="516"/>
    </row>
    <row r="91" spans="1:17" s="430" customFormat="1" ht="15.75" thickBot="1">
      <c r="A91" s="510"/>
      <c r="B91" s="500"/>
      <c r="C91" s="517">
        <v>100</v>
      </c>
      <c r="D91" s="517">
        <v>98</v>
      </c>
      <c r="E91" s="517">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2324</v>
      </c>
      <c r="B100" s="485" t="s">
        <v>2373</v>
      </c>
      <c r="C100" s="487"/>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2374</v>
      </c>
      <c r="C102" s="535" t="str">
        <f>C103&amp;"(含)"&amp;"-"&amp;D103</f>
        <v>0(含)-50</v>
      </c>
      <c r="D102" s="535" t="str">
        <f t="shared" ref="D102:L102" si="27">D103&amp;"(含)"&amp;"-"&amp;E103</f>
        <v>50(含)-90</v>
      </c>
      <c r="E102" s="535" t="str">
        <f t="shared" si="27"/>
        <v>90(含)-120</v>
      </c>
      <c r="F102" s="535" t="str">
        <f t="shared" si="27"/>
        <v>120(含)-150</v>
      </c>
      <c r="G102" s="535" t="str">
        <f t="shared" si="27"/>
        <v>150(含)-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552">
        <v>0</v>
      </c>
      <c r="D103" s="552">
        <v>50</v>
      </c>
      <c r="E103" s="552">
        <v>90</v>
      </c>
      <c r="F103" s="552">
        <v>120</v>
      </c>
      <c r="G103" s="552">
        <v>150</v>
      </c>
      <c r="H103" s="552"/>
      <c r="I103" s="552"/>
      <c r="J103" s="553"/>
      <c r="K103" s="553"/>
      <c r="L103" s="554"/>
      <c r="M103" s="555"/>
      <c r="N103" s="1066"/>
      <c r="O103" s="1066"/>
      <c r="P103" s="2077"/>
      <c r="Q103" s="516"/>
    </row>
    <row r="104" spans="1:17" s="430" customFormat="1" ht="15.75" thickBot="1">
      <c r="A104" s="510"/>
      <c r="B104" s="500"/>
      <c r="C104" s="517">
        <v>100</v>
      </c>
      <c r="D104" s="493">
        <v>98</v>
      </c>
      <c r="E104" s="493">
        <v>96</v>
      </c>
      <c r="F104" s="493">
        <v>94</v>
      </c>
      <c r="G104" s="493">
        <v>92</v>
      </c>
      <c r="H104" s="493"/>
      <c r="I104" s="493"/>
      <c r="J104" s="493"/>
      <c r="K104" s="493"/>
      <c r="L104" s="493"/>
      <c r="M104" s="493"/>
      <c r="N104" s="1065"/>
      <c r="O104" s="1065"/>
      <c r="P104" s="2077"/>
      <c r="Q104" s="516"/>
    </row>
    <row r="105" spans="1:17" ht="15" thickTop="1">
      <c r="A105" s="556"/>
      <c r="B105" s="495" t="s">
        <v>2375</v>
      </c>
      <c r="C105" s="511"/>
      <c r="D105" s="511"/>
      <c r="E105" s="540"/>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6"/>
      <c r="Q106" s="461"/>
    </row>
    <row r="107" spans="1:17" ht="15" thickTop="1">
      <c r="A107" s="556"/>
      <c r="B107" s="495" t="s">
        <v>2376</v>
      </c>
      <c r="C107" s="540"/>
      <c r="D107" s="540"/>
      <c r="E107" s="540"/>
      <c r="F107" s="540"/>
      <c r="G107" s="540"/>
      <c r="H107" s="540"/>
      <c r="I107" s="540"/>
      <c r="J107" s="540"/>
      <c r="K107" s="541"/>
      <c r="L107" s="542"/>
      <c r="M107" s="543"/>
      <c r="N107" s="1064"/>
      <c r="O107" s="1064"/>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6"/>
      <c r="Q108" s="461"/>
    </row>
    <row r="109" spans="1:17" ht="15" thickTop="1">
      <c r="A109" s="556"/>
      <c r="B109" s="495" t="s">
        <v>2377</v>
      </c>
      <c r="C109" s="511"/>
      <c r="D109" s="511"/>
      <c r="E109" s="511"/>
      <c r="F109" s="540"/>
      <c r="G109" s="540"/>
      <c r="H109" s="540"/>
      <c r="I109" s="540"/>
      <c r="J109" s="540"/>
      <c r="K109" s="541"/>
      <c r="L109" s="542"/>
      <c r="M109" s="543"/>
      <c r="N109" s="1064"/>
      <c r="O109" s="1064"/>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7"/>
      <c r="Q113" s="516"/>
    </row>
    <row r="114" spans="1:17" ht="15" thickTop="1">
      <c r="A114" s="556"/>
      <c r="B114" s="495" t="s">
        <v>2378</v>
      </c>
      <c r="C114" s="511"/>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6"/>
      <c r="Q115" s="461"/>
    </row>
    <row r="116" spans="1:17" ht="15" thickTop="1">
      <c r="A116" s="556"/>
      <c r="B116" s="495" t="s">
        <v>2379</v>
      </c>
      <c r="C116" s="511"/>
      <c r="D116" s="511"/>
      <c r="E116" s="511"/>
      <c r="F116" s="511"/>
      <c r="G116" s="511"/>
      <c r="H116" s="540"/>
      <c r="I116" s="540"/>
      <c r="J116" s="540"/>
      <c r="K116" s="541"/>
      <c r="L116" s="542"/>
      <c r="M116" s="543"/>
      <c r="N116" s="1064"/>
      <c r="O116" s="1064"/>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6"/>
      <c r="Q117" s="461"/>
    </row>
    <row r="118" spans="1:17" ht="15" thickTop="1">
      <c r="A118" s="556"/>
      <c r="B118" s="495" t="s">
        <v>2380</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6"/>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2381</v>
      </c>
      <c r="C122" s="3234" t="s">
        <v>3198</v>
      </c>
      <c r="D122" s="3234" t="s">
        <v>3199</v>
      </c>
      <c r="E122" s="3234" t="s">
        <v>3200</v>
      </c>
      <c r="F122" s="3583" t="s">
        <v>3201</v>
      </c>
      <c r="G122" s="540"/>
      <c r="H122" s="540"/>
      <c r="I122" s="540"/>
      <c r="J122" s="540"/>
      <c r="K122" s="541"/>
      <c r="L122" s="542"/>
      <c r="M122" s="543"/>
      <c r="N122" s="1064"/>
      <c r="O122" s="1064"/>
      <c r="P122" s="2076"/>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6"/>
      <c r="Q125" s="461"/>
    </row>
    <row r="126" spans="1:17" s="430" customFormat="1" ht="15" thickTop="1">
      <c r="A126" s="550"/>
      <c r="B126" s="495" t="str">
        <f>B44</f>
        <v>有无电梯</v>
      </c>
      <c r="C126" s="3234"/>
      <c r="D126" s="3234"/>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0.95</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8">
        <v>6</v>
      </c>
      <c r="C139" s="999">
        <v>96</v>
      </c>
      <c r="D139" s="2094" t="s">
        <v>2392</v>
      </c>
      <c r="E139" s="1000">
        <v>100</v>
      </c>
      <c r="F139" s="1001">
        <v>102.5</v>
      </c>
      <c r="G139" s="2094" t="s">
        <v>2392</v>
      </c>
      <c r="H139" s="1002">
        <v>105</v>
      </c>
      <c r="I139" s="2095" t="s">
        <v>2393</v>
      </c>
      <c r="J139" s="999">
        <v>20</v>
      </c>
      <c r="K139" s="1003">
        <f>C145/(J139-2)</f>
        <v>4.0555555555555553E-3</v>
      </c>
    </row>
    <row r="140" spans="1:17" ht="15">
      <c r="B140" s="1004">
        <v>5</v>
      </c>
      <c r="C140" s="1005">
        <v>100</v>
      </c>
      <c r="D140" s="1005"/>
      <c r="E140" s="1006"/>
      <c r="F140" s="1007">
        <v>102</v>
      </c>
      <c r="G140" s="1005"/>
      <c r="H140" s="1008"/>
      <c r="I140" s="2096" t="s">
        <v>2394</v>
      </c>
      <c r="J140" s="277">
        <f>ROUNDUP((J139-1)/2,0)</f>
        <v>10</v>
      </c>
      <c r="K140" s="1009">
        <v>100</v>
      </c>
    </row>
    <row r="141" spans="1:17" ht="15">
      <c r="B141" s="1004">
        <v>4</v>
      </c>
      <c r="C141" s="1005">
        <v>102</v>
      </c>
      <c r="D141" s="1005"/>
      <c r="E141" s="1006"/>
      <c r="F141" s="1007">
        <v>101.5</v>
      </c>
      <c r="G141" s="1005"/>
      <c r="H141" s="1008"/>
      <c r="I141" s="2096" t="s">
        <v>2395</v>
      </c>
      <c r="J141" s="277">
        <v>1</v>
      </c>
      <c r="K141" s="1010">
        <f>ROUND(100+(J141-J140)*K139*100,1)</f>
        <v>96.4</v>
      </c>
    </row>
    <row r="142" spans="1:17" ht="15">
      <c r="B142" s="1004">
        <v>3</v>
      </c>
      <c r="C142" s="1005">
        <v>103</v>
      </c>
      <c r="D142" s="1005"/>
      <c r="E142" s="1006"/>
      <c r="F142" s="1007">
        <v>101</v>
      </c>
      <c r="G142" s="1005"/>
      <c r="H142" s="1008"/>
      <c r="I142" s="2096" t="s">
        <v>2396</v>
      </c>
      <c r="J142" s="277">
        <f>J139</f>
        <v>20</v>
      </c>
      <c r="K142" s="1011">
        <v>95</v>
      </c>
    </row>
    <row r="143" spans="1:17" ht="15">
      <c r="B143" s="1004">
        <v>2</v>
      </c>
      <c r="C143" s="1005">
        <v>100</v>
      </c>
      <c r="D143" s="1005"/>
      <c r="E143" s="1006"/>
      <c r="F143" s="1007">
        <v>100.5</v>
      </c>
      <c r="G143" s="1005"/>
      <c r="H143" s="1008"/>
      <c r="I143" s="2096" t="s">
        <v>2397</v>
      </c>
      <c r="J143" s="1005">
        <v>15</v>
      </c>
      <c r="K143" s="1010">
        <f>ROUND(100+(J143-J140)*K139*100,1)</f>
        <v>102</v>
      </c>
    </row>
    <row r="144" spans="1:17" ht="15">
      <c r="B144" s="1004">
        <v>1</v>
      </c>
      <c r="C144" s="1005">
        <v>98</v>
      </c>
      <c r="D144" s="2097" t="s">
        <v>2398</v>
      </c>
      <c r="E144" s="1006">
        <v>102</v>
      </c>
      <c r="F144" s="1012">
        <v>100</v>
      </c>
      <c r="G144" s="2097" t="s">
        <v>2398</v>
      </c>
      <c r="H144" s="1008">
        <v>105</v>
      </c>
      <c r="I144" s="2096" t="s">
        <v>2397</v>
      </c>
      <c r="J144" s="1005">
        <v>18</v>
      </c>
      <c r="K144" s="1010">
        <f>ROUND(100+(J144-J140)*K139*100,1)</f>
        <v>103.2</v>
      </c>
    </row>
    <row r="145" spans="2:11" ht="15.75" thickBot="1">
      <c r="B145" s="2098" t="s">
        <v>2399</v>
      </c>
      <c r="C145" s="1013">
        <f>ROUND(MAX(C139:C144)/MIN(C139:C144)-1,3)</f>
        <v>7.2999999999999995E-2</v>
      </c>
      <c r="D145" s="1014"/>
      <c r="E145" s="1014"/>
      <c r="F145" s="2099" t="s">
        <v>2400</v>
      </c>
      <c r="G145" s="2100"/>
      <c r="H145" s="2101"/>
      <c r="I145" s="2102" t="s">
        <v>2397</v>
      </c>
      <c r="J145" s="1015">
        <v>8</v>
      </c>
      <c r="K145" s="1016">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0" zoomScaleNormal="70" zoomScaleSheetLayoutView="80" workbookViewId="0">
      <selection activeCell="I50" sqref="I5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t="s">
        <v>3135</v>
      </c>
      <c r="C1" s="2014" t="s">
        <v>2189</v>
      </c>
      <c r="D1" s="204"/>
      <c r="E1" s="204"/>
      <c r="F1" s="204"/>
      <c r="G1" s="1259">
        <f>MATCH(B1,'数据-取费表'!A6:A16,0)+5</f>
        <v>6</v>
      </c>
      <c r="H1" s="1191" t="str">
        <f>IF(ISERROR(FIND("住宅",B1)),"非住宅","住宅")</f>
        <v>住宅</v>
      </c>
    </row>
    <row r="2" spans="1:8" s="206" customFormat="1" ht="18" customHeight="1">
      <c r="A2" s="207" t="s">
        <v>2088</v>
      </c>
      <c r="B2" s="208">
        <f ca="1">ROUND(IF(D2="——",C52/10000,C52/10000-E2),0)</f>
        <v>121</v>
      </c>
      <c r="C2" s="205" t="s">
        <v>2089</v>
      </c>
      <c r="D2" s="2008" t="s">
        <v>70</v>
      </c>
      <c r="E2" s="1302"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10045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491084.51999999996</v>
      </c>
      <c r="D5" s="217" t="s">
        <v>2095</v>
      </c>
      <c r="E5" s="218" t="s">
        <v>2096</v>
      </c>
      <c r="F5" s="218" t="s">
        <v>2097</v>
      </c>
      <c r="G5" s="219"/>
    </row>
    <row r="6" spans="1:8" s="220" customFormat="1" ht="13.5" customHeight="1">
      <c r="A6" s="886" t="s">
        <v>2098</v>
      </c>
      <c r="B6" s="221" t="s">
        <v>2099</v>
      </c>
      <c r="C6" s="222">
        <f>'土地比较法-住宅、综合'!C47*'数据-基础表'!I13</f>
        <v>453170.51999999996</v>
      </c>
      <c r="D6" s="223"/>
      <c r="E6" s="224"/>
      <c r="F6" s="224"/>
      <c r="G6" s="225"/>
    </row>
    <row r="7" spans="1:8" s="220" customFormat="1" ht="13.5" customHeight="1">
      <c r="A7" s="886" t="s">
        <v>2100</v>
      </c>
      <c r="B7" s="221" t="s">
        <v>2101</v>
      </c>
      <c r="C7" s="226">
        <f>ROUND(C6*F7,0)</f>
        <v>13822</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24092</v>
      </c>
      <c r="D8" s="228"/>
      <c r="E8" s="226"/>
      <c r="F8" s="227"/>
      <c r="G8" s="2011" t="s">
        <v>3140</v>
      </c>
    </row>
    <row r="9" spans="1:8" s="220" customFormat="1" ht="13.5" customHeight="1">
      <c r="A9" s="887" t="s">
        <v>800</v>
      </c>
      <c r="B9" s="230" t="s">
        <v>2104</v>
      </c>
      <c r="C9" s="231">
        <f ca="1">ROUND(D9*E9,0)</f>
        <v>24092</v>
      </c>
      <c r="D9" s="954">
        <f ca="1">IF(B1="",'数据-汇总表'!E5,IF(INDIRECT("'数据-取费表'!c"&amp;$G$1)="住宅",INDIRECT("'数据-取费表'!k"&amp;$G$1),0))</f>
        <v>120.46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120.46</v>
      </c>
      <c r="E19" s="217">
        <f>'数据-取费表'!B31</f>
        <v>200</v>
      </c>
      <c r="F19" s="237"/>
      <c r="G19" s="2011" t="s">
        <v>3141</v>
      </c>
    </row>
    <row r="20" spans="1:7" s="220" customFormat="1" ht="13.5" customHeight="1">
      <c r="A20" s="261" t="s">
        <v>2200</v>
      </c>
      <c r="B20" s="216" t="s">
        <v>2201</v>
      </c>
      <c r="C20" s="238">
        <f ca="1">ROUND((C5+C19)*F20,0)</f>
        <v>9822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42530</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1">
        <f ca="1">ROUND(IF('数据-取费表'!B22&lt;=1,C5*F22*'数据-取费表'!B22,C5*(POWER((1+F22),'数据-取费表'!B22)-1)),0)</f>
        <v>42117</v>
      </c>
      <c r="D23" s="244"/>
      <c r="E23" s="244"/>
      <c r="F23" s="245"/>
      <c r="G23" s="246" t="s">
        <v>2210</v>
      </c>
    </row>
    <row r="24" spans="1:7" s="220" customFormat="1" ht="13.5" customHeight="1">
      <c r="A24" s="888" t="s">
        <v>2100</v>
      </c>
      <c r="B24" s="221" t="s">
        <v>2211</v>
      </c>
      <c r="C24" s="1261">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1">
        <f ca="1">ROUND(IF('数据-取费表'!B22&lt;=1,C20*F22*'数据-取费表'!B22/2,C20*(POWER((1+F22),'数据-取费表'!B22/2)-1)),0)</f>
        <v>413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75136</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75136</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670249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419803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361380</v>
      </c>
      <c r="D34" s="223"/>
      <c r="E34" s="226"/>
      <c r="F34" s="263"/>
      <c r="G34" s="225"/>
    </row>
    <row r="35" spans="1:7" ht="13.5" customHeight="1">
      <c r="A35" s="888" t="s">
        <v>796</v>
      </c>
      <c r="B35" s="221" t="s">
        <v>2153</v>
      </c>
      <c r="C35" s="226">
        <f ca="1">ROUND(C34*F35,0)</f>
        <v>10841</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18069</v>
      </c>
      <c r="D36" s="226"/>
      <c r="E36" s="226"/>
      <c r="F36" s="265">
        <f>'数据-取费表'!B34</f>
        <v>0.05</v>
      </c>
      <c r="G36" s="266" t="s">
        <v>2156</v>
      </c>
    </row>
    <row r="37" spans="1:7" s="264" customFormat="1" ht="13.5" customHeight="1">
      <c r="A37" s="888" t="s">
        <v>798</v>
      </c>
      <c r="B37" s="221" t="s">
        <v>2157</v>
      </c>
      <c r="C37" s="255">
        <f ca="1">ROUND(E37*D37,0)</f>
        <v>24092</v>
      </c>
      <c r="D37" s="223">
        <f ca="1">D19</f>
        <v>120.46</v>
      </c>
      <c r="E37" s="255">
        <f>'数据-取费表'!B35</f>
        <v>200</v>
      </c>
      <c r="F37" s="265"/>
      <c r="G37" s="267"/>
    </row>
    <row r="38" spans="1:7" ht="13.5" customHeight="1">
      <c r="A38" s="888" t="s">
        <v>799</v>
      </c>
      <c r="B38" s="221" t="s">
        <v>2159</v>
      </c>
      <c r="C38" s="226">
        <f ca="1">ROUND(C34*F38,0)</f>
        <v>5421</v>
      </c>
      <c r="D38" s="226"/>
      <c r="E38" s="226"/>
      <c r="F38" s="265">
        <f>'数据-取费表'!B36</f>
        <v>1.4999999999999999E-2</v>
      </c>
      <c r="G38" s="225" t="s">
        <v>2154</v>
      </c>
    </row>
    <row r="39" spans="1:7" s="220" customFormat="1" ht="13.5" customHeight="1">
      <c r="A39" s="261" t="s">
        <v>2160</v>
      </c>
      <c r="B39" s="216" t="s">
        <v>2161</v>
      </c>
      <c r="C39" s="238">
        <f ca="1">ROUND(C33*F20,0)</f>
        <v>8396</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17985</v>
      </c>
      <c r="D41" s="241">
        <f ca="1">C44</f>
        <v>8.0000000000000004E-4</v>
      </c>
      <c r="E41" s="242" t="s">
        <v>2165</v>
      </c>
      <c r="F41" s="2504">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17632</v>
      </c>
      <c r="D42" s="244"/>
      <c r="E42" s="244"/>
      <c r="F42" s="245"/>
      <c r="G42" s="3435" t="s">
        <v>2217</v>
      </c>
    </row>
    <row r="43" spans="1:7" ht="13.5" customHeight="1">
      <c r="A43" s="888" t="s">
        <v>792</v>
      </c>
      <c r="B43" s="221" t="s">
        <v>2171</v>
      </c>
      <c r="C43" s="244">
        <f ca="1">ROUND(IF('数据-取费表'!B22&lt;=1,C39*F22*'数据-取费表'!B20/2,C39*(POWER((1+F22),'数据-取费表'!B20/2)-1)),0)</f>
        <v>353</v>
      </c>
      <c r="D43" s="244"/>
      <c r="E43" s="244"/>
      <c r="F43" s="245"/>
      <c r="G43" s="3436"/>
    </row>
    <row r="44" spans="1:7" ht="13.5" customHeight="1">
      <c r="A44" s="888" t="s">
        <v>793</v>
      </c>
      <c r="B44" s="221" t="s">
        <v>2172</v>
      </c>
      <c r="C44" s="244">
        <f ca="1">ROUND(IF('数据-取费表'!B22&lt;=1,C40*F22*'数据-取费表'!B20/2,C40*(POWER((1+F22),'数据-取费表'!B20/2)-1)),4)</f>
        <v>8.0000000000000004E-4</v>
      </c>
      <c r="D44" s="244"/>
      <c r="E44" s="244"/>
      <c r="F44" s="245"/>
      <c r="G44" s="3437"/>
    </row>
    <row r="45" spans="1:7" s="220" customFormat="1" ht="13.5" customHeight="1">
      <c r="A45" s="261" t="s">
        <v>2173</v>
      </c>
      <c r="B45" s="250" t="s">
        <v>2139</v>
      </c>
      <c r="C45" s="251">
        <f ca="1">C46</f>
        <v>64230</v>
      </c>
      <c r="D45" s="241">
        <f ca="1">C47</f>
        <v>3.0000000000000001E-3</v>
      </c>
      <c r="E45" s="242" t="s">
        <v>2165</v>
      </c>
      <c r="F45" s="2505">
        <f ca="1">F27</f>
        <v>0.15</v>
      </c>
      <c r="G45" s="253" t="s">
        <v>2174</v>
      </c>
    </row>
    <row r="46" spans="1:7" s="220" customFormat="1" ht="13.5" customHeight="1">
      <c r="A46" s="888" t="s">
        <v>791</v>
      </c>
      <c r="B46" s="254" t="s">
        <v>2175</v>
      </c>
      <c r="C46" s="255">
        <f ca="1">ROUND((C33+C39)*F27,0)</f>
        <v>64230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553055</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541994</v>
      </c>
      <c r="D51" s="238"/>
      <c r="E51" s="238"/>
      <c r="F51" s="270"/>
      <c r="G51" s="240" t="s">
        <v>2186</v>
      </c>
    </row>
    <row r="52" spans="1:7" s="214" customFormat="1" ht="16.5" thickBot="1">
      <c r="A52" s="271" t="s">
        <v>2187</v>
      </c>
      <c r="B52" s="272"/>
      <c r="C52" s="273">
        <f ca="1">C31+C51</f>
        <v>1212243</v>
      </c>
      <c r="D52" s="272"/>
      <c r="E52" s="272"/>
      <c r="F52" s="272"/>
      <c r="G52" s="274"/>
    </row>
    <row r="55" spans="1:7" ht="15">
      <c r="B55" s="276" t="s">
        <v>2188</v>
      </c>
      <c r="C55" s="277"/>
    </row>
    <row r="56" spans="1:7">
      <c r="B56" s="279" t="s">
        <v>1418</v>
      </c>
      <c r="C56" s="281">
        <f ca="1">1-C57</f>
        <v>0.55299999999999994</v>
      </c>
    </row>
    <row r="57" spans="1:7">
      <c r="B57" s="279" t="s">
        <v>1419</v>
      </c>
      <c r="C57" s="280">
        <f ca="1">ROUND(C51/C52,3)</f>
        <v>0.44700000000000001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5"/>
      <c r="F1" s="3005"/>
      <c r="G1" s="2868"/>
      <c r="H1" s="3005"/>
      <c r="I1" s="3005"/>
      <c r="J1" s="3005"/>
      <c r="K1" s="3006">
        <f>MATCH(C1,'数据-取费表'!A6:A16,0)+5</f>
        <v>7</v>
      </c>
    </row>
    <row r="2" spans="1:33" ht="18" customHeight="1">
      <c r="A2" s="207" t="s">
        <v>2088</v>
      </c>
      <c r="B2" s="210">
        <f ca="1">C32</f>
        <v>27462</v>
      </c>
      <c r="C2" s="282" t="s">
        <v>2221</v>
      </c>
      <c r="D2" s="282"/>
      <c r="E2" s="3005"/>
      <c r="F2" s="3005"/>
      <c r="G2" s="3005"/>
      <c r="H2" s="3005"/>
      <c r="I2" s="3005"/>
      <c r="J2" s="3005"/>
      <c r="K2" s="3005"/>
    </row>
    <row r="3" spans="1:33" ht="18" customHeight="1" thickBot="1">
      <c r="A3" s="209" t="s">
        <v>2090</v>
      </c>
      <c r="B3" s="210">
        <f ca="1">ROUND(B2*10000/IF(C1="",'数据-汇总表'!E3,INDIRECT("'数据-取费表'!K"&amp;$K$1)),0)</f>
        <v>2279761</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120.46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120.46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-24090</v>
      </c>
      <c r="D18" s="955"/>
      <c r="E18" s="24"/>
      <c r="F18" s="913"/>
      <c r="G18" s="2017"/>
      <c r="H18" s="1320"/>
      <c r="I18" s="2018"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120.46</v>
      </c>
      <c r="E19" s="24">
        <f>'数据-取费表'!B27</f>
        <v>200</v>
      </c>
      <c r="F19" s="913"/>
      <c r="G19" s="15"/>
      <c r="H19" s="1322"/>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-24090</v>
      </c>
      <c r="D21" s="924"/>
      <c r="E21" s="287"/>
      <c r="F21" s="287"/>
      <c r="G21" s="136" t="s">
        <v>2258</v>
      </c>
      <c r="H21" s="916"/>
      <c r="I21" s="916"/>
      <c r="J21" s="916"/>
      <c r="K21" s="917"/>
    </row>
    <row r="22" spans="1:33" s="912" customFormat="1" ht="13.5" customHeight="1">
      <c r="A22" s="898" t="s">
        <v>2230</v>
      </c>
      <c r="B22" s="922" t="s">
        <v>2259</v>
      </c>
      <c r="C22" s="923">
        <f ca="1">ROUND(C21*F22,0)</f>
        <v>-482</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39">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-3686</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-3686</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27462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t="e">
        <f ca="1">C40+J29+L46</f>
        <v>#DIV/0!</v>
      </c>
      <c r="C2" s="1540" t="s">
        <v>1421</v>
      </c>
      <c r="D2" s="1540"/>
      <c r="E2" s="1541"/>
      <c r="F2" s="1542"/>
      <c r="G2" s="2903"/>
      <c r="H2" s="2892"/>
      <c r="I2" s="2892"/>
      <c r="J2" s="2892"/>
      <c r="K2" s="2893"/>
      <c r="L2" s="2892"/>
      <c r="M2" s="2892"/>
    </row>
    <row r="3" spans="1:37" ht="18" customHeight="1" thickBot="1">
      <c r="A3" s="1543" t="s">
        <v>1422</v>
      </c>
      <c r="B3" s="1544">
        <f ca="1">IF(ISERROR(B2*10000/F43),0,ROUND(B2*10000/F43,0))</f>
        <v>0</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0</v>
      </c>
      <c r="D5" s="1517" t="s">
        <v>1307</v>
      </c>
      <c r="E5" s="1202"/>
      <c r="F5" s="1203"/>
      <c r="G5" s="1537"/>
      <c r="H5" s="305">
        <v>1</v>
      </c>
      <c r="I5" s="306" t="s">
        <v>1306</v>
      </c>
      <c r="J5" s="1201">
        <f ca="1">J6+J10+J12</f>
        <v>0</v>
      </c>
      <c r="K5" s="1517" t="s">
        <v>1307</v>
      </c>
      <c r="L5" s="1202"/>
      <c r="M5" s="1203"/>
    </row>
    <row r="6" spans="1:37" ht="18" customHeight="1">
      <c r="A6" s="1200" t="s">
        <v>1003</v>
      </c>
      <c r="B6" s="3486" t="s">
        <v>1308</v>
      </c>
      <c r="C6" s="1205">
        <f ca="1">ROUND(F6*F8*F7*(1-F9)/10000,0)</f>
        <v>0</v>
      </c>
      <c r="D6" s="160" t="s">
        <v>2789</v>
      </c>
      <c r="E6" s="308" t="s">
        <v>1310</v>
      </c>
      <c r="F6" s="309">
        <f ca="1">INDIRECT("'数据-取费表'!u"&amp;$G$1)</f>
        <v>0</v>
      </c>
      <c r="G6" s="1537"/>
      <c r="H6" s="1200" t="s">
        <v>1003</v>
      </c>
      <c r="I6" s="3486" t="s">
        <v>1308</v>
      </c>
      <c r="J6" s="307">
        <f ca="1">ROUND(M6*M8*M7*(1-M9)/10000,0)</f>
        <v>0</v>
      </c>
      <c r="K6" s="160" t="s">
        <v>2788</v>
      </c>
      <c r="L6" s="308" t="s">
        <v>1310</v>
      </c>
      <c r="M6" s="309">
        <f ca="1">INDIRECT("'数据-取费表'!z"&amp;$G$1)</f>
        <v>0</v>
      </c>
    </row>
    <row r="7" spans="1:37" ht="18" customHeight="1">
      <c r="A7" s="1204"/>
      <c r="B7" s="3487"/>
      <c r="C7" s="1206"/>
      <c r="D7" s="313"/>
      <c r="E7" s="1207" t="s">
        <v>1311</v>
      </c>
      <c r="F7" s="309">
        <f ca="1">IF(INDIRECT("'数据-取费表'!ah"&amp;$G$1)="",INDIRECT("'数据-取费表'!k"&amp;$G$1),INDIRECT("'数据-取费表'!ah"&amp;$G$1))</f>
        <v>0</v>
      </c>
      <c r="G7" s="1537"/>
      <c r="H7" s="310"/>
      <c r="I7" s="3487"/>
      <c r="J7" s="312"/>
      <c r="K7" s="313"/>
      <c r="L7" s="308" t="s">
        <v>1311</v>
      </c>
      <c r="M7" s="309">
        <f ca="1">F7</f>
        <v>0</v>
      </c>
    </row>
    <row r="8" spans="1:37" ht="18" customHeight="1">
      <c r="A8" s="310"/>
      <c r="B8" s="3487"/>
      <c r="C8" s="312"/>
      <c r="D8" s="313"/>
      <c r="E8" s="308" t="s">
        <v>1312</v>
      </c>
      <c r="F8" s="309">
        <f ca="1">INDIRECT("'数据-取费表'!ai"&amp;$G$1)</f>
        <v>0</v>
      </c>
      <c r="G8" s="1537"/>
      <c r="H8" s="310"/>
      <c r="I8" s="3487"/>
      <c r="J8" s="312"/>
      <c r="K8" s="313"/>
      <c r="L8" s="308" t="s">
        <v>1312</v>
      </c>
      <c r="M8" s="309">
        <f ca="1">INDIRECT("'数据-取费表'!ai"&amp;$G$1)</f>
        <v>0</v>
      </c>
    </row>
    <row r="9" spans="1:37" ht="18" customHeight="1">
      <c r="A9" s="310"/>
      <c r="B9" s="3488"/>
      <c r="C9" s="312"/>
      <c r="D9" s="313"/>
      <c r="E9" s="308" t="s">
        <v>1313</v>
      </c>
      <c r="F9" s="318">
        <f ca="1">INDIRECT("'数据-取费表'!w"&amp;$G$1)</f>
        <v>0</v>
      </c>
      <c r="G9" s="1537"/>
      <c r="H9" s="310"/>
      <c r="I9" s="3488"/>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2797</v>
      </c>
      <c r="E10" s="319" t="s">
        <v>1315</v>
      </c>
      <c r="F10" s="1247"/>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90"/>
      <c r="D11" s="1521"/>
      <c r="E11" s="319" t="s">
        <v>1317</v>
      </c>
      <c r="F11" s="320">
        <f ca="1">'数据-取费表'!B39</f>
        <v>1.4999999999999999E-2</v>
      </c>
      <c r="G11" s="1537"/>
      <c r="H11" s="1208"/>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3" t="s">
        <v>1002</v>
      </c>
      <c r="B14" s="308" t="s">
        <v>1322</v>
      </c>
      <c r="C14" s="324">
        <f ca="1">INDIRECT("'数据-取费表'!m"&amp;$G$1)+INDIRECT("'数据-取费表'!t"&amp;$G$1)</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3" t="s">
        <v>1295</v>
      </c>
      <c r="B17" s="308" t="s">
        <v>1331</v>
      </c>
      <c r="C17" s="24">
        <f ca="1">ROUND(F17*(F43+INDIRECT("'数据-取费表'!S"&amp;$G$1))/10000,0)</f>
        <v>0</v>
      </c>
      <c r="D17" s="308" t="s">
        <v>1332</v>
      </c>
      <c r="E17" s="308" t="s">
        <v>1333</v>
      </c>
      <c r="F17" s="26">
        <f>'数据-取费表'!B35</f>
        <v>200</v>
      </c>
      <c r="G17" s="1549"/>
      <c r="H17" s="1113"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IF(K19="按租金收入计税",ROUND(J6*M19/(1+'数据-取费表'!C42),2),ROUND(C29*M19*0.7,2))</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ROUND(M20*M21/10000,2)</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IF(项目基本情况!B11="自然人","——",ROUND(C6*F32/(1+'数据-取费表'!C42),2))</f>
        <v>0</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IF(项目基本情况!B11="自然人","——",ROUND(F34*F35/10000,2))</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ROUND(C29*F36,1)</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ROUND(C13*F37,1)</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ROUND(C40*10000/F43,0)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t="e">
        <f ca="1">C68-C40</f>
        <v>#DIV/0!</v>
      </c>
      <c r="D46" s="1559" t="str">
        <f>C2</f>
        <v>万元</v>
      </c>
      <c r="E46" s="1553"/>
      <c r="F46" s="1553"/>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248" t="s">
        <v>1303</v>
      </c>
      <c r="D47" s="1109"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ROUND(F49*F51*F50*(1-F52)/10000,0)</f>
        <v>0</v>
      </c>
      <c r="D49" s="1185" t="s">
        <v>2790</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249"/>
      <c r="D50" s="1084"/>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4"/>
      <c r="I52" s="1590" t="s">
        <v>1448</v>
      </c>
      <c r="J52" s="1591"/>
      <c r="K52" s="1590" t="s">
        <v>1449</v>
      </c>
      <c r="L52" s="1591"/>
      <c r="O52" s="1581" t="s">
        <v>1013</v>
      </c>
      <c r="P52" s="1572" t="s">
        <v>1450</v>
      </c>
      <c r="Q52" s="1573">
        <f ca="1">J53</f>
        <v>0</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0</v>
      </c>
      <c r="K53" s="3484" t="s">
        <v>1453</v>
      </c>
      <c r="L53" s="3485"/>
      <c r="O53" s="1571" t="s">
        <v>1014</v>
      </c>
      <c r="P53" s="1572" t="s">
        <v>1454</v>
      </c>
      <c r="Q53" s="1573" t="e">
        <f ca="1">Q47+Q48</f>
        <v>#DIV/0!</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0</v>
      </c>
      <c r="D56" s="1600"/>
      <c r="E56" s="1601"/>
      <c r="F56" s="1593"/>
      <c r="I56" s="1602" t="s">
        <v>1459</v>
      </c>
      <c r="J56" s="1603"/>
      <c r="K56" s="1574" t="s">
        <v>1460</v>
      </c>
      <c r="L56" s="1577">
        <f ca="1">IF(L48&lt;J51,"——",L48-J53)</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1462</v>
      </c>
      <c r="L57" s="1577">
        <f ca="1">IF(L48&lt;J51,"——",IF(L55="比较法",L49,IF(L55="基准地价",L50,L51)))</f>
        <v>0</v>
      </c>
      <c r="O57" s="1571" t="s">
        <v>1009</v>
      </c>
      <c r="P57" s="1572" t="s">
        <v>1463</v>
      </c>
      <c r="Q57" s="1573" t="e">
        <f ca="1">L60</f>
        <v>#DIV/0!</v>
      </c>
      <c r="R57" s="1573" t="s">
        <v>1464</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0</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ROUND(C48*F66,1)</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4"/>
      <c r="O70" s="1581" t="s">
        <v>1017</v>
      </c>
      <c r="P70" s="1620" t="s">
        <v>1490</v>
      </c>
      <c r="Q70" s="1573">
        <f ca="1">C13</f>
        <v>0</v>
      </c>
      <c r="R70" s="1573" t="s">
        <v>1434</v>
      </c>
    </row>
    <row r="71" spans="1:18" s="1537" customFormat="1" ht="13.5" thickBot="1">
      <c r="A71" s="1102" t="s">
        <v>1001</v>
      </c>
      <c r="B71" s="1103" t="s">
        <v>1392</v>
      </c>
      <c r="C71" s="342" t="e">
        <f ca="1">ROUND(C68*10000/F71,0)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95" t="s">
        <v>3006</v>
      </c>
      <c r="K2" s="3496"/>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97" t="s">
        <v>3016</v>
      </c>
      <c r="K3" s="3498"/>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97" t="s">
        <v>3018</v>
      </c>
      <c r="K4" s="3498"/>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503" t="s">
        <v>3022</v>
      </c>
      <c r="B6" s="3504"/>
      <c r="C6" s="3505"/>
      <c r="D6" s="3069"/>
      <c r="E6" s="3070"/>
      <c r="F6" s="3071"/>
      <c r="G6" s="3072"/>
      <c r="H6" s="3047"/>
      <c r="I6" s="3048"/>
      <c r="J6" s="3489">
        <v>1</v>
      </c>
      <c r="K6" s="3490"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89"/>
      <c r="K7" s="3491"/>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506" t="s">
        <v>3036</v>
      </c>
      <c r="C8" s="3507"/>
      <c r="D8" s="3088" t="s">
        <v>3037</v>
      </c>
      <c r="E8" s="3089" t="s">
        <v>3038</v>
      </c>
      <c r="F8" s="3090" t="s">
        <v>3039</v>
      </c>
      <c r="G8" s="3091"/>
      <c r="H8" s="3047"/>
      <c r="I8" s="3048"/>
      <c r="J8" s="3489"/>
      <c r="K8" s="3491"/>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506" t="s">
        <v>3042</v>
      </c>
      <c r="C9" s="3507"/>
      <c r="D9" s="3088">
        <f>ROUND(D6*E9,0)</f>
        <v>0</v>
      </c>
      <c r="E9" s="3092"/>
      <c r="F9" s="3093" t="s">
        <v>3043</v>
      </c>
      <c r="G9" s="3072"/>
      <c r="H9" s="3047"/>
      <c r="I9" s="3048"/>
      <c r="J9" s="3489"/>
      <c r="K9" s="3491"/>
      <c r="L9" s="3082" t="s">
        <v>3044</v>
      </c>
      <c r="M9" s="3083"/>
      <c r="N9" s="3059"/>
      <c r="O9" s="3084"/>
      <c r="P9" s="3084"/>
      <c r="Q9" s="3085">
        <v>365</v>
      </c>
      <c r="R9" s="3086">
        <f t="shared" si="0"/>
        <v>0</v>
      </c>
      <c r="S9" s="3040"/>
      <c r="T9" s="3040"/>
      <c r="U9" s="3040"/>
      <c r="V9" s="3048"/>
    </row>
    <row r="10" spans="1:22" s="3052" customFormat="1" ht="13.15" customHeight="1">
      <c r="A10" s="3087">
        <v>2</v>
      </c>
      <c r="B10" s="3506" t="s">
        <v>3045</v>
      </c>
      <c r="C10" s="3507"/>
      <c r="D10" s="3088">
        <f>ROUND(D6*E10,0)</f>
        <v>0</v>
      </c>
      <c r="E10" s="3092"/>
      <c r="F10" s="3093" t="s">
        <v>3046</v>
      </c>
      <c r="G10" s="3072"/>
      <c r="H10" s="3047"/>
      <c r="I10" s="3048"/>
      <c r="J10" s="3489"/>
      <c r="K10" s="3491"/>
      <c r="L10" s="3082" t="s">
        <v>3047</v>
      </c>
      <c r="M10" s="3083"/>
      <c r="N10" s="3059"/>
      <c r="O10" s="3084"/>
      <c r="P10" s="3084"/>
      <c r="Q10" s="3085">
        <v>365</v>
      </c>
      <c r="R10" s="3086">
        <f t="shared" si="0"/>
        <v>0</v>
      </c>
      <c r="S10" s="3040"/>
      <c r="T10" s="3040"/>
      <c r="U10" s="3040"/>
      <c r="V10" s="3048"/>
    </row>
    <row r="11" spans="1:22" s="3052" customFormat="1" ht="13.15" customHeight="1">
      <c r="A11" s="3087">
        <v>3</v>
      </c>
      <c r="B11" s="3506" t="s">
        <v>3048</v>
      </c>
      <c r="C11" s="3507"/>
      <c r="D11" s="3088">
        <f>D12+D14+D15+D16</f>
        <v>0</v>
      </c>
      <c r="E11" s="3094" t="e">
        <f>D11/D6</f>
        <v>#DIV/0!</v>
      </c>
      <c r="F11" s="3090"/>
      <c r="G11" s="3091"/>
      <c r="H11" s="3047"/>
      <c r="I11" s="3048"/>
      <c r="J11" s="3489"/>
      <c r="K11" s="3491"/>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99" t="s">
        <v>3051</v>
      </c>
      <c r="C12" s="3500"/>
      <c r="D12" s="3096">
        <f>ROUND(D13*1.2%*(1-30%),0)</f>
        <v>0</v>
      </c>
      <c r="E12" s="3097">
        <v>1.2E-2</v>
      </c>
      <c r="F12" s="3090" t="s">
        <v>3052</v>
      </c>
      <c r="G12" s="3091"/>
      <c r="H12" s="3047"/>
      <c r="I12" s="3048"/>
      <c r="J12" s="3489"/>
      <c r="K12" s="3491"/>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89"/>
      <c r="K13" s="3491"/>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99" t="s">
        <v>3057</v>
      </c>
      <c r="C14" s="3500"/>
      <c r="D14" s="3096">
        <f>ROUND(E14*B5/10000,0)</f>
        <v>0</v>
      </c>
      <c r="E14" s="3085"/>
      <c r="F14" s="3090" t="s">
        <v>3058</v>
      </c>
      <c r="G14" s="3091"/>
      <c r="H14" s="3047"/>
      <c r="I14" s="3048"/>
      <c r="J14" s="3489"/>
      <c r="K14" s="3492"/>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99" t="s">
        <v>3061</v>
      </c>
      <c r="C15" s="3500"/>
      <c r="D15" s="3096">
        <f>ROUND(D6*E15,0)</f>
        <v>0</v>
      </c>
      <c r="E15" s="3097">
        <v>5.5E-2</v>
      </c>
      <c r="F15" s="3090" t="s">
        <v>3062</v>
      </c>
      <c r="G15" s="3072"/>
      <c r="H15" s="3047"/>
      <c r="I15" s="3048"/>
      <c r="J15" s="3489">
        <v>2</v>
      </c>
      <c r="K15" s="3490"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99" t="s">
        <v>3070</v>
      </c>
      <c r="C16" s="3500"/>
      <c r="D16" s="3107">
        <f>D6*E16</f>
        <v>0</v>
      </c>
      <c r="E16" s="3108"/>
      <c r="F16" s="3093" t="s">
        <v>3071</v>
      </c>
      <c r="G16" s="3072"/>
      <c r="H16" s="3047"/>
      <c r="I16" s="3048"/>
      <c r="J16" s="3489"/>
      <c r="K16" s="3491"/>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501" t="s">
        <v>3073</v>
      </c>
      <c r="C17" s="3502"/>
      <c r="D17" s="3110">
        <f>ROUND(D6*E17,0)</f>
        <v>0</v>
      </c>
      <c r="E17" s="3111"/>
      <c r="F17" s="3112" t="s">
        <v>3074</v>
      </c>
      <c r="G17" s="3072"/>
      <c r="H17" s="3047"/>
      <c r="I17" s="3048"/>
      <c r="J17" s="3489"/>
      <c r="K17" s="3491"/>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89"/>
      <c r="K18" s="3491"/>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89"/>
      <c r="K19" s="3492"/>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9">
        <v>3</v>
      </c>
      <c r="K20" s="3490"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89"/>
      <c r="K21" s="3491"/>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89"/>
      <c r="K22" s="3491"/>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89"/>
      <c r="K23" s="3491"/>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89"/>
      <c r="K24" s="3492"/>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93">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94"/>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95" t="s">
        <v>3006</v>
      </c>
      <c r="K32" s="3496"/>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97" t="s">
        <v>3016</v>
      </c>
      <c r="K33" s="3498"/>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97" t="s">
        <v>3018</v>
      </c>
      <c r="K34" s="349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89">
        <v>1</v>
      </c>
      <c r="K36" s="3490"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89"/>
      <c r="K37" s="3491"/>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9"/>
      <c r="K38" s="3491"/>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89"/>
      <c r="K39" s="3491"/>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89"/>
      <c r="K40" s="3492"/>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93">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94"/>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4"/>
      <c r="G1" s="1643"/>
      <c r="H1" s="1643"/>
      <c r="I1" s="1643"/>
      <c r="J1" s="1643"/>
      <c r="K1" s="1643"/>
      <c r="L1" s="1643"/>
      <c r="M1" s="1643"/>
      <c r="N1" s="1643"/>
      <c r="O1" s="1643"/>
      <c r="P1" s="1643"/>
      <c r="Q1" s="1643"/>
      <c r="R1" s="1643"/>
      <c r="S1" s="1643"/>
    </row>
    <row r="2" spans="1:22" ht="15.75">
      <c r="A2" s="2025" t="s">
        <v>2088</v>
      </c>
      <c r="B2" s="2026">
        <f ca="1">SUMIF(B6:B13,"&lt;&gt;#ref!",B6:B13)</f>
        <v>30</v>
      </c>
      <c r="C2" s="2027" t="s">
        <v>2280</v>
      </c>
      <c r="D2" s="2028" t="s">
        <v>2281</v>
      </c>
      <c r="E2" s="2801">
        <f>SUM(E6:E13)</f>
        <v>120.46</v>
      </c>
      <c r="F2" s="2904"/>
      <c r="G2" s="1643"/>
      <c r="H2" s="1643"/>
      <c r="I2" s="1643"/>
      <c r="J2" s="1643"/>
      <c r="K2" s="1643"/>
      <c r="L2" s="1643"/>
      <c r="M2" s="1643"/>
      <c r="N2" s="1643"/>
      <c r="O2" s="1643"/>
      <c r="P2" s="1643"/>
      <c r="Q2" s="1643"/>
      <c r="R2" s="1643"/>
      <c r="S2" s="1643"/>
    </row>
    <row r="3" spans="1:22" ht="15.75">
      <c r="A3" s="2025" t="s">
        <v>1300</v>
      </c>
      <c r="B3" s="2795">
        <f ca="1">ROUND(B2*10000/E2,0)</f>
        <v>2490</v>
      </c>
      <c r="C3" s="2027"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508" t="s">
        <v>2283</v>
      </c>
      <c r="C5" s="3509"/>
      <c r="D5" s="2905"/>
      <c r="E5" s="2029" t="s">
        <v>2284</v>
      </c>
      <c r="F5" s="2030" t="s">
        <v>2285</v>
      </c>
      <c r="G5" s="1643"/>
      <c r="H5" s="1643"/>
      <c r="I5" s="1643"/>
      <c r="J5" s="1643"/>
      <c r="K5" s="1643"/>
      <c r="L5" s="1643"/>
      <c r="M5" s="1643"/>
      <c r="N5" s="1643"/>
      <c r="O5" s="1643"/>
      <c r="P5" s="1643"/>
      <c r="Q5" s="1643"/>
      <c r="R5" s="1643"/>
      <c r="S5" s="1643"/>
    </row>
    <row r="6" spans="1:22">
      <c r="A6" s="2798" t="str">
        <f>'数据-取费表'!AN6</f>
        <v>收益法 (元)</v>
      </c>
      <c r="B6" s="2796">
        <f ca="1">IF(F6="是",'数据-取费表'!AO6,0)</f>
        <v>30</v>
      </c>
      <c r="C6" s="2027" t="s">
        <v>2280</v>
      </c>
      <c r="D6" s="2906"/>
      <c r="E6" s="2800">
        <f>IF(OR(A6=0,F6="否"),0,'数据-取费表'!K6+'数据-取费表'!S6)</f>
        <v>120.46</v>
      </c>
      <c r="F6" s="2031" t="s">
        <v>2286</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2280</v>
      </c>
      <c r="D7" s="2906"/>
      <c r="E7" s="2800">
        <f>IF(OR(A7=0,F7="否"),0,'数据-取费表'!K7+'数据-取费表'!S7)</f>
        <v>0</v>
      </c>
      <c r="F7" s="2031" t="s">
        <v>2286</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2280</v>
      </c>
      <c r="D8" s="2906"/>
      <c r="E8" s="2800">
        <f>IF(OR(A8=0,F8="否"),0,'数据-取费表'!K8+'数据-取费表'!S8)</f>
        <v>0</v>
      </c>
      <c r="F8" s="2031"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2280</v>
      </c>
      <c r="D9" s="2906"/>
      <c r="E9" s="2800">
        <f>IF(OR(A9=0,F9="否"),0,'数据-取费表'!K9+'数据-取费表'!S9)</f>
        <v>0</v>
      </c>
      <c r="F9" s="2031"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2280</v>
      </c>
      <c r="D10" s="2906"/>
      <c r="E10" s="2800">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2280</v>
      </c>
      <c r="D11" s="2906"/>
      <c r="E11" s="2800">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2280</v>
      </c>
      <c r="D12" s="2906"/>
      <c r="E12" s="2800">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2280</v>
      </c>
      <c r="D13" s="2907"/>
      <c r="E13" s="2800">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1"/>
      <c r="F1" s="2034"/>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2106"/>
      <c r="Q2" s="1043"/>
      <c r="R2" s="1043"/>
      <c r="S2" s="1043"/>
      <c r="T2" s="1043"/>
      <c r="U2" s="1043"/>
      <c r="V2" s="1043"/>
      <c r="W2" s="1043"/>
      <c r="X2" s="1043"/>
      <c r="Y2" s="1043"/>
      <c r="Z2" s="1043"/>
      <c r="AA2" s="1043"/>
      <c r="AB2" s="1043"/>
      <c r="AC2" s="2107"/>
    </row>
    <row r="3" spans="1:29" s="358" customFormat="1" ht="28.5" customHeight="1" thickBot="1">
      <c r="A3" s="209" t="s">
        <v>2090</v>
      </c>
      <c r="B3" s="566" t="e">
        <f ca="1">IF(C2="——",C49,ROUND(B2*10000/D3,0))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2106"/>
      <c r="Q3" s="1043"/>
      <c r="R3" s="1043"/>
      <c r="S3" s="1043"/>
      <c r="T3" s="1043"/>
      <c r="U3" s="1043"/>
      <c r="V3" s="1043"/>
      <c r="W3" s="1043"/>
      <c r="X3" s="1043"/>
      <c r="Y3" s="1043"/>
      <c r="Z3" s="1043"/>
      <c r="AA3" s="1043"/>
      <c r="AB3" s="1043"/>
      <c r="AC3" s="2108"/>
    </row>
    <row r="4" spans="1:29" ht="15">
      <c r="A4" s="361" t="s">
        <v>2406</v>
      </c>
      <c r="B4" s="362"/>
      <c r="C4" s="3456" t="s">
        <v>2407</v>
      </c>
      <c r="D4" s="3457"/>
      <c r="E4" s="3458" t="s">
        <v>2408</v>
      </c>
      <c r="F4" s="3459"/>
      <c r="G4" s="3456" t="s">
        <v>2409</v>
      </c>
      <c r="H4" s="3457"/>
      <c r="I4" s="3456" t="s">
        <v>2410</v>
      </c>
      <c r="J4" s="3457"/>
      <c r="K4" s="567" t="s">
        <v>2411</v>
      </c>
      <c r="L4" s="2912"/>
      <c r="M4" s="2913"/>
      <c r="N4" s="2913"/>
      <c r="O4" s="2913"/>
      <c r="P4" s="3460" t="s">
        <v>2412</v>
      </c>
      <c r="Q4" s="3461"/>
      <c r="R4" s="3466" t="s">
        <v>2408</v>
      </c>
      <c r="S4" s="3467"/>
      <c r="T4" s="3466" t="s">
        <v>2409</v>
      </c>
      <c r="U4" s="3467"/>
      <c r="V4" s="3472" t="s">
        <v>2410</v>
      </c>
      <c r="W4" s="3472"/>
      <c r="X4" s="1508"/>
      <c r="Y4" s="3466" t="s">
        <v>2412</v>
      </c>
      <c r="Z4" s="3467"/>
      <c r="AA4" s="3453" t="s">
        <v>2408</v>
      </c>
      <c r="AB4" s="3472" t="s">
        <v>2409</v>
      </c>
      <c r="AC4" s="3453" t="s">
        <v>2410</v>
      </c>
    </row>
    <row r="5" spans="1:29" ht="15">
      <c r="A5" s="364"/>
      <c r="B5" s="365"/>
      <c r="C5" s="3475" t="s">
        <v>2303</v>
      </c>
      <c r="D5" s="3476"/>
      <c r="E5" s="3482" t="s">
        <v>2304</v>
      </c>
      <c r="F5" s="3483"/>
      <c r="G5" s="3475" t="s">
        <v>2305</v>
      </c>
      <c r="H5" s="3476"/>
      <c r="I5" s="3475" t="s">
        <v>2306</v>
      </c>
      <c r="J5" s="3476"/>
      <c r="K5" s="567"/>
      <c r="L5" s="2912"/>
      <c r="M5" s="2913"/>
      <c r="N5" s="2913"/>
      <c r="O5" s="2913"/>
      <c r="P5" s="3462"/>
      <c r="Q5" s="3463"/>
      <c r="R5" s="3468"/>
      <c r="S5" s="3469"/>
      <c r="T5" s="3468"/>
      <c r="U5" s="3469"/>
      <c r="V5" s="3472"/>
      <c r="W5" s="3472"/>
      <c r="X5" s="1508"/>
      <c r="Y5" s="3468"/>
      <c r="Z5" s="3469"/>
      <c r="AA5" s="3454"/>
      <c r="AB5" s="3472"/>
      <c r="AC5" s="3454"/>
    </row>
    <row r="6" spans="1:29" ht="15.75" thickBot="1">
      <c r="A6" s="366"/>
      <c r="B6" s="367"/>
      <c r="C6" s="3473" t="s">
        <v>2307</v>
      </c>
      <c r="D6" s="3474"/>
      <c r="E6" s="3480" t="s">
        <v>2307</v>
      </c>
      <c r="F6" s="3481"/>
      <c r="G6" s="3473" t="s">
        <v>2307</v>
      </c>
      <c r="H6" s="3474"/>
      <c r="I6" s="3473" t="s">
        <v>2307</v>
      </c>
      <c r="J6" s="3474"/>
      <c r="K6" s="567" t="s">
        <v>2308</v>
      </c>
      <c r="L6" s="2912"/>
      <c r="M6" s="2913"/>
      <c r="N6" s="2913"/>
      <c r="O6" s="2913"/>
      <c r="P6" s="3464"/>
      <c r="Q6" s="3465"/>
      <c r="R6" s="3468"/>
      <c r="S6" s="3469"/>
      <c r="T6" s="3470"/>
      <c r="U6" s="3471"/>
      <c r="V6" s="3472"/>
      <c r="W6" s="3472"/>
      <c r="X6" s="1508"/>
      <c r="Y6" s="3470"/>
      <c r="Z6" s="3471"/>
      <c r="AA6" s="3455"/>
      <c r="AB6" s="3472"/>
      <c r="AC6" s="3455"/>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77" t="s">
        <v>2310</v>
      </c>
      <c r="Q7" s="3479"/>
      <c r="R7" s="710" t="s">
        <v>17</v>
      </c>
      <c r="S7" s="711">
        <f t="shared" ref="S7:S15" si="0">F7</f>
        <v>0</v>
      </c>
      <c r="T7" s="710" t="s">
        <v>17</v>
      </c>
      <c r="U7" s="711">
        <f t="shared" ref="U7:U15" si="1">H7</f>
        <v>0</v>
      </c>
      <c r="V7" s="710" t="s">
        <v>17</v>
      </c>
      <c r="W7" s="711">
        <f t="shared" ref="W7:W15" si="2">J7</f>
        <v>0</v>
      </c>
      <c r="X7" s="712"/>
      <c r="Y7" s="3477" t="s">
        <v>2310</v>
      </c>
      <c r="Z7" s="347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77" t="s">
        <v>2313</v>
      </c>
      <c r="Q8" s="3478"/>
      <c r="R8" s="710" t="s">
        <v>17</v>
      </c>
      <c r="S8" s="711">
        <f t="shared" si="0"/>
        <v>0</v>
      </c>
      <c r="T8" s="710" t="s">
        <v>17</v>
      </c>
      <c r="U8" s="711">
        <f t="shared" si="1"/>
        <v>0</v>
      </c>
      <c r="V8" s="710" t="s">
        <v>17</v>
      </c>
      <c r="W8" s="711">
        <f t="shared" si="2"/>
        <v>0</v>
      </c>
      <c r="X8" s="712"/>
      <c r="Y8" s="3477" t="s">
        <v>2313</v>
      </c>
      <c r="Z8" s="347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52"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52"/>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52"/>
      <c r="Q11" s="1496"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52"/>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52"/>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52"/>
      <c r="Q14" s="1496">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50" t="s">
        <v>2321</v>
      </c>
      <c r="Q15" s="1505" t="str">
        <f t="shared" si="6"/>
        <v>商业繁华度</v>
      </c>
      <c r="R15" s="714" t="s">
        <v>17</v>
      </c>
      <c r="S15" s="715">
        <f t="shared" si="0"/>
        <v>100</v>
      </c>
      <c r="T15" s="714" t="s">
        <v>17</v>
      </c>
      <c r="U15" s="715">
        <f t="shared" si="1"/>
        <v>100</v>
      </c>
      <c r="V15" s="714" t="s">
        <v>17</v>
      </c>
      <c r="W15" s="715">
        <f t="shared" si="2"/>
        <v>100</v>
      </c>
      <c r="X15" s="1508"/>
      <c r="Y15" s="344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51"/>
      <c r="Q16" s="1505"/>
      <c r="R16" s="714"/>
      <c r="S16" s="715"/>
      <c r="T16" s="714"/>
      <c r="U16" s="715"/>
      <c r="V16" s="714"/>
      <c r="W16" s="715"/>
      <c r="X16" s="1508"/>
      <c r="Y16" s="344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51"/>
      <c r="Q17" s="1505" t="str">
        <f>B17</f>
        <v>交通便捷度</v>
      </c>
      <c r="R17" s="714" t="s">
        <v>17</v>
      </c>
      <c r="S17" s="715">
        <f>F17</f>
        <v>100</v>
      </c>
      <c r="T17" s="714" t="s">
        <v>17</v>
      </c>
      <c r="U17" s="715">
        <f>H17</f>
        <v>100</v>
      </c>
      <c r="V17" s="714" t="s">
        <v>17</v>
      </c>
      <c r="W17" s="715">
        <f>J17</f>
        <v>100</v>
      </c>
      <c r="X17" s="1508"/>
      <c r="Y17" s="344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451"/>
      <c r="Q18" s="1505"/>
      <c r="R18" s="714"/>
      <c r="S18" s="715"/>
      <c r="T18" s="714"/>
      <c r="U18" s="715"/>
      <c r="V18" s="714"/>
      <c r="W18" s="715"/>
      <c r="X18" s="1508"/>
      <c r="Y18" s="3444"/>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51"/>
      <c r="Q19" s="1505" t="str">
        <f>B19</f>
        <v>公共配套设施</v>
      </c>
      <c r="R19" s="714" t="s">
        <v>17</v>
      </c>
      <c r="S19" s="715">
        <f>F19</f>
        <v>100</v>
      </c>
      <c r="T19" s="714" t="s">
        <v>17</v>
      </c>
      <c r="U19" s="715">
        <f>H19</f>
        <v>100</v>
      </c>
      <c r="V19" s="714" t="s">
        <v>17</v>
      </c>
      <c r="W19" s="715">
        <f>J19</f>
        <v>100</v>
      </c>
      <c r="X19" s="1508"/>
      <c r="Y19" s="344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451"/>
      <c r="Q20" s="1505"/>
      <c r="R20" s="714"/>
      <c r="S20" s="715"/>
      <c r="T20" s="714"/>
      <c r="U20" s="715"/>
      <c r="V20" s="714"/>
      <c r="W20" s="715"/>
      <c r="X20" s="1508"/>
      <c r="Y20" s="3444"/>
      <c r="Z20" s="1509"/>
      <c r="AA20" s="1506">
        <v>1</v>
      </c>
      <c r="AB20" s="1506">
        <v>1</v>
      </c>
      <c r="AC20" s="1506">
        <v>1</v>
      </c>
    </row>
    <row r="21" spans="1:29" ht="28.5">
      <c r="A21" s="387"/>
      <c r="B21" s="1264"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51"/>
      <c r="Q21" s="1505" t="str">
        <f>B21</f>
        <v>基础设施水平</v>
      </c>
      <c r="R21" s="714" t="s">
        <v>17</v>
      </c>
      <c r="S21" s="715">
        <f>F21</f>
        <v>100</v>
      </c>
      <c r="T21" s="714" t="s">
        <v>17</v>
      </c>
      <c r="U21" s="715">
        <f>H21</f>
        <v>100</v>
      </c>
      <c r="V21" s="714" t="s">
        <v>17</v>
      </c>
      <c r="W21" s="715">
        <f>J21</f>
        <v>100</v>
      </c>
      <c r="X21" s="1508"/>
      <c r="Y21" s="3444"/>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9"/>
      <c r="M22" s="2913"/>
      <c r="N22" s="2913"/>
      <c r="O22" s="2913"/>
      <c r="P22" s="3451"/>
      <c r="Q22" s="1505"/>
      <c r="R22" s="714"/>
      <c r="S22" s="715"/>
      <c r="T22" s="714"/>
      <c r="U22" s="715"/>
      <c r="V22" s="714"/>
      <c r="W22" s="715"/>
      <c r="X22" s="1508"/>
      <c r="Y22" s="3444"/>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51"/>
      <c r="Q23" s="1505" t="str">
        <f>B23</f>
        <v>自然及人文环境</v>
      </c>
      <c r="R23" s="714" t="s">
        <v>17</v>
      </c>
      <c r="S23" s="715">
        <f>F23</f>
        <v>100</v>
      </c>
      <c r="T23" s="714" t="s">
        <v>17</v>
      </c>
      <c r="U23" s="715">
        <f>H23</f>
        <v>100</v>
      </c>
      <c r="V23" s="714" t="s">
        <v>17</v>
      </c>
      <c r="W23" s="715">
        <f>J23</f>
        <v>100</v>
      </c>
      <c r="X23" s="1508"/>
      <c r="Y23" s="344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451"/>
      <c r="Q24" s="1505"/>
      <c r="R24" s="714"/>
      <c r="S24" s="715"/>
      <c r="T24" s="714"/>
      <c r="U24" s="715"/>
      <c r="V24" s="714"/>
      <c r="W24" s="715"/>
      <c r="X24" s="1508"/>
      <c r="Y24" s="344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51"/>
      <c r="Q25" s="1505" t="str">
        <f t="shared" ref="Q25:Q46" si="11">B25</f>
        <v>临街状况</v>
      </c>
      <c r="R25" s="714" t="s">
        <v>17</v>
      </c>
      <c r="S25" s="715">
        <f>F25</f>
        <v>100</v>
      </c>
      <c r="T25" s="714" t="s">
        <v>17</v>
      </c>
      <c r="U25" s="715">
        <f>H25</f>
        <v>100</v>
      </c>
      <c r="V25" s="714" t="s">
        <v>17</v>
      </c>
      <c r="W25" s="715">
        <f>J25</f>
        <v>100</v>
      </c>
      <c r="X25" s="1508"/>
      <c r="Y25" s="3444"/>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51"/>
      <c r="Q26" s="1505" t="str">
        <f t="shared" si="11"/>
        <v>平面位置/可视性</v>
      </c>
      <c r="R26" s="714" t="s">
        <v>17</v>
      </c>
      <c r="S26" s="715">
        <f>F26</f>
        <v>100</v>
      </c>
      <c r="T26" s="714" t="s">
        <v>17</v>
      </c>
      <c r="U26" s="715">
        <f>H26</f>
        <v>100</v>
      </c>
      <c r="V26" s="714" t="s">
        <v>17</v>
      </c>
      <c r="W26" s="715">
        <f>J26</f>
        <v>100</v>
      </c>
      <c r="X26" s="1508"/>
      <c r="Y26" s="3444"/>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51"/>
      <c r="Q27" s="1496" t="str">
        <f t="shared" si="11"/>
        <v>人流量</v>
      </c>
      <c r="R27" s="710" t="s">
        <v>17</v>
      </c>
      <c r="S27" s="711">
        <f>F27</f>
        <v>100</v>
      </c>
      <c r="T27" s="710" t="s">
        <v>17</v>
      </c>
      <c r="U27" s="711">
        <f>H27</f>
        <v>100</v>
      </c>
      <c r="V27" s="710" t="s">
        <v>17</v>
      </c>
      <c r="W27" s="711">
        <f>J27</f>
        <v>100</v>
      </c>
      <c r="X27" s="712"/>
      <c r="Y27" s="344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5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44"/>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51"/>
      <c r="Q29" s="1505">
        <f t="shared" si="11"/>
        <v>111</v>
      </c>
      <c r="R29" s="714" t="s">
        <v>17</v>
      </c>
      <c r="S29" s="715">
        <f t="shared" si="12"/>
        <v>100</v>
      </c>
      <c r="T29" s="714" t="s">
        <v>17</v>
      </c>
      <c r="U29" s="715">
        <f t="shared" si="13"/>
        <v>100</v>
      </c>
      <c r="V29" s="714" t="s">
        <v>17</v>
      </c>
      <c r="W29" s="715">
        <f t="shared" si="14"/>
        <v>100</v>
      </c>
      <c r="X29" s="1508"/>
      <c r="Y29" s="3444"/>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51"/>
      <c r="Q30" s="1505">
        <f t="shared" si="11"/>
        <v>111</v>
      </c>
      <c r="R30" s="714" t="s">
        <v>17</v>
      </c>
      <c r="S30" s="715">
        <f t="shared" si="12"/>
        <v>100</v>
      </c>
      <c r="T30" s="714" t="s">
        <v>17</v>
      </c>
      <c r="U30" s="715">
        <f t="shared" si="13"/>
        <v>100</v>
      </c>
      <c r="V30" s="714" t="s">
        <v>17</v>
      </c>
      <c r="W30" s="715">
        <f t="shared" si="14"/>
        <v>100</v>
      </c>
      <c r="X30" s="1508"/>
      <c r="Y30" s="3444"/>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51"/>
      <c r="Q31" s="1505">
        <f t="shared" si="11"/>
        <v>111</v>
      </c>
      <c r="R31" s="714" t="s">
        <v>17</v>
      </c>
      <c r="S31" s="715">
        <f t="shared" si="12"/>
        <v>100</v>
      </c>
      <c r="T31" s="714" t="s">
        <v>17</v>
      </c>
      <c r="U31" s="715">
        <f t="shared" si="13"/>
        <v>100</v>
      </c>
      <c r="V31" s="714" t="s">
        <v>17</v>
      </c>
      <c r="W31" s="715">
        <f t="shared" si="14"/>
        <v>100</v>
      </c>
      <c r="X31" s="1508"/>
      <c r="Y31" s="3444"/>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445" t="s">
        <v>2326</v>
      </c>
      <c r="Q32" s="1505" t="str">
        <f t="shared" si="11"/>
        <v>商业类型</v>
      </c>
      <c r="R32" s="714" t="s">
        <v>17</v>
      </c>
      <c r="S32" s="715">
        <f t="shared" si="12"/>
        <v>100</v>
      </c>
      <c r="T32" s="714" t="s">
        <v>17</v>
      </c>
      <c r="U32" s="715">
        <f t="shared" si="13"/>
        <v>100</v>
      </c>
      <c r="V32" s="714" t="s">
        <v>17</v>
      </c>
      <c r="W32" s="715">
        <f t="shared" si="14"/>
        <v>100</v>
      </c>
      <c r="X32" s="1508"/>
      <c r="Y32" s="3448"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46"/>
      <c r="Q33" s="716" t="str">
        <f t="shared" si="11"/>
        <v>项目建筑规模</v>
      </c>
      <c r="R33" s="717" t="s">
        <v>17</v>
      </c>
      <c r="S33" s="718" t="e">
        <f t="shared" si="12"/>
        <v>#N/A</v>
      </c>
      <c r="T33" s="717" t="s">
        <v>17</v>
      </c>
      <c r="U33" s="718" t="e">
        <f t="shared" si="13"/>
        <v>#N/A</v>
      </c>
      <c r="V33" s="717" t="s">
        <v>17</v>
      </c>
      <c r="W33" s="718" t="e">
        <f t="shared" si="14"/>
        <v>#N/A</v>
      </c>
      <c r="X33" s="719"/>
      <c r="Y33" s="3448"/>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46"/>
      <c r="Q34" s="1505" t="str">
        <f t="shared" si="11"/>
        <v>建筑结构</v>
      </c>
      <c r="R34" s="714" t="s">
        <v>17</v>
      </c>
      <c r="S34" s="715">
        <f t="shared" si="12"/>
        <v>100</v>
      </c>
      <c r="T34" s="714" t="s">
        <v>17</v>
      </c>
      <c r="U34" s="715">
        <f t="shared" si="13"/>
        <v>100</v>
      </c>
      <c r="V34" s="714" t="s">
        <v>17</v>
      </c>
      <c r="W34" s="715">
        <f t="shared" si="14"/>
        <v>100</v>
      </c>
      <c r="X34" s="1508"/>
      <c r="Y34" s="3448"/>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446"/>
      <c r="Q35" s="1505" t="str">
        <f t="shared" si="11"/>
        <v>公共部分装修</v>
      </c>
      <c r="R35" s="714" t="s">
        <v>17</v>
      </c>
      <c r="S35" s="715">
        <f t="shared" si="12"/>
        <v>100</v>
      </c>
      <c r="T35" s="714" t="s">
        <v>17</v>
      </c>
      <c r="U35" s="715">
        <f t="shared" si="13"/>
        <v>100</v>
      </c>
      <c r="V35" s="714" t="s">
        <v>17</v>
      </c>
      <c r="W35" s="715">
        <f t="shared" si="14"/>
        <v>100</v>
      </c>
      <c r="X35" s="1508"/>
      <c r="Y35" s="3448"/>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46"/>
      <c r="Q36" s="1505" t="str">
        <f t="shared" si="11"/>
        <v>成新度</v>
      </c>
      <c r="R36" s="714" t="s">
        <v>17</v>
      </c>
      <c r="S36" s="715" t="e">
        <f t="shared" si="12"/>
        <v>#N/A</v>
      </c>
      <c r="T36" s="714" t="s">
        <v>17</v>
      </c>
      <c r="U36" s="715" t="e">
        <f t="shared" si="13"/>
        <v>#N/A</v>
      </c>
      <c r="V36" s="714" t="s">
        <v>17</v>
      </c>
      <c r="W36" s="715" t="e">
        <f t="shared" si="14"/>
        <v>#N/A</v>
      </c>
      <c r="X36" s="1508"/>
      <c r="Y36" s="3448"/>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446"/>
      <c r="Q37" s="1496" t="str">
        <f t="shared" si="11"/>
        <v>市政基础设施</v>
      </c>
      <c r="R37" s="710" t="s">
        <v>17</v>
      </c>
      <c r="S37" s="711">
        <f t="shared" si="12"/>
        <v>100</v>
      </c>
      <c r="T37" s="710" t="s">
        <v>17</v>
      </c>
      <c r="U37" s="711">
        <f t="shared" si="13"/>
        <v>100</v>
      </c>
      <c r="V37" s="710" t="s">
        <v>17</v>
      </c>
      <c r="W37" s="711">
        <f t="shared" si="14"/>
        <v>100</v>
      </c>
      <c r="X37" s="712"/>
      <c r="Y37" s="3448"/>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446" t="s">
        <v>2326</v>
      </c>
      <c r="Q38" s="1505" t="str">
        <f t="shared" si="11"/>
        <v>业态</v>
      </c>
      <c r="R38" s="714" t="s">
        <v>17</v>
      </c>
      <c r="S38" s="715">
        <f t="shared" si="12"/>
        <v>100</v>
      </c>
      <c r="T38" s="714" t="s">
        <v>17</v>
      </c>
      <c r="U38" s="715">
        <f t="shared" si="13"/>
        <v>100</v>
      </c>
      <c r="V38" s="714" t="s">
        <v>17</v>
      </c>
      <c r="W38" s="715">
        <f t="shared" si="14"/>
        <v>100</v>
      </c>
      <c r="X38" s="1508"/>
      <c r="Y38" s="3448"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446"/>
      <c r="Q39" s="1505" t="str">
        <f t="shared" si="11"/>
        <v>层高</v>
      </c>
      <c r="R39" s="714" t="s">
        <v>17</v>
      </c>
      <c r="S39" s="715">
        <f t="shared" si="12"/>
        <v>100</v>
      </c>
      <c r="T39" s="714" t="s">
        <v>17</v>
      </c>
      <c r="U39" s="715">
        <f t="shared" si="13"/>
        <v>100</v>
      </c>
      <c r="V39" s="714" t="s">
        <v>17</v>
      </c>
      <c r="W39" s="715">
        <f t="shared" si="14"/>
        <v>100</v>
      </c>
      <c r="X39" s="1508"/>
      <c r="Y39" s="3448"/>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46"/>
      <c r="Q40" s="1505" t="str">
        <f t="shared" si="11"/>
        <v>单套建筑面积</v>
      </c>
      <c r="R40" s="714" t="s">
        <v>17</v>
      </c>
      <c r="S40" s="715">
        <f t="shared" si="12"/>
        <v>100</v>
      </c>
      <c r="T40" s="714" t="s">
        <v>17</v>
      </c>
      <c r="U40" s="715">
        <f t="shared" si="13"/>
        <v>100</v>
      </c>
      <c r="V40" s="714" t="s">
        <v>17</v>
      </c>
      <c r="W40" s="715">
        <f t="shared" si="14"/>
        <v>100</v>
      </c>
      <c r="X40" s="1508"/>
      <c r="Y40" s="3448"/>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46"/>
      <c r="Q41" s="716" t="str">
        <f t="shared" si="11"/>
        <v>进深比</v>
      </c>
      <c r="R41" s="717" t="s">
        <v>17</v>
      </c>
      <c r="S41" s="718">
        <f t="shared" si="12"/>
        <v>100</v>
      </c>
      <c r="T41" s="717" t="s">
        <v>17</v>
      </c>
      <c r="U41" s="718">
        <f t="shared" si="13"/>
        <v>100</v>
      </c>
      <c r="V41" s="717" t="s">
        <v>17</v>
      </c>
      <c r="W41" s="718">
        <f t="shared" si="14"/>
        <v>100</v>
      </c>
      <c r="X41" s="719"/>
      <c r="Y41" s="3448"/>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446"/>
      <c r="Q42" s="1505" t="str">
        <f t="shared" si="11"/>
        <v>内部装修</v>
      </c>
      <c r="R42" s="714" t="s">
        <v>17</v>
      </c>
      <c r="S42" s="715">
        <f t="shared" si="12"/>
        <v>100</v>
      </c>
      <c r="T42" s="714" t="s">
        <v>17</v>
      </c>
      <c r="U42" s="715">
        <f t="shared" si="13"/>
        <v>100</v>
      </c>
      <c r="V42" s="714" t="s">
        <v>17</v>
      </c>
      <c r="W42" s="715">
        <f t="shared" si="14"/>
        <v>100</v>
      </c>
      <c r="X42" s="1508"/>
      <c r="Y42" s="3448"/>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446"/>
      <c r="Q43" s="1505" t="str">
        <f t="shared" si="11"/>
        <v>内部装修维护情况</v>
      </c>
      <c r="R43" s="714" t="s">
        <v>17</v>
      </c>
      <c r="S43" s="715">
        <f t="shared" si="12"/>
        <v>100</v>
      </c>
      <c r="T43" s="714" t="s">
        <v>17</v>
      </c>
      <c r="U43" s="715">
        <f t="shared" si="13"/>
        <v>100</v>
      </c>
      <c r="V43" s="714" t="s">
        <v>17</v>
      </c>
      <c r="W43" s="715">
        <f t="shared" si="14"/>
        <v>100</v>
      </c>
      <c r="X43" s="1508"/>
      <c r="Y43" s="3448"/>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46"/>
      <c r="Q44" s="1496">
        <f t="shared" si="11"/>
        <v>111</v>
      </c>
      <c r="R44" s="710" t="s">
        <v>17</v>
      </c>
      <c r="S44" s="711">
        <f t="shared" si="12"/>
        <v>100</v>
      </c>
      <c r="T44" s="710" t="s">
        <v>17</v>
      </c>
      <c r="U44" s="711">
        <f t="shared" si="13"/>
        <v>100</v>
      </c>
      <c r="V44" s="710" t="s">
        <v>17</v>
      </c>
      <c r="W44" s="711">
        <f t="shared" si="14"/>
        <v>100</v>
      </c>
      <c r="X44" s="712"/>
      <c r="Y44" s="3448"/>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46"/>
      <c r="Q45" s="1505">
        <f t="shared" si="11"/>
        <v>111</v>
      </c>
      <c r="R45" s="714" t="s">
        <v>17</v>
      </c>
      <c r="S45" s="715">
        <f t="shared" si="12"/>
        <v>100</v>
      </c>
      <c r="T45" s="714" t="s">
        <v>17</v>
      </c>
      <c r="U45" s="715">
        <f t="shared" si="13"/>
        <v>100</v>
      </c>
      <c r="V45" s="714" t="s">
        <v>17</v>
      </c>
      <c r="W45" s="715">
        <f t="shared" si="14"/>
        <v>100</v>
      </c>
      <c r="X45" s="1508"/>
      <c r="Y45" s="3448"/>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47"/>
      <c r="Q46" s="1505">
        <f t="shared" si="11"/>
        <v>111</v>
      </c>
      <c r="R46" s="714" t="s">
        <v>17</v>
      </c>
      <c r="S46" s="715">
        <f t="shared" si="12"/>
        <v>100</v>
      </c>
      <c r="T46" s="714" t="s">
        <v>17</v>
      </c>
      <c r="U46" s="715">
        <f t="shared" si="13"/>
        <v>100</v>
      </c>
      <c r="V46" s="714" t="s">
        <v>17</v>
      </c>
      <c r="W46" s="715">
        <f t="shared" si="14"/>
        <v>100</v>
      </c>
      <c r="X46" s="1508"/>
      <c r="Y46" s="3449"/>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41" t="str">
        <f>A47</f>
        <v>成交单价（元/平方米）</v>
      </c>
      <c r="Q47" s="3441"/>
      <c r="R47" s="3472">
        <f>E47</f>
        <v>0</v>
      </c>
      <c r="S47" s="3472"/>
      <c r="T47" s="3472">
        <f>G47</f>
        <v>0</v>
      </c>
      <c r="U47" s="3472"/>
      <c r="V47" s="3472">
        <f>I47</f>
        <v>0</v>
      </c>
      <c r="W47" s="3472"/>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120.46</v>
      </c>
      <c r="E3" s="2108"/>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56" t="s">
        <v>2407</v>
      </c>
      <c r="D4" s="3457"/>
      <c r="E4" s="3458" t="s">
        <v>2408</v>
      </c>
      <c r="F4" s="3459"/>
      <c r="G4" s="3456" t="s">
        <v>2409</v>
      </c>
      <c r="H4" s="3457"/>
      <c r="I4" s="3456" t="s">
        <v>2410</v>
      </c>
      <c r="J4" s="3457"/>
      <c r="K4" s="567" t="s">
        <v>2411</v>
      </c>
      <c r="L4" s="2912"/>
      <c r="M4" s="2913"/>
      <c r="N4" s="2913"/>
      <c r="O4" s="2913"/>
      <c r="P4" s="3516" t="s">
        <v>2412</v>
      </c>
      <c r="Q4" s="3517"/>
      <c r="R4" s="3520" t="s">
        <v>2408</v>
      </c>
      <c r="S4" s="3521"/>
      <c r="T4" s="3520" t="s">
        <v>2409</v>
      </c>
      <c r="U4" s="3521"/>
      <c r="V4" s="3522" t="s">
        <v>2410</v>
      </c>
      <c r="W4" s="3522"/>
      <c r="X4" s="2112"/>
      <c r="Y4" s="3520" t="s">
        <v>2412</v>
      </c>
      <c r="Z4" s="3521"/>
      <c r="AA4" s="3524" t="s">
        <v>2408</v>
      </c>
      <c r="AB4" s="3524" t="s">
        <v>2409</v>
      </c>
      <c r="AC4" s="3513" t="s">
        <v>2410</v>
      </c>
    </row>
    <row r="5" spans="1:29" ht="15">
      <c r="A5" s="364"/>
      <c r="B5" s="365"/>
      <c r="C5" s="3475" t="s">
        <v>2303</v>
      </c>
      <c r="D5" s="3476"/>
      <c r="E5" s="3482" t="s">
        <v>2304</v>
      </c>
      <c r="F5" s="3483"/>
      <c r="G5" s="3475" t="s">
        <v>2305</v>
      </c>
      <c r="H5" s="3476"/>
      <c r="I5" s="3475" t="s">
        <v>2306</v>
      </c>
      <c r="J5" s="3476"/>
      <c r="K5" s="567"/>
      <c r="L5" s="2912"/>
      <c r="M5" s="2913"/>
      <c r="N5" s="2913"/>
      <c r="O5" s="2913"/>
      <c r="P5" s="3518"/>
      <c r="Q5" s="3463"/>
      <c r="R5" s="3468"/>
      <c r="S5" s="3469"/>
      <c r="T5" s="3468"/>
      <c r="U5" s="3469"/>
      <c r="V5" s="3472"/>
      <c r="W5" s="3472"/>
      <c r="X5" s="1508"/>
      <c r="Y5" s="3468"/>
      <c r="Z5" s="3469"/>
      <c r="AA5" s="3454"/>
      <c r="AB5" s="3454"/>
      <c r="AC5" s="3514"/>
    </row>
    <row r="6" spans="1:29" ht="15.75" thickBot="1">
      <c r="A6" s="366"/>
      <c r="B6" s="367"/>
      <c r="C6" s="3473" t="s">
        <v>2307</v>
      </c>
      <c r="D6" s="3474"/>
      <c r="E6" s="3480" t="s">
        <v>2307</v>
      </c>
      <c r="F6" s="3481"/>
      <c r="G6" s="3473" t="s">
        <v>2307</v>
      </c>
      <c r="H6" s="3474"/>
      <c r="I6" s="3473" t="s">
        <v>2307</v>
      </c>
      <c r="J6" s="3474"/>
      <c r="K6" s="567" t="s">
        <v>2308</v>
      </c>
      <c r="L6" s="2912"/>
      <c r="M6" s="2913"/>
      <c r="N6" s="2913"/>
      <c r="O6" s="2913"/>
      <c r="P6" s="3519"/>
      <c r="Q6" s="3465"/>
      <c r="R6" s="3468"/>
      <c r="S6" s="3469"/>
      <c r="T6" s="3470"/>
      <c r="U6" s="3471"/>
      <c r="V6" s="3472"/>
      <c r="W6" s="3472"/>
      <c r="X6" s="1508"/>
      <c r="Y6" s="3470"/>
      <c r="Z6" s="3471"/>
      <c r="AA6" s="3455"/>
      <c r="AB6" s="3455"/>
      <c r="AC6" s="3515"/>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3" t="s">
        <v>2310</v>
      </c>
      <c r="Q7" s="3479"/>
      <c r="R7" s="710" t="s">
        <v>17</v>
      </c>
      <c r="S7" s="711">
        <f t="shared" ref="S7:S15" si="0">F7</f>
        <v>0</v>
      </c>
      <c r="T7" s="710" t="s">
        <v>17</v>
      </c>
      <c r="U7" s="711">
        <f t="shared" ref="U7:U15" si="1">H7</f>
        <v>0</v>
      </c>
      <c r="V7" s="710" t="s">
        <v>17</v>
      </c>
      <c r="W7" s="711">
        <f t="shared" ref="W7:W15" si="2">J7</f>
        <v>0</v>
      </c>
      <c r="X7" s="712"/>
      <c r="Y7" s="3477" t="s">
        <v>2310</v>
      </c>
      <c r="Z7" s="3478"/>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3" t="s">
        <v>2313</v>
      </c>
      <c r="Q8" s="3478"/>
      <c r="R8" s="710" t="s">
        <v>17</v>
      </c>
      <c r="S8" s="711">
        <f t="shared" si="0"/>
        <v>0</v>
      </c>
      <c r="T8" s="710" t="s">
        <v>17</v>
      </c>
      <c r="U8" s="711">
        <f t="shared" si="1"/>
        <v>0</v>
      </c>
      <c r="V8" s="710" t="s">
        <v>17</v>
      </c>
      <c r="W8" s="711">
        <f t="shared" si="2"/>
        <v>0</v>
      </c>
      <c r="X8" s="712"/>
      <c r="Y8" s="3477" t="s">
        <v>2313</v>
      </c>
      <c r="Z8" s="3478"/>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52"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52"/>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52"/>
      <c r="Q11" s="1496"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2113" t="e">
        <f t="shared" si="5"/>
        <v>#N/A</v>
      </c>
    </row>
    <row r="12" spans="1:29" s="113" customFormat="1" ht="15">
      <c r="A12" s="390"/>
      <c r="B12" s="2048">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52"/>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2113">
        <f>D12/J12</f>
        <v>1</v>
      </c>
    </row>
    <row r="13" spans="1:29" ht="15">
      <c r="A13" s="387"/>
      <c r="B13" s="2048">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52"/>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2113">
        <f t="shared" si="5"/>
        <v>1</v>
      </c>
    </row>
    <row r="14" spans="1:29" ht="15.75" thickBot="1">
      <c r="A14" s="395"/>
      <c r="B14" s="2050">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52"/>
      <c r="Q14" s="1496">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50" t="s">
        <v>2321</v>
      </c>
      <c r="Q15" s="1505" t="str">
        <f t="shared" si="6"/>
        <v>办公集聚程度</v>
      </c>
      <c r="R15" s="714" t="s">
        <v>17</v>
      </c>
      <c r="S15" s="715">
        <f t="shared" si="0"/>
        <v>100</v>
      </c>
      <c r="T15" s="714" t="s">
        <v>17</v>
      </c>
      <c r="U15" s="715">
        <f t="shared" si="1"/>
        <v>100</v>
      </c>
      <c r="V15" s="714" t="s">
        <v>17</v>
      </c>
      <c r="W15" s="715">
        <f t="shared" si="2"/>
        <v>100</v>
      </c>
      <c r="X15" s="1508"/>
      <c r="Y15" s="3443" t="s">
        <v>2321</v>
      </c>
      <c r="Z15" s="1509" t="str">
        <f t="shared" si="7"/>
        <v>办公集聚程度</v>
      </c>
      <c r="AA15" s="1506">
        <f t="shared" si="3"/>
        <v>1</v>
      </c>
      <c r="AB15" s="1506">
        <f t="shared" si="4"/>
        <v>1</v>
      </c>
      <c r="AC15" s="2116">
        <f t="shared" si="5"/>
        <v>1</v>
      </c>
    </row>
    <row r="16" spans="1:29" ht="15">
      <c r="A16" s="387"/>
      <c r="B16" s="586"/>
      <c r="C16" s="2059"/>
      <c r="D16" s="407"/>
      <c r="E16" s="406"/>
      <c r="F16" s="407"/>
      <c r="G16" s="2059"/>
      <c r="H16" s="409"/>
      <c r="I16" s="406"/>
      <c r="J16" s="407"/>
      <c r="K16" s="572"/>
      <c r="L16" s="2919"/>
      <c r="M16" s="2913"/>
      <c r="N16" s="2913"/>
      <c r="O16" s="2913"/>
      <c r="P16" s="3451"/>
      <c r="Q16" s="1505"/>
      <c r="R16" s="714"/>
      <c r="S16" s="715"/>
      <c r="T16" s="714"/>
      <c r="U16" s="715"/>
      <c r="V16" s="714"/>
      <c r="W16" s="715"/>
      <c r="X16" s="1508"/>
      <c r="Y16" s="3444"/>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51"/>
      <c r="Q17" s="1505" t="str">
        <f>B17</f>
        <v>交通便捷度</v>
      </c>
      <c r="R17" s="714" t="s">
        <v>17</v>
      </c>
      <c r="S17" s="715">
        <f>F17</f>
        <v>100</v>
      </c>
      <c r="T17" s="714" t="s">
        <v>17</v>
      </c>
      <c r="U17" s="715">
        <f>H17</f>
        <v>100</v>
      </c>
      <c r="V17" s="714" t="s">
        <v>17</v>
      </c>
      <c r="W17" s="715">
        <f>J17</f>
        <v>100</v>
      </c>
      <c r="X17" s="1508"/>
      <c r="Y17" s="3444"/>
      <c r="Z17" s="1509" t="str">
        <f>Q17</f>
        <v>交通便捷度</v>
      </c>
      <c r="AA17" s="1506">
        <f t="shared" si="3"/>
        <v>1</v>
      </c>
      <c r="AB17" s="1506">
        <f t="shared" si="4"/>
        <v>1</v>
      </c>
      <c r="AC17" s="2116">
        <f t="shared" si="5"/>
        <v>1</v>
      </c>
    </row>
    <row r="18" spans="1:29" ht="15">
      <c r="A18" s="387"/>
      <c r="B18" s="588"/>
      <c r="C18" s="2118"/>
      <c r="D18" s="409"/>
      <c r="E18" s="2057"/>
      <c r="F18" s="409"/>
      <c r="G18" s="2058"/>
      <c r="H18" s="407"/>
      <c r="I18" s="2058"/>
      <c r="J18" s="407"/>
      <c r="K18" s="572"/>
      <c r="L18" s="2919"/>
      <c r="M18" s="2913"/>
      <c r="N18" s="2913"/>
      <c r="O18" s="2913"/>
      <c r="P18" s="3451"/>
      <c r="Q18" s="1505"/>
      <c r="R18" s="714"/>
      <c r="S18" s="715"/>
      <c r="T18" s="714"/>
      <c r="U18" s="715"/>
      <c r="V18" s="714"/>
      <c r="W18" s="715"/>
      <c r="X18" s="1508"/>
      <c r="Y18" s="3444"/>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51"/>
      <c r="Q19" s="1505" t="str">
        <f>B19</f>
        <v>公共配套设施</v>
      </c>
      <c r="R19" s="714" t="s">
        <v>17</v>
      </c>
      <c r="S19" s="715">
        <f>F19</f>
        <v>100</v>
      </c>
      <c r="T19" s="714" t="s">
        <v>17</v>
      </c>
      <c r="U19" s="715">
        <f>H19</f>
        <v>100</v>
      </c>
      <c r="V19" s="714" t="s">
        <v>17</v>
      </c>
      <c r="W19" s="715">
        <f>J19</f>
        <v>100</v>
      </c>
      <c r="X19" s="1508"/>
      <c r="Y19" s="3444"/>
      <c r="Z19" s="1509" t="str">
        <f>Q19</f>
        <v>公共配套设施</v>
      </c>
      <c r="AA19" s="1506">
        <f t="shared" si="3"/>
        <v>1</v>
      </c>
      <c r="AB19" s="1506">
        <f t="shared" si="4"/>
        <v>1</v>
      </c>
      <c r="AC19" s="2116">
        <f t="shared" si="5"/>
        <v>1</v>
      </c>
    </row>
    <row r="20" spans="1:29" ht="15">
      <c r="A20" s="387"/>
      <c r="B20" s="588"/>
      <c r="C20" s="2059"/>
      <c r="D20" s="407"/>
      <c r="E20" s="2052"/>
      <c r="F20" s="407"/>
      <c r="G20" s="2053"/>
      <c r="H20" s="407"/>
      <c r="I20" s="2053"/>
      <c r="J20" s="407"/>
      <c r="K20" s="572"/>
      <c r="L20" s="2919"/>
      <c r="M20" s="2913"/>
      <c r="N20" s="2913"/>
      <c r="O20" s="2913"/>
      <c r="P20" s="3451"/>
      <c r="Q20" s="1505"/>
      <c r="R20" s="714"/>
      <c r="S20" s="715"/>
      <c r="T20" s="714"/>
      <c r="U20" s="715"/>
      <c r="V20" s="714"/>
      <c r="W20" s="715"/>
      <c r="X20" s="1508"/>
      <c r="Y20" s="3444"/>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51"/>
      <c r="Q21" s="1505" t="str">
        <f>B21</f>
        <v>基础设施水平</v>
      </c>
      <c r="R21" s="714" t="s">
        <v>17</v>
      </c>
      <c r="S21" s="715">
        <f>F21</f>
        <v>100</v>
      </c>
      <c r="T21" s="714" t="s">
        <v>17</v>
      </c>
      <c r="U21" s="715">
        <f>H21</f>
        <v>100</v>
      </c>
      <c r="V21" s="714" t="s">
        <v>17</v>
      </c>
      <c r="W21" s="715">
        <f>J21</f>
        <v>100</v>
      </c>
      <c r="X21" s="1508"/>
      <c r="Y21" s="3444"/>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9"/>
      <c r="H22" s="407"/>
      <c r="I22" s="2059"/>
      <c r="J22" s="407"/>
      <c r="K22" s="1263"/>
      <c r="L22" s="2919"/>
      <c r="M22" s="2913"/>
      <c r="N22" s="2913"/>
      <c r="O22" s="2913"/>
      <c r="P22" s="3451"/>
      <c r="Q22" s="1505"/>
      <c r="R22" s="714"/>
      <c r="S22" s="715"/>
      <c r="T22" s="714"/>
      <c r="U22" s="715"/>
      <c r="V22" s="714"/>
      <c r="W22" s="715"/>
      <c r="X22" s="1508"/>
      <c r="Y22" s="3444"/>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51"/>
      <c r="Q23" s="1505" t="str">
        <f>B23</f>
        <v>环境质量</v>
      </c>
      <c r="R23" s="714" t="s">
        <v>17</v>
      </c>
      <c r="S23" s="715">
        <f>F23</f>
        <v>100</v>
      </c>
      <c r="T23" s="714" t="s">
        <v>17</v>
      </c>
      <c r="U23" s="715">
        <f>H23</f>
        <v>100</v>
      </c>
      <c r="V23" s="714" t="s">
        <v>17</v>
      </c>
      <c r="W23" s="715">
        <f>J23</f>
        <v>100</v>
      </c>
      <c r="X23" s="1508"/>
      <c r="Y23" s="3444"/>
      <c r="Z23" s="1509" t="str">
        <f>Q23</f>
        <v>环境质量</v>
      </c>
      <c r="AA23" s="1506">
        <f t="shared" si="3"/>
        <v>1</v>
      </c>
      <c r="AB23" s="1506">
        <f t="shared" si="4"/>
        <v>1</v>
      </c>
      <c r="AC23" s="2116">
        <f t="shared" si="5"/>
        <v>1</v>
      </c>
    </row>
    <row r="24" spans="1:29" ht="15">
      <c r="A24" s="387"/>
      <c r="B24" s="589"/>
      <c r="C24" s="2059"/>
      <c r="D24" s="407"/>
      <c r="E24" s="2052"/>
      <c r="F24" s="407"/>
      <c r="G24" s="2053"/>
      <c r="H24" s="407"/>
      <c r="I24" s="2053"/>
      <c r="J24" s="407"/>
      <c r="K24" s="572"/>
      <c r="L24" s="2919"/>
      <c r="M24" s="2913"/>
      <c r="N24" s="2913"/>
      <c r="O24" s="2913"/>
      <c r="P24" s="3451"/>
      <c r="Q24" s="1505"/>
      <c r="R24" s="714"/>
      <c r="S24" s="715"/>
      <c r="T24" s="714"/>
      <c r="U24" s="715"/>
      <c r="V24" s="714"/>
      <c r="W24" s="715"/>
      <c r="X24" s="1508"/>
      <c r="Y24" s="3444"/>
      <c r="Z24" s="1509"/>
      <c r="AA24" s="1506">
        <v>1</v>
      </c>
      <c r="AB24" s="1506">
        <v>1</v>
      </c>
      <c r="AC24" s="2116">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451"/>
      <c r="Q25" s="1505" t="str">
        <f>B25</f>
        <v>毗邻道路的类型与等级</v>
      </c>
      <c r="R25" s="714" t="s">
        <v>17</v>
      </c>
      <c r="S25" s="715">
        <f>F25</f>
        <v>100</v>
      </c>
      <c r="T25" s="714" t="s">
        <v>17</v>
      </c>
      <c r="U25" s="715">
        <f>H25</f>
        <v>100</v>
      </c>
      <c r="V25" s="714" t="s">
        <v>17</v>
      </c>
      <c r="W25" s="715">
        <f>J25</f>
        <v>100</v>
      </c>
      <c r="X25" s="1508"/>
      <c r="Y25" s="3444"/>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51"/>
      <c r="Q26" s="1505"/>
      <c r="R26" s="714"/>
      <c r="S26" s="715"/>
      <c r="T26" s="714"/>
      <c r="U26" s="715"/>
      <c r="V26" s="714"/>
      <c r="W26" s="715"/>
      <c r="X26" s="1508"/>
      <c r="Y26" s="3444"/>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51"/>
      <c r="Q27" s="1505" t="str">
        <f t="shared" ref="Q27:Q47" si="11">B27</f>
        <v>楼层</v>
      </c>
      <c r="R27" s="714" t="s">
        <v>17</v>
      </c>
      <c r="S27" s="715">
        <f>F27</f>
        <v>100</v>
      </c>
      <c r="T27" s="714" t="s">
        <v>17</v>
      </c>
      <c r="U27" s="715">
        <f>H27</f>
        <v>100</v>
      </c>
      <c r="V27" s="714" t="s">
        <v>17</v>
      </c>
      <c r="W27" s="715">
        <f>J27</f>
        <v>100</v>
      </c>
      <c r="X27" s="1508"/>
      <c r="Y27" s="3444"/>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51"/>
      <c r="Q28" s="1496" t="str">
        <f t="shared" si="11"/>
        <v>朝向</v>
      </c>
      <c r="R28" s="710" t="s">
        <v>17</v>
      </c>
      <c r="S28" s="711">
        <f>F28</f>
        <v>100</v>
      </c>
      <c r="T28" s="710" t="s">
        <v>17</v>
      </c>
      <c r="U28" s="711">
        <f>H28</f>
        <v>100</v>
      </c>
      <c r="V28" s="710" t="s">
        <v>17</v>
      </c>
      <c r="W28" s="711">
        <f>J28</f>
        <v>100</v>
      </c>
      <c r="X28" s="712"/>
      <c r="Y28" s="3444"/>
      <c r="Z28" s="55" t="str">
        <f>Q28</f>
        <v>朝向</v>
      </c>
      <c r="AA28" s="1506">
        <f>D28/F28</f>
        <v>1</v>
      </c>
      <c r="AB28" s="1506">
        <f>D28/H28</f>
        <v>1</v>
      </c>
      <c r="AC28" s="2116">
        <f>D28/J28</f>
        <v>1</v>
      </c>
    </row>
    <row r="29" spans="1:29" ht="15">
      <c r="A29" s="387"/>
      <c r="B29" s="2120">
        <v>111</v>
      </c>
      <c r="C29" s="2063"/>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51"/>
      <c r="Q29" s="1505">
        <f t="shared" si="11"/>
        <v>111</v>
      </c>
      <c r="R29" s="714" t="s">
        <v>17</v>
      </c>
      <c r="S29" s="715">
        <f t="shared" ref="S29:S47" si="12">F29</f>
        <v>100</v>
      </c>
      <c r="T29" s="714" t="s">
        <v>17</v>
      </c>
      <c r="U29" s="715">
        <f t="shared" ref="U29:U47" si="13">H29</f>
        <v>100</v>
      </c>
      <c r="V29" s="714" t="s">
        <v>17</v>
      </c>
      <c r="W29" s="715">
        <f t="shared" ref="W29:W47" si="14">J29</f>
        <v>100</v>
      </c>
      <c r="X29" s="1508"/>
      <c r="Y29" s="3444"/>
      <c r="Z29" s="1509">
        <f t="shared" ref="Z29:Z47" si="15">Q29</f>
        <v>111</v>
      </c>
      <c r="AA29" s="1506">
        <f t="shared" si="3"/>
        <v>1</v>
      </c>
      <c r="AB29" s="1506">
        <f t="shared" si="4"/>
        <v>1</v>
      </c>
      <c r="AC29" s="2116">
        <f t="shared" si="5"/>
        <v>1</v>
      </c>
    </row>
    <row r="30" spans="1:29" ht="15">
      <c r="A30" s="387"/>
      <c r="B30" s="2120">
        <v>111</v>
      </c>
      <c r="C30" s="2063"/>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51"/>
      <c r="Q30" s="1505">
        <f t="shared" si="11"/>
        <v>111</v>
      </c>
      <c r="R30" s="714" t="s">
        <v>17</v>
      </c>
      <c r="S30" s="715">
        <f t="shared" si="12"/>
        <v>100</v>
      </c>
      <c r="T30" s="714" t="s">
        <v>17</v>
      </c>
      <c r="U30" s="715">
        <f t="shared" si="13"/>
        <v>100</v>
      </c>
      <c r="V30" s="714" t="s">
        <v>17</v>
      </c>
      <c r="W30" s="715">
        <f t="shared" si="14"/>
        <v>100</v>
      </c>
      <c r="X30" s="1508"/>
      <c r="Y30" s="3444"/>
      <c r="Z30" s="1509">
        <f t="shared" si="15"/>
        <v>111</v>
      </c>
      <c r="AA30" s="1506">
        <f t="shared" si="3"/>
        <v>1</v>
      </c>
      <c r="AB30" s="1506">
        <f t="shared" si="4"/>
        <v>1</v>
      </c>
      <c r="AC30" s="2116">
        <f t="shared" si="5"/>
        <v>1</v>
      </c>
    </row>
    <row r="31" spans="1:29" ht="15">
      <c r="A31" s="387"/>
      <c r="B31" s="2120">
        <v>111</v>
      </c>
      <c r="C31" s="2063"/>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51"/>
      <c r="Q31" s="1505">
        <f t="shared" si="11"/>
        <v>111</v>
      </c>
      <c r="R31" s="714" t="s">
        <v>17</v>
      </c>
      <c r="S31" s="715">
        <f t="shared" si="12"/>
        <v>100</v>
      </c>
      <c r="T31" s="714" t="s">
        <v>17</v>
      </c>
      <c r="U31" s="715">
        <f t="shared" si="13"/>
        <v>100</v>
      </c>
      <c r="V31" s="714" t="s">
        <v>17</v>
      </c>
      <c r="W31" s="715">
        <f t="shared" si="14"/>
        <v>100</v>
      </c>
      <c r="X31" s="1508"/>
      <c r="Y31" s="3444"/>
      <c r="Z31" s="1509">
        <f t="shared" si="15"/>
        <v>111</v>
      </c>
      <c r="AA31" s="1506">
        <f t="shared" si="3"/>
        <v>1</v>
      </c>
      <c r="AB31" s="1506">
        <f t="shared" si="4"/>
        <v>1</v>
      </c>
      <c r="AC31" s="2116">
        <f t="shared" si="5"/>
        <v>1</v>
      </c>
    </row>
    <row r="32" spans="1:29" ht="15.75" thickBot="1">
      <c r="A32" s="395"/>
      <c r="B32" s="591">
        <v>111</v>
      </c>
      <c r="C32" s="2064"/>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51"/>
      <c r="Q32" s="1505">
        <f t="shared" si="11"/>
        <v>111</v>
      </c>
      <c r="R32" s="714" t="s">
        <v>17</v>
      </c>
      <c r="S32" s="715">
        <f t="shared" si="12"/>
        <v>100</v>
      </c>
      <c r="T32" s="714" t="s">
        <v>17</v>
      </c>
      <c r="U32" s="715">
        <f t="shared" si="13"/>
        <v>100</v>
      </c>
      <c r="V32" s="714" t="s">
        <v>17</v>
      </c>
      <c r="W32" s="715">
        <f t="shared" si="14"/>
        <v>100</v>
      </c>
      <c r="X32" s="1508"/>
      <c r="Y32" s="3444"/>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45" t="s">
        <v>2326</v>
      </c>
      <c r="Q33" s="1505" t="str">
        <f t="shared" si="11"/>
        <v>建筑类型</v>
      </c>
      <c r="R33" s="714" t="s">
        <v>17</v>
      </c>
      <c r="S33" s="715">
        <f t="shared" si="12"/>
        <v>100</v>
      </c>
      <c r="T33" s="714" t="s">
        <v>17</v>
      </c>
      <c r="U33" s="715">
        <f t="shared" si="13"/>
        <v>100</v>
      </c>
      <c r="V33" s="714" t="s">
        <v>17</v>
      </c>
      <c r="W33" s="715">
        <f t="shared" si="14"/>
        <v>100</v>
      </c>
      <c r="X33" s="1508"/>
      <c r="Y33" s="3448"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46"/>
      <c r="Q34" s="716" t="str">
        <f t="shared" si="11"/>
        <v>项目建筑规模</v>
      </c>
      <c r="R34" s="717" t="s">
        <v>17</v>
      </c>
      <c r="S34" s="718" t="e">
        <f t="shared" si="12"/>
        <v>#N/A</v>
      </c>
      <c r="T34" s="717" t="s">
        <v>17</v>
      </c>
      <c r="U34" s="718" t="e">
        <f t="shared" si="13"/>
        <v>#N/A</v>
      </c>
      <c r="V34" s="717" t="s">
        <v>17</v>
      </c>
      <c r="W34" s="718" t="e">
        <f t="shared" si="14"/>
        <v>#N/A</v>
      </c>
      <c r="X34" s="719"/>
      <c r="Y34" s="3448"/>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46"/>
      <c r="Q35" s="1505" t="str">
        <f t="shared" si="11"/>
        <v>建筑结构</v>
      </c>
      <c r="R35" s="714" t="s">
        <v>17</v>
      </c>
      <c r="S35" s="715">
        <f t="shared" si="12"/>
        <v>100</v>
      </c>
      <c r="T35" s="714" t="s">
        <v>17</v>
      </c>
      <c r="U35" s="715">
        <f t="shared" si="13"/>
        <v>100</v>
      </c>
      <c r="V35" s="714" t="s">
        <v>17</v>
      </c>
      <c r="W35" s="715">
        <f t="shared" si="14"/>
        <v>100</v>
      </c>
      <c r="X35" s="1508"/>
      <c r="Y35" s="3448"/>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46"/>
      <c r="Q36" s="1505" t="str">
        <f t="shared" si="11"/>
        <v>公共部分装修</v>
      </c>
      <c r="R36" s="714" t="s">
        <v>17</v>
      </c>
      <c r="S36" s="715">
        <f t="shared" si="12"/>
        <v>100</v>
      </c>
      <c r="T36" s="714" t="s">
        <v>17</v>
      </c>
      <c r="U36" s="715">
        <f t="shared" si="13"/>
        <v>100</v>
      </c>
      <c r="V36" s="714" t="s">
        <v>17</v>
      </c>
      <c r="W36" s="715">
        <f t="shared" si="14"/>
        <v>100</v>
      </c>
      <c r="X36" s="1508"/>
      <c r="Y36" s="3448"/>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46"/>
      <c r="Q37" s="1505" t="str">
        <f t="shared" si="11"/>
        <v>成新度</v>
      </c>
      <c r="R37" s="714" t="s">
        <v>17</v>
      </c>
      <c r="S37" s="715" t="e">
        <f t="shared" si="12"/>
        <v>#N/A</v>
      </c>
      <c r="T37" s="714" t="s">
        <v>17</v>
      </c>
      <c r="U37" s="715" t="e">
        <f t="shared" si="13"/>
        <v>#N/A</v>
      </c>
      <c r="V37" s="714" t="s">
        <v>17</v>
      </c>
      <c r="W37" s="715" t="e">
        <f t="shared" si="14"/>
        <v>#N/A</v>
      </c>
      <c r="X37" s="1508"/>
      <c r="Y37" s="3448"/>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46"/>
      <c r="Q38" s="1496" t="str">
        <f t="shared" si="11"/>
        <v>写字楼等级</v>
      </c>
      <c r="R38" s="710" t="s">
        <v>17</v>
      </c>
      <c r="S38" s="711">
        <f t="shared" si="12"/>
        <v>100</v>
      </c>
      <c r="T38" s="710" t="s">
        <v>17</v>
      </c>
      <c r="U38" s="711">
        <f t="shared" si="13"/>
        <v>100</v>
      </c>
      <c r="V38" s="710" t="s">
        <v>17</v>
      </c>
      <c r="W38" s="711">
        <f t="shared" si="14"/>
        <v>100</v>
      </c>
      <c r="X38" s="712"/>
      <c r="Y38" s="3448"/>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46" t="s">
        <v>2326</v>
      </c>
      <c r="Q39" s="1505" t="str">
        <f t="shared" si="11"/>
        <v>物业管理</v>
      </c>
      <c r="R39" s="714" t="s">
        <v>17</v>
      </c>
      <c r="S39" s="715">
        <f t="shared" si="12"/>
        <v>100</v>
      </c>
      <c r="T39" s="714" t="s">
        <v>17</v>
      </c>
      <c r="U39" s="715">
        <f t="shared" si="13"/>
        <v>100</v>
      </c>
      <c r="V39" s="714" t="s">
        <v>17</v>
      </c>
      <c r="W39" s="715">
        <f t="shared" si="14"/>
        <v>100</v>
      </c>
      <c r="X39" s="1508"/>
      <c r="Y39" s="3448"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46"/>
      <c r="Q40" s="1505" t="str">
        <f t="shared" si="11"/>
        <v>市政基础设施</v>
      </c>
      <c r="R40" s="714" t="s">
        <v>17</v>
      </c>
      <c r="S40" s="715">
        <f t="shared" si="12"/>
        <v>100</v>
      </c>
      <c r="T40" s="714" t="s">
        <v>17</v>
      </c>
      <c r="U40" s="715">
        <f t="shared" si="13"/>
        <v>100</v>
      </c>
      <c r="V40" s="714" t="s">
        <v>17</v>
      </c>
      <c r="W40" s="715">
        <f t="shared" si="14"/>
        <v>100</v>
      </c>
      <c r="X40" s="1508"/>
      <c r="Y40" s="3448"/>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46"/>
      <c r="Q41" s="1505" t="str">
        <f t="shared" si="11"/>
        <v>层高</v>
      </c>
      <c r="R41" s="714" t="s">
        <v>17</v>
      </c>
      <c r="S41" s="715">
        <f t="shared" si="12"/>
        <v>100</v>
      </c>
      <c r="T41" s="714" t="s">
        <v>17</v>
      </c>
      <c r="U41" s="715">
        <f t="shared" si="13"/>
        <v>100</v>
      </c>
      <c r="V41" s="714" t="s">
        <v>17</v>
      </c>
      <c r="W41" s="715">
        <f t="shared" si="14"/>
        <v>100</v>
      </c>
      <c r="X41" s="1508"/>
      <c r="Y41" s="3448"/>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46"/>
      <c r="Q42" s="716" t="str">
        <f t="shared" si="11"/>
        <v>单套建筑面积</v>
      </c>
      <c r="R42" s="717" t="s">
        <v>17</v>
      </c>
      <c r="S42" s="718">
        <f t="shared" si="12"/>
        <v>100</v>
      </c>
      <c r="T42" s="717" t="s">
        <v>17</v>
      </c>
      <c r="U42" s="718">
        <f t="shared" si="13"/>
        <v>100</v>
      </c>
      <c r="V42" s="717" t="s">
        <v>17</v>
      </c>
      <c r="W42" s="718">
        <f t="shared" si="14"/>
        <v>100</v>
      </c>
      <c r="X42" s="719"/>
      <c r="Y42" s="3448"/>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46"/>
      <c r="Q43" s="1505" t="str">
        <f t="shared" si="11"/>
        <v>内部装修</v>
      </c>
      <c r="R43" s="714" t="s">
        <v>17</v>
      </c>
      <c r="S43" s="715">
        <f t="shared" si="12"/>
        <v>100</v>
      </c>
      <c r="T43" s="714" t="s">
        <v>17</v>
      </c>
      <c r="U43" s="715">
        <f t="shared" si="13"/>
        <v>100</v>
      </c>
      <c r="V43" s="714" t="s">
        <v>17</v>
      </c>
      <c r="W43" s="715">
        <f t="shared" si="14"/>
        <v>100</v>
      </c>
      <c r="X43" s="1508"/>
      <c r="Y43" s="3448"/>
      <c r="Z43" s="1509" t="str">
        <f t="shared" si="15"/>
        <v>内部装修</v>
      </c>
      <c r="AA43" s="1506">
        <f t="shared" si="3"/>
        <v>1</v>
      </c>
      <c r="AB43" s="1506">
        <f t="shared" si="4"/>
        <v>1</v>
      </c>
      <c r="AC43" s="2116">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446"/>
      <c r="Q44" s="1505" t="str">
        <f t="shared" si="11"/>
        <v>内部装修维护情况</v>
      </c>
      <c r="R44" s="714" t="s">
        <v>17</v>
      </c>
      <c r="S44" s="715">
        <f t="shared" si="12"/>
        <v>100</v>
      </c>
      <c r="T44" s="714" t="s">
        <v>17</v>
      </c>
      <c r="U44" s="715">
        <f t="shared" si="13"/>
        <v>100</v>
      </c>
      <c r="V44" s="714" t="s">
        <v>17</v>
      </c>
      <c r="W44" s="715">
        <f t="shared" si="14"/>
        <v>100</v>
      </c>
      <c r="X44" s="1508"/>
      <c r="Y44" s="3448"/>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46"/>
      <c r="Q45" s="1496">
        <f t="shared" si="11"/>
        <v>111</v>
      </c>
      <c r="R45" s="710" t="s">
        <v>17</v>
      </c>
      <c r="S45" s="711">
        <f t="shared" si="12"/>
        <v>100</v>
      </c>
      <c r="T45" s="710" t="s">
        <v>17</v>
      </c>
      <c r="U45" s="711">
        <f t="shared" si="13"/>
        <v>100</v>
      </c>
      <c r="V45" s="710" t="s">
        <v>17</v>
      </c>
      <c r="W45" s="711">
        <f t="shared" si="14"/>
        <v>100</v>
      </c>
      <c r="X45" s="712"/>
      <c r="Y45" s="3448"/>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46"/>
      <c r="Q46" s="1505">
        <f t="shared" si="11"/>
        <v>111</v>
      </c>
      <c r="R46" s="714" t="s">
        <v>17</v>
      </c>
      <c r="S46" s="715">
        <f t="shared" si="12"/>
        <v>100</v>
      </c>
      <c r="T46" s="714" t="s">
        <v>17</v>
      </c>
      <c r="U46" s="715">
        <f t="shared" si="13"/>
        <v>100</v>
      </c>
      <c r="V46" s="714" t="s">
        <v>17</v>
      </c>
      <c r="W46" s="715">
        <f t="shared" si="14"/>
        <v>100</v>
      </c>
      <c r="X46" s="1508"/>
      <c r="Y46" s="3448"/>
      <c r="Z46" s="1509">
        <f t="shared" si="15"/>
        <v>111</v>
      </c>
      <c r="AA46" s="1506">
        <f t="shared" si="3"/>
        <v>1</v>
      </c>
      <c r="AB46" s="1506">
        <f t="shared" si="4"/>
        <v>1</v>
      </c>
      <c r="AC46" s="2116">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47"/>
      <c r="Q47" s="1505">
        <f t="shared" si="11"/>
        <v>111</v>
      </c>
      <c r="R47" s="714" t="s">
        <v>17</v>
      </c>
      <c r="S47" s="715">
        <f t="shared" si="12"/>
        <v>100</v>
      </c>
      <c r="T47" s="714" t="s">
        <v>17</v>
      </c>
      <c r="U47" s="715">
        <f t="shared" si="13"/>
        <v>100</v>
      </c>
      <c r="V47" s="714" t="s">
        <v>17</v>
      </c>
      <c r="W47" s="715">
        <f t="shared" si="14"/>
        <v>100</v>
      </c>
      <c r="X47" s="1508"/>
      <c r="Y47" s="3449"/>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52" t="str">
        <f>A48</f>
        <v>成交单价（元/平方米）</v>
      </c>
      <c r="Q48" s="3441"/>
      <c r="R48" s="3442">
        <f>E48</f>
        <v>0</v>
      </c>
      <c r="S48" s="3442"/>
      <c r="T48" s="3442">
        <f>G48</f>
        <v>0</v>
      </c>
      <c r="U48" s="3442"/>
      <c r="V48" s="3442">
        <f>I48</f>
        <v>0</v>
      </c>
      <c r="W48" s="3442"/>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52"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120.46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1044"/>
      <c r="M4" s="1045"/>
      <c r="N4" s="1045"/>
      <c r="O4" s="1045"/>
      <c r="P4" s="3460" t="s">
        <v>2412</v>
      </c>
      <c r="Q4" s="3461"/>
      <c r="R4" s="3466" t="s">
        <v>2408</v>
      </c>
      <c r="S4" s="3467"/>
      <c r="T4" s="3466" t="s">
        <v>2409</v>
      </c>
      <c r="U4" s="3467"/>
      <c r="V4" s="3472" t="s">
        <v>2410</v>
      </c>
      <c r="W4" s="3472"/>
      <c r="X4" s="1508"/>
      <c r="Y4" s="3466" t="s">
        <v>2412</v>
      </c>
      <c r="Z4" s="3467"/>
      <c r="AA4" s="3453" t="s">
        <v>2408</v>
      </c>
      <c r="AB4" s="3454" t="s">
        <v>2409</v>
      </c>
      <c r="AC4" s="3453" t="s">
        <v>2410</v>
      </c>
    </row>
    <row r="5" spans="1:29" ht="15">
      <c r="A5" s="364"/>
      <c r="B5" s="365"/>
      <c r="C5" s="3475" t="s">
        <v>2303</v>
      </c>
      <c r="D5" s="3476"/>
      <c r="E5" s="3482" t="s">
        <v>2304</v>
      </c>
      <c r="F5" s="3483"/>
      <c r="G5" s="3475" t="s">
        <v>2305</v>
      </c>
      <c r="H5" s="3476"/>
      <c r="I5" s="3475" t="s">
        <v>2306</v>
      </c>
      <c r="J5" s="3476"/>
      <c r="K5" s="567"/>
      <c r="L5" s="1044"/>
      <c r="M5" s="1045"/>
      <c r="N5" s="1045"/>
      <c r="O5" s="1045"/>
      <c r="P5" s="3462"/>
      <c r="Q5" s="3463"/>
      <c r="R5" s="3468"/>
      <c r="S5" s="3469"/>
      <c r="T5" s="3468"/>
      <c r="U5" s="3469"/>
      <c r="V5" s="3472"/>
      <c r="W5" s="3472"/>
      <c r="X5" s="1508"/>
      <c r="Y5" s="3468"/>
      <c r="Z5" s="3469"/>
      <c r="AA5" s="3454"/>
      <c r="AB5" s="3454"/>
      <c r="AC5" s="3454"/>
    </row>
    <row r="6" spans="1:29" ht="15.75" thickBot="1">
      <c r="A6" s="366"/>
      <c r="B6" s="367"/>
      <c r="C6" s="3473" t="s">
        <v>2307</v>
      </c>
      <c r="D6" s="3474"/>
      <c r="E6" s="3480" t="s">
        <v>2307</v>
      </c>
      <c r="F6" s="3481"/>
      <c r="G6" s="3473" t="s">
        <v>2307</v>
      </c>
      <c r="H6" s="3474"/>
      <c r="I6" s="3473" t="s">
        <v>2307</v>
      </c>
      <c r="J6" s="3474"/>
      <c r="K6" s="567" t="s">
        <v>2308</v>
      </c>
      <c r="L6" s="1044"/>
      <c r="M6" s="1045"/>
      <c r="N6" s="1045"/>
      <c r="O6" s="1045"/>
      <c r="P6" s="3464"/>
      <c r="Q6" s="3465"/>
      <c r="R6" s="3468"/>
      <c r="S6" s="3469"/>
      <c r="T6" s="3470"/>
      <c r="U6" s="3471"/>
      <c r="V6" s="3472"/>
      <c r="W6" s="3472"/>
      <c r="X6" s="1508"/>
      <c r="Y6" s="3470"/>
      <c r="Z6" s="3471"/>
      <c r="AA6" s="3455"/>
      <c r="AB6" s="3455"/>
      <c r="AC6" s="3455"/>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7" t="s">
        <v>2310</v>
      </c>
      <c r="Q7" s="3479"/>
      <c r="R7" s="710" t="s">
        <v>17</v>
      </c>
      <c r="S7" s="711">
        <f t="shared" ref="S7:S15" si="0">F7</f>
        <v>0</v>
      </c>
      <c r="T7" s="710" t="s">
        <v>17</v>
      </c>
      <c r="U7" s="711">
        <f t="shared" ref="U7:U15" si="1">H7</f>
        <v>0</v>
      </c>
      <c r="V7" s="710" t="s">
        <v>17</v>
      </c>
      <c r="W7" s="711">
        <f t="shared" ref="W7:W15" si="2">J7</f>
        <v>0</v>
      </c>
      <c r="X7" s="712"/>
      <c r="Y7" s="3477" t="s">
        <v>2310</v>
      </c>
      <c r="Z7" s="347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7" t="s">
        <v>2313</v>
      </c>
      <c r="Q8" s="3478"/>
      <c r="R8" s="710" t="s">
        <v>17</v>
      </c>
      <c r="S8" s="711">
        <f t="shared" si="0"/>
        <v>0</v>
      </c>
      <c r="T8" s="710" t="s">
        <v>17</v>
      </c>
      <c r="U8" s="711">
        <f t="shared" si="1"/>
        <v>0</v>
      </c>
      <c r="V8" s="710" t="s">
        <v>17</v>
      </c>
      <c r="W8" s="711">
        <f t="shared" si="2"/>
        <v>0</v>
      </c>
      <c r="X8" s="712"/>
      <c r="Y8" s="3477" t="s">
        <v>2313</v>
      </c>
      <c r="Z8" s="347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1"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1"/>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1"/>
      <c r="Q11" s="1496"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41"/>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41"/>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41"/>
      <c r="Q14" s="1496">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3" t="s">
        <v>2321</v>
      </c>
      <c r="Q15" s="1505" t="str">
        <f t="shared" si="6"/>
        <v>产业集聚程度</v>
      </c>
      <c r="R15" s="714" t="s">
        <v>17</v>
      </c>
      <c r="S15" s="715">
        <f t="shared" si="0"/>
        <v>100</v>
      </c>
      <c r="T15" s="714" t="s">
        <v>17</v>
      </c>
      <c r="U15" s="715">
        <f t="shared" si="1"/>
        <v>100</v>
      </c>
      <c r="V15" s="714" t="s">
        <v>17</v>
      </c>
      <c r="W15" s="715">
        <f t="shared" si="2"/>
        <v>100</v>
      </c>
      <c r="X15" s="1508"/>
      <c r="Y15" s="344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44"/>
      <c r="Q16" s="1505"/>
      <c r="R16" s="714"/>
      <c r="S16" s="715"/>
      <c r="T16" s="714"/>
      <c r="U16" s="715"/>
      <c r="V16" s="714"/>
      <c r="W16" s="715"/>
      <c r="X16" s="1508"/>
      <c r="Y16" s="3444"/>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4"/>
      <c r="Q17" s="1505" t="str">
        <f>B17</f>
        <v>交通便捷度</v>
      </c>
      <c r="R17" s="714" t="s">
        <v>17</v>
      </c>
      <c r="S17" s="715">
        <f>F17</f>
        <v>100</v>
      </c>
      <c r="T17" s="714" t="s">
        <v>17</v>
      </c>
      <c r="U17" s="715">
        <f>H17</f>
        <v>100</v>
      </c>
      <c r="V17" s="714" t="s">
        <v>17</v>
      </c>
      <c r="W17" s="715">
        <f>J17</f>
        <v>100</v>
      </c>
      <c r="X17" s="1508"/>
      <c r="Y17" s="344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44"/>
      <c r="Q18" s="1505"/>
      <c r="R18" s="714"/>
      <c r="S18" s="715"/>
      <c r="T18" s="714"/>
      <c r="U18" s="715"/>
      <c r="V18" s="714"/>
      <c r="W18" s="715"/>
      <c r="X18" s="1508"/>
      <c r="Y18" s="3444"/>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4"/>
      <c r="Q19" s="1505" t="str">
        <f>B19</f>
        <v>公共配套设施</v>
      </c>
      <c r="R19" s="714" t="s">
        <v>17</v>
      </c>
      <c r="S19" s="715">
        <f>F19</f>
        <v>100</v>
      </c>
      <c r="T19" s="714" t="s">
        <v>17</v>
      </c>
      <c r="U19" s="715">
        <f>H19</f>
        <v>100</v>
      </c>
      <c r="V19" s="714" t="s">
        <v>17</v>
      </c>
      <c r="W19" s="715">
        <f>J19</f>
        <v>100</v>
      </c>
      <c r="X19" s="1508"/>
      <c r="Y19" s="344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44"/>
      <c r="Q20" s="1505"/>
      <c r="R20" s="714"/>
      <c r="S20" s="715"/>
      <c r="T20" s="714"/>
      <c r="U20" s="715"/>
      <c r="V20" s="714"/>
      <c r="W20" s="715"/>
      <c r="X20" s="1508"/>
      <c r="Y20" s="3444"/>
      <c r="Z20" s="1509"/>
      <c r="AA20" s="1506">
        <v>1</v>
      </c>
      <c r="AB20" s="1506">
        <v>1</v>
      </c>
      <c r="AC20" s="1506">
        <v>1</v>
      </c>
    </row>
    <row r="21" spans="1:29" ht="28.5">
      <c r="A21" s="387"/>
      <c r="B21" s="1264"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4"/>
      <c r="Q21" s="1505" t="str">
        <f>B21</f>
        <v>基础设施水平</v>
      </c>
      <c r="R21" s="714" t="s">
        <v>17</v>
      </c>
      <c r="S21" s="715">
        <f>F21</f>
        <v>100</v>
      </c>
      <c r="T21" s="714" t="s">
        <v>17</v>
      </c>
      <c r="U21" s="715">
        <f>H21</f>
        <v>100</v>
      </c>
      <c r="V21" s="714" t="s">
        <v>17</v>
      </c>
      <c r="W21" s="715">
        <f>J21</f>
        <v>100</v>
      </c>
      <c r="X21" s="1508"/>
      <c r="Y21" s="3444"/>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44"/>
      <c r="Q22" s="1505"/>
      <c r="R22" s="714"/>
      <c r="S22" s="715"/>
      <c r="T22" s="714"/>
      <c r="U22" s="715"/>
      <c r="V22" s="714"/>
      <c r="W22" s="715"/>
      <c r="X22" s="1508"/>
      <c r="Y22" s="3444"/>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4"/>
      <c r="Q23" s="1505" t="str">
        <f>B23</f>
        <v>环境质量</v>
      </c>
      <c r="R23" s="714" t="s">
        <v>17</v>
      </c>
      <c r="S23" s="715">
        <f>F23</f>
        <v>100</v>
      </c>
      <c r="T23" s="714" t="s">
        <v>17</v>
      </c>
      <c r="U23" s="715">
        <f>H23</f>
        <v>100</v>
      </c>
      <c r="V23" s="714" t="s">
        <v>17</v>
      </c>
      <c r="W23" s="715">
        <f>J23</f>
        <v>100</v>
      </c>
      <c r="X23" s="1508"/>
      <c r="Y23" s="3444"/>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44"/>
      <c r="Q24" s="1505"/>
      <c r="R24" s="714"/>
      <c r="S24" s="715"/>
      <c r="T24" s="714"/>
      <c r="U24" s="715"/>
      <c r="V24" s="714"/>
      <c r="W24" s="715"/>
      <c r="X24" s="1508"/>
      <c r="Y24" s="3444"/>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4"/>
      <c r="Q25" s="1505">
        <f>B25</f>
        <v>111</v>
      </c>
      <c r="R25" s="714" t="s">
        <v>17</v>
      </c>
      <c r="S25" s="715">
        <f>F25</f>
        <v>100</v>
      </c>
      <c r="T25" s="714" t="s">
        <v>17</v>
      </c>
      <c r="U25" s="715">
        <f>H25</f>
        <v>100</v>
      </c>
      <c r="V25" s="714" t="s">
        <v>17</v>
      </c>
      <c r="W25" s="715">
        <f>J25</f>
        <v>100</v>
      </c>
      <c r="X25" s="1508"/>
      <c r="Y25" s="3444"/>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4"/>
      <c r="Q26" s="1505">
        <f t="shared" ref="Q26:Q40" si="11">B26</f>
        <v>111</v>
      </c>
      <c r="R26" s="714" t="s">
        <v>17</v>
      </c>
      <c r="S26" s="715">
        <f>F26</f>
        <v>100</v>
      </c>
      <c r="T26" s="714" t="s">
        <v>17</v>
      </c>
      <c r="U26" s="715">
        <f>H26</f>
        <v>100</v>
      </c>
      <c r="V26" s="714" t="s">
        <v>17</v>
      </c>
      <c r="W26" s="715">
        <f>J26</f>
        <v>100</v>
      </c>
      <c r="X26" s="1508"/>
      <c r="Y26" s="3444"/>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4"/>
      <c r="Q27" s="1496">
        <f t="shared" si="11"/>
        <v>111</v>
      </c>
      <c r="R27" s="710" t="s">
        <v>17</v>
      </c>
      <c r="S27" s="711">
        <f>F27</f>
        <v>100</v>
      </c>
      <c r="T27" s="710" t="s">
        <v>17</v>
      </c>
      <c r="U27" s="711">
        <f>H27</f>
        <v>100</v>
      </c>
      <c r="V27" s="710" t="s">
        <v>17</v>
      </c>
      <c r="W27" s="711">
        <f>J27</f>
        <v>100</v>
      </c>
      <c r="X27" s="712"/>
      <c r="Y27" s="3444"/>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4"/>
      <c r="Q28" s="1505">
        <f t="shared" si="11"/>
        <v>111</v>
      </c>
      <c r="R28" s="714" t="s">
        <v>17</v>
      </c>
      <c r="S28" s="715">
        <f t="shared" ref="S28:S40" si="12">F28</f>
        <v>100</v>
      </c>
      <c r="T28" s="714" t="s">
        <v>17</v>
      </c>
      <c r="U28" s="715">
        <f t="shared" ref="U28:U40" si="13">H28</f>
        <v>100</v>
      </c>
      <c r="V28" s="714" t="s">
        <v>17</v>
      </c>
      <c r="W28" s="715">
        <f t="shared" ref="W28:W40" si="14">J28</f>
        <v>100</v>
      </c>
      <c r="X28" s="1508"/>
      <c r="Y28" s="3444"/>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25" t="s">
        <v>2326</v>
      </c>
      <c r="Q29" s="1505" t="str">
        <f t="shared" si="11"/>
        <v>建筑类型</v>
      </c>
      <c r="R29" s="714" t="s">
        <v>17</v>
      </c>
      <c r="S29" s="715">
        <f t="shared" si="12"/>
        <v>100</v>
      </c>
      <c r="T29" s="714" t="s">
        <v>17</v>
      </c>
      <c r="U29" s="715">
        <f t="shared" si="13"/>
        <v>100</v>
      </c>
      <c r="V29" s="714" t="s">
        <v>17</v>
      </c>
      <c r="W29" s="715">
        <f t="shared" si="14"/>
        <v>100</v>
      </c>
      <c r="X29" s="1508"/>
      <c r="Y29" s="3448"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8"/>
      <c r="Q30" s="716" t="str">
        <f t="shared" si="11"/>
        <v>项目建筑规模</v>
      </c>
      <c r="R30" s="717" t="s">
        <v>17</v>
      </c>
      <c r="S30" s="718" t="e">
        <f t="shared" si="12"/>
        <v>#N/A</v>
      </c>
      <c r="T30" s="717" t="s">
        <v>17</v>
      </c>
      <c r="U30" s="718" t="e">
        <f t="shared" si="13"/>
        <v>#N/A</v>
      </c>
      <c r="V30" s="717" t="s">
        <v>17</v>
      </c>
      <c r="W30" s="718" t="e">
        <f t="shared" si="14"/>
        <v>#N/A</v>
      </c>
      <c r="X30" s="719"/>
      <c r="Y30" s="3448"/>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8"/>
      <c r="Q31" s="1505" t="str">
        <f t="shared" si="11"/>
        <v>建筑结构</v>
      </c>
      <c r="R31" s="714" t="s">
        <v>17</v>
      </c>
      <c r="S31" s="715">
        <f t="shared" si="12"/>
        <v>100</v>
      </c>
      <c r="T31" s="714" t="s">
        <v>17</v>
      </c>
      <c r="U31" s="715">
        <f t="shared" si="13"/>
        <v>100</v>
      </c>
      <c r="V31" s="714" t="s">
        <v>17</v>
      </c>
      <c r="W31" s="715">
        <f t="shared" si="14"/>
        <v>100</v>
      </c>
      <c r="X31" s="1508"/>
      <c r="Y31" s="3448"/>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8"/>
      <c r="Q32" s="1505" t="str">
        <f t="shared" si="11"/>
        <v>公共部分装修</v>
      </c>
      <c r="R32" s="714" t="s">
        <v>17</v>
      </c>
      <c r="S32" s="715">
        <f t="shared" si="12"/>
        <v>100</v>
      </c>
      <c r="T32" s="714" t="s">
        <v>17</v>
      </c>
      <c r="U32" s="715">
        <f t="shared" si="13"/>
        <v>100</v>
      </c>
      <c r="V32" s="714" t="s">
        <v>17</v>
      </c>
      <c r="W32" s="715">
        <f t="shared" si="14"/>
        <v>100</v>
      </c>
      <c r="X32" s="1508"/>
      <c r="Y32" s="3448"/>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8"/>
      <c r="Q33" s="1505" t="str">
        <f t="shared" si="11"/>
        <v>成新度</v>
      </c>
      <c r="R33" s="714" t="s">
        <v>17</v>
      </c>
      <c r="S33" s="715" t="e">
        <f t="shared" si="12"/>
        <v>#N/A</v>
      </c>
      <c r="T33" s="714" t="s">
        <v>17</v>
      </c>
      <c r="U33" s="715" t="e">
        <f t="shared" si="13"/>
        <v>#N/A</v>
      </c>
      <c r="V33" s="714" t="s">
        <v>17</v>
      </c>
      <c r="W33" s="715" t="e">
        <f t="shared" si="14"/>
        <v>#N/A</v>
      </c>
      <c r="X33" s="1508"/>
      <c r="Y33" s="3448"/>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8"/>
      <c r="Q34" s="1496" t="str">
        <f t="shared" si="11"/>
        <v>物业管理</v>
      </c>
      <c r="R34" s="710" t="s">
        <v>17</v>
      </c>
      <c r="S34" s="711">
        <f t="shared" si="12"/>
        <v>100</v>
      </c>
      <c r="T34" s="710" t="s">
        <v>17</v>
      </c>
      <c r="U34" s="711">
        <f t="shared" si="13"/>
        <v>100</v>
      </c>
      <c r="V34" s="710" t="s">
        <v>17</v>
      </c>
      <c r="W34" s="711">
        <f t="shared" si="14"/>
        <v>100</v>
      </c>
      <c r="X34" s="712"/>
      <c r="Y34" s="344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8" t="s">
        <v>2326</v>
      </c>
      <c r="Q35" s="1505" t="str">
        <f t="shared" si="11"/>
        <v>市政基础设施</v>
      </c>
      <c r="R35" s="714" t="s">
        <v>17</v>
      </c>
      <c r="S35" s="715">
        <f t="shared" si="12"/>
        <v>100</v>
      </c>
      <c r="T35" s="714" t="s">
        <v>17</v>
      </c>
      <c r="U35" s="715">
        <f t="shared" si="13"/>
        <v>100</v>
      </c>
      <c r="V35" s="714" t="s">
        <v>17</v>
      </c>
      <c r="W35" s="715">
        <f t="shared" si="14"/>
        <v>100</v>
      </c>
      <c r="X35" s="1508"/>
      <c r="Y35" s="3448"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8"/>
      <c r="Q36" s="1505" t="str">
        <f t="shared" si="11"/>
        <v>内部装修</v>
      </c>
      <c r="R36" s="714" t="s">
        <v>17</v>
      </c>
      <c r="S36" s="715">
        <f t="shared" si="12"/>
        <v>100</v>
      </c>
      <c r="T36" s="714" t="s">
        <v>17</v>
      </c>
      <c r="U36" s="715">
        <f t="shared" si="13"/>
        <v>100</v>
      </c>
      <c r="V36" s="714" t="s">
        <v>17</v>
      </c>
      <c r="W36" s="715">
        <f t="shared" si="14"/>
        <v>100</v>
      </c>
      <c r="X36" s="1508"/>
      <c r="Y36" s="3448"/>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8"/>
      <c r="Q37" s="1505" t="str">
        <f t="shared" si="11"/>
        <v>内部装修状况</v>
      </c>
      <c r="R37" s="714" t="s">
        <v>17</v>
      </c>
      <c r="S37" s="715">
        <f t="shared" si="12"/>
        <v>100</v>
      </c>
      <c r="T37" s="714" t="s">
        <v>17</v>
      </c>
      <c r="U37" s="715">
        <f t="shared" si="13"/>
        <v>100</v>
      </c>
      <c r="V37" s="714" t="s">
        <v>17</v>
      </c>
      <c r="W37" s="715">
        <f t="shared" si="14"/>
        <v>100</v>
      </c>
      <c r="X37" s="1508"/>
      <c r="Y37" s="3448"/>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8"/>
      <c r="Q38" s="716">
        <f t="shared" si="11"/>
        <v>111</v>
      </c>
      <c r="R38" s="717" t="s">
        <v>17</v>
      </c>
      <c r="S38" s="718">
        <f t="shared" si="12"/>
        <v>100</v>
      </c>
      <c r="T38" s="717" t="s">
        <v>17</v>
      </c>
      <c r="U38" s="718">
        <f t="shared" si="13"/>
        <v>100</v>
      </c>
      <c r="V38" s="717" t="s">
        <v>17</v>
      </c>
      <c r="W38" s="718">
        <f t="shared" si="14"/>
        <v>100</v>
      </c>
      <c r="X38" s="719"/>
      <c r="Y38" s="3448"/>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8"/>
      <c r="Q39" s="1505">
        <f t="shared" si="11"/>
        <v>111</v>
      </c>
      <c r="R39" s="714" t="s">
        <v>17</v>
      </c>
      <c r="S39" s="715">
        <f t="shared" si="12"/>
        <v>100</v>
      </c>
      <c r="T39" s="714" t="s">
        <v>17</v>
      </c>
      <c r="U39" s="715">
        <f t="shared" si="13"/>
        <v>100</v>
      </c>
      <c r="V39" s="714" t="s">
        <v>17</v>
      </c>
      <c r="W39" s="715">
        <f t="shared" si="14"/>
        <v>100</v>
      </c>
      <c r="X39" s="1508"/>
      <c r="Y39" s="3448"/>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9"/>
      <c r="Q40" s="1505">
        <f t="shared" si="11"/>
        <v>111</v>
      </c>
      <c r="R40" s="714" t="s">
        <v>17</v>
      </c>
      <c r="S40" s="715">
        <f t="shared" si="12"/>
        <v>100</v>
      </c>
      <c r="T40" s="714" t="s">
        <v>17</v>
      </c>
      <c r="U40" s="715">
        <f t="shared" si="13"/>
        <v>100</v>
      </c>
      <c r="V40" s="714" t="s">
        <v>17</v>
      </c>
      <c r="W40" s="715">
        <f t="shared" si="14"/>
        <v>100</v>
      </c>
      <c r="X40" s="1508"/>
      <c r="Y40" s="3449"/>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7"/>
      <c r="M41" s="1058"/>
      <c r="N41" s="1045"/>
      <c r="O41" s="1058"/>
      <c r="P41" s="3441" t="str">
        <f>A41</f>
        <v>成交单价（元/平方米）</v>
      </c>
      <c r="Q41" s="3441"/>
      <c r="R41" s="3442">
        <f>E41</f>
        <v>0</v>
      </c>
      <c r="S41" s="3442"/>
      <c r="T41" s="3442">
        <f>G41</f>
        <v>0</v>
      </c>
      <c r="U41" s="3442"/>
      <c r="V41" s="3442">
        <f>I41</f>
        <v>0</v>
      </c>
      <c r="W41" s="3442"/>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7"/>
      <c r="M42" s="1058"/>
      <c r="N42" s="1045"/>
      <c r="O42" s="1058"/>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7"/>
      <c r="M43" s="1058"/>
      <c r="N43" s="1058"/>
      <c r="O43" s="1058"/>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2"/>
      <c r="M4" s="2913"/>
      <c r="N4" s="2913"/>
      <c r="O4" s="2913"/>
      <c r="P4" s="3460" t="s">
        <v>2412</v>
      </c>
      <c r="Q4" s="3461"/>
      <c r="R4" s="3466" t="s">
        <v>2408</v>
      </c>
      <c r="S4" s="3467"/>
      <c r="T4" s="3466" t="s">
        <v>2409</v>
      </c>
      <c r="U4" s="3467"/>
      <c r="V4" s="3472" t="s">
        <v>2410</v>
      </c>
      <c r="W4" s="3472"/>
      <c r="X4" s="1508"/>
      <c r="Y4" s="3466" t="s">
        <v>2412</v>
      </c>
      <c r="Z4" s="3467"/>
      <c r="AA4" s="3453" t="s">
        <v>2408</v>
      </c>
      <c r="AB4" s="3454" t="s">
        <v>2409</v>
      </c>
      <c r="AC4" s="3453" t="s">
        <v>2410</v>
      </c>
    </row>
    <row r="5" spans="1:29" ht="15">
      <c r="A5" s="364"/>
      <c r="B5" s="365"/>
      <c r="C5" s="3475" t="s">
        <v>2303</v>
      </c>
      <c r="D5" s="3476"/>
      <c r="E5" s="3482" t="s">
        <v>2304</v>
      </c>
      <c r="F5" s="3483"/>
      <c r="G5" s="3475" t="s">
        <v>2305</v>
      </c>
      <c r="H5" s="3476"/>
      <c r="I5" s="3475" t="s">
        <v>2306</v>
      </c>
      <c r="J5" s="3476"/>
      <c r="K5" s="567"/>
      <c r="L5" s="2912"/>
      <c r="M5" s="2913"/>
      <c r="N5" s="2913"/>
      <c r="O5" s="2913"/>
      <c r="P5" s="3462"/>
      <c r="Q5" s="3463"/>
      <c r="R5" s="3468"/>
      <c r="S5" s="3469"/>
      <c r="T5" s="3468"/>
      <c r="U5" s="3469"/>
      <c r="V5" s="3472"/>
      <c r="W5" s="3472"/>
      <c r="X5" s="1508"/>
      <c r="Y5" s="3468"/>
      <c r="Z5" s="3469"/>
      <c r="AA5" s="3454"/>
      <c r="AB5" s="3454"/>
      <c r="AC5" s="3454"/>
    </row>
    <row r="6" spans="1:29" ht="15.75" thickBot="1">
      <c r="A6" s="366"/>
      <c r="B6" s="367"/>
      <c r="C6" s="3473" t="s">
        <v>2307</v>
      </c>
      <c r="D6" s="3474"/>
      <c r="E6" s="3480" t="s">
        <v>2307</v>
      </c>
      <c r="F6" s="3481"/>
      <c r="G6" s="3473" t="s">
        <v>2307</v>
      </c>
      <c r="H6" s="3474"/>
      <c r="I6" s="3473" t="s">
        <v>2307</v>
      </c>
      <c r="J6" s="3474"/>
      <c r="K6" s="567" t="s">
        <v>2308</v>
      </c>
      <c r="L6" s="2912"/>
      <c r="M6" s="2913"/>
      <c r="N6" s="2913"/>
      <c r="O6" s="2913"/>
      <c r="P6" s="3464"/>
      <c r="Q6" s="3465"/>
      <c r="R6" s="3468"/>
      <c r="S6" s="3469"/>
      <c r="T6" s="3470"/>
      <c r="U6" s="3471"/>
      <c r="V6" s="3472"/>
      <c r="W6" s="3472"/>
      <c r="X6" s="1508"/>
      <c r="Y6" s="3470"/>
      <c r="Z6" s="3471"/>
      <c r="AA6" s="3455"/>
      <c r="AB6" s="3455"/>
      <c r="AC6" s="3455"/>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77" t="s">
        <v>2310</v>
      </c>
      <c r="Q7" s="3479"/>
      <c r="R7" s="710" t="s">
        <v>17</v>
      </c>
      <c r="S7" s="711">
        <f t="shared" ref="S7:S14" si="0">F7</f>
        <v>0</v>
      </c>
      <c r="T7" s="710" t="s">
        <v>17</v>
      </c>
      <c r="U7" s="711">
        <f t="shared" ref="U7:U14" si="1">H7</f>
        <v>0</v>
      </c>
      <c r="V7" s="710" t="s">
        <v>17</v>
      </c>
      <c r="W7" s="711">
        <f t="shared" ref="W7:W14" si="2">J7</f>
        <v>0</v>
      </c>
      <c r="X7" s="712"/>
      <c r="Y7" s="3477" t="s">
        <v>2310</v>
      </c>
      <c r="Z7" s="347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77" t="s">
        <v>2313</v>
      </c>
      <c r="Q8" s="3478"/>
      <c r="R8" s="710" t="s">
        <v>17</v>
      </c>
      <c r="S8" s="711">
        <f t="shared" si="0"/>
        <v>0</v>
      </c>
      <c r="T8" s="710" t="s">
        <v>17</v>
      </c>
      <c r="U8" s="711">
        <f t="shared" si="1"/>
        <v>0</v>
      </c>
      <c r="V8" s="710" t="s">
        <v>17</v>
      </c>
      <c r="W8" s="711">
        <f t="shared" si="2"/>
        <v>0</v>
      </c>
      <c r="X8" s="712"/>
      <c r="Y8" s="3477" t="s">
        <v>2313</v>
      </c>
      <c r="Z8" s="347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41" t="s">
        <v>2316</v>
      </c>
      <c r="Q9" s="1496" t="str">
        <f t="shared" ref="Q9:Q14" si="6">B9</f>
        <v>用途</v>
      </c>
      <c r="R9" s="710" t="s">
        <v>17</v>
      </c>
      <c r="S9" s="711">
        <f t="shared" si="0"/>
        <v>100</v>
      </c>
      <c r="T9" s="710" t="s">
        <v>17</v>
      </c>
      <c r="U9" s="711">
        <f t="shared" si="1"/>
        <v>100</v>
      </c>
      <c r="V9" s="710" t="s">
        <v>17</v>
      </c>
      <c r="W9" s="711">
        <f t="shared" si="2"/>
        <v>100</v>
      </c>
      <c r="X9" s="712"/>
      <c r="Y9" s="333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41"/>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41"/>
      <c r="Q11" s="1496">
        <f t="shared" si="6"/>
        <v>111</v>
      </c>
      <c r="R11" s="710" t="s">
        <v>17</v>
      </c>
      <c r="S11" s="711">
        <f t="shared" si="0"/>
        <v>100</v>
      </c>
      <c r="T11" s="710" t="s">
        <v>17</v>
      </c>
      <c r="U11" s="711">
        <f t="shared" si="1"/>
        <v>100</v>
      </c>
      <c r="V11" s="710" t="s">
        <v>17</v>
      </c>
      <c r="W11" s="711">
        <f t="shared" si="2"/>
        <v>100</v>
      </c>
      <c r="X11" s="712"/>
      <c r="Y11" s="33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41"/>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41"/>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43" t="s">
        <v>2321</v>
      </c>
      <c r="Q14" s="1505" t="str">
        <f t="shared" si="6"/>
        <v>交通便捷度</v>
      </c>
      <c r="R14" s="714" t="s">
        <v>17</v>
      </c>
      <c r="S14" s="715">
        <f t="shared" si="0"/>
        <v>100</v>
      </c>
      <c r="T14" s="714" t="s">
        <v>17</v>
      </c>
      <c r="U14" s="715">
        <f t="shared" si="1"/>
        <v>100</v>
      </c>
      <c r="V14" s="714" t="s">
        <v>17</v>
      </c>
      <c r="W14" s="715">
        <f t="shared" si="2"/>
        <v>100</v>
      </c>
      <c r="X14" s="1508"/>
      <c r="Y14" s="344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44"/>
      <c r="Q15" s="1505"/>
      <c r="R15" s="714"/>
      <c r="S15" s="715"/>
      <c r="T15" s="714"/>
      <c r="U15" s="715"/>
      <c r="V15" s="714"/>
      <c r="W15" s="715"/>
      <c r="X15" s="1508"/>
      <c r="Y15" s="3444"/>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44"/>
      <c r="Q16" s="1505" t="str">
        <f>B16</f>
        <v>公共配套设施</v>
      </c>
      <c r="R16" s="714" t="s">
        <v>17</v>
      </c>
      <c r="S16" s="715">
        <f>F16</f>
        <v>100</v>
      </c>
      <c r="T16" s="714" t="s">
        <v>17</v>
      </c>
      <c r="U16" s="715">
        <f>H16</f>
        <v>100</v>
      </c>
      <c r="V16" s="714" t="s">
        <v>17</v>
      </c>
      <c r="W16" s="715">
        <f>J16</f>
        <v>100</v>
      </c>
      <c r="X16" s="1508"/>
      <c r="Y16" s="344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44"/>
      <c r="Q17" s="1505"/>
      <c r="R17" s="714"/>
      <c r="S17" s="715"/>
      <c r="T17" s="714"/>
      <c r="U17" s="715"/>
      <c r="V17" s="714"/>
      <c r="W17" s="715"/>
      <c r="X17" s="1508"/>
      <c r="Y17" s="3444"/>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44"/>
      <c r="Q18" s="1505" t="str">
        <f>B18</f>
        <v>基础设施水平</v>
      </c>
      <c r="R18" s="714" t="s">
        <v>17</v>
      </c>
      <c r="S18" s="715">
        <f>F18</f>
        <v>100</v>
      </c>
      <c r="T18" s="714" t="s">
        <v>17</v>
      </c>
      <c r="U18" s="715">
        <f>H18</f>
        <v>100</v>
      </c>
      <c r="V18" s="714" t="s">
        <v>17</v>
      </c>
      <c r="W18" s="715">
        <f>J18</f>
        <v>100</v>
      </c>
      <c r="X18" s="1508"/>
      <c r="Y18" s="344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9"/>
      <c r="M19" s="2913"/>
      <c r="N19" s="2913"/>
      <c r="O19" s="2913"/>
      <c r="P19" s="3444"/>
      <c r="Q19" s="1505"/>
      <c r="R19" s="714"/>
      <c r="S19" s="715"/>
      <c r="T19" s="714"/>
      <c r="U19" s="715"/>
      <c r="V19" s="714"/>
      <c r="W19" s="715"/>
      <c r="X19" s="1508"/>
      <c r="Y19" s="3444"/>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44"/>
      <c r="Q20" s="1505" t="str">
        <f>B20</f>
        <v>自然及人文环境</v>
      </c>
      <c r="R20" s="714" t="s">
        <v>17</v>
      </c>
      <c r="S20" s="715">
        <f>F20</f>
        <v>100</v>
      </c>
      <c r="T20" s="714" t="s">
        <v>17</v>
      </c>
      <c r="U20" s="715">
        <f>H20</f>
        <v>100</v>
      </c>
      <c r="V20" s="714" t="s">
        <v>17</v>
      </c>
      <c r="W20" s="715">
        <f>J20</f>
        <v>100</v>
      </c>
      <c r="X20" s="1508"/>
      <c r="Y20" s="344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44"/>
      <c r="Q21" s="1505"/>
      <c r="R21" s="714"/>
      <c r="S21" s="715"/>
      <c r="T21" s="714"/>
      <c r="U21" s="715"/>
      <c r="V21" s="714"/>
      <c r="W21" s="715"/>
      <c r="X21" s="1508"/>
      <c r="Y21" s="344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44"/>
      <c r="Q22" s="1505" t="str">
        <f>B22</f>
        <v>楼层</v>
      </c>
      <c r="R22" s="714" t="s">
        <v>17</v>
      </c>
      <c r="S22" s="715">
        <f>F22</f>
        <v>100</v>
      </c>
      <c r="T22" s="714" t="s">
        <v>17</v>
      </c>
      <c r="U22" s="715">
        <f>H22</f>
        <v>100</v>
      </c>
      <c r="V22" s="714" t="s">
        <v>17</v>
      </c>
      <c r="W22" s="715">
        <f>J22</f>
        <v>100</v>
      </c>
      <c r="X22" s="1508"/>
      <c r="Y22" s="344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44"/>
      <c r="Q23" s="1505">
        <f>B23</f>
        <v>111</v>
      </c>
      <c r="R23" s="714" t="s">
        <v>17</v>
      </c>
      <c r="S23" s="715">
        <f>F23</f>
        <v>100</v>
      </c>
      <c r="T23" s="714" t="s">
        <v>17</v>
      </c>
      <c r="U23" s="715">
        <f>H23</f>
        <v>100</v>
      </c>
      <c r="V23" s="714" t="s">
        <v>17</v>
      </c>
      <c r="W23" s="715">
        <f>J23</f>
        <v>100</v>
      </c>
      <c r="X23" s="1508"/>
      <c r="Y23" s="344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44"/>
      <c r="Q24" s="1505">
        <f t="shared" ref="Q24:Q36" si="11">B24</f>
        <v>111</v>
      </c>
      <c r="R24" s="714" t="s">
        <v>17</v>
      </c>
      <c r="S24" s="715">
        <f>F24</f>
        <v>100</v>
      </c>
      <c r="T24" s="714" t="s">
        <v>17</v>
      </c>
      <c r="U24" s="715">
        <f>H24</f>
        <v>100</v>
      </c>
      <c r="V24" s="714" t="s">
        <v>17</v>
      </c>
      <c r="W24" s="715">
        <f>J24</f>
        <v>100</v>
      </c>
      <c r="X24" s="1508"/>
      <c r="Y24" s="344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44"/>
      <c r="Q25" s="1496">
        <f t="shared" si="11"/>
        <v>111</v>
      </c>
      <c r="R25" s="710" t="s">
        <v>17</v>
      </c>
      <c r="S25" s="711">
        <f>F25</f>
        <v>100</v>
      </c>
      <c r="T25" s="710" t="s">
        <v>17</v>
      </c>
      <c r="U25" s="711">
        <f>H25</f>
        <v>100</v>
      </c>
      <c r="V25" s="710" t="s">
        <v>17</v>
      </c>
      <c r="W25" s="711">
        <f>J25</f>
        <v>100</v>
      </c>
      <c r="X25" s="712"/>
      <c r="Y25" s="3444"/>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25"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48"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48"/>
      <c r="Q27" s="716" t="str">
        <f t="shared" si="11"/>
        <v>项目停车位配比</v>
      </c>
      <c r="R27" s="717" t="s">
        <v>17</v>
      </c>
      <c r="S27" s="718">
        <f t="shared" si="12"/>
        <v>100</v>
      </c>
      <c r="T27" s="717" t="s">
        <v>17</v>
      </c>
      <c r="U27" s="718">
        <f t="shared" si="13"/>
        <v>100</v>
      </c>
      <c r="V27" s="717" t="s">
        <v>17</v>
      </c>
      <c r="W27" s="718">
        <f t="shared" si="14"/>
        <v>100</v>
      </c>
      <c r="X27" s="719"/>
      <c r="Y27" s="3448"/>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48"/>
      <c r="Q28" s="1505" t="str">
        <f t="shared" si="11"/>
        <v>公共部分装修</v>
      </c>
      <c r="R28" s="714" t="s">
        <v>17</v>
      </c>
      <c r="S28" s="715">
        <f t="shared" si="12"/>
        <v>100</v>
      </c>
      <c r="T28" s="714" t="s">
        <v>17</v>
      </c>
      <c r="U28" s="715">
        <f t="shared" si="13"/>
        <v>100</v>
      </c>
      <c r="V28" s="714" t="s">
        <v>17</v>
      </c>
      <c r="W28" s="715">
        <f t="shared" si="14"/>
        <v>100</v>
      </c>
      <c r="X28" s="1508"/>
      <c r="Y28" s="3448"/>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48"/>
      <c r="Q29" s="1505" t="str">
        <f t="shared" si="11"/>
        <v>成新率</v>
      </c>
      <c r="R29" s="714" t="s">
        <v>17</v>
      </c>
      <c r="S29" s="715" t="e">
        <f t="shared" si="12"/>
        <v>#N/A</v>
      </c>
      <c r="T29" s="714" t="s">
        <v>17</v>
      </c>
      <c r="U29" s="715" t="e">
        <f t="shared" si="13"/>
        <v>#N/A</v>
      </c>
      <c r="V29" s="714" t="s">
        <v>17</v>
      </c>
      <c r="W29" s="715" t="e">
        <f t="shared" si="14"/>
        <v>#N/A</v>
      </c>
      <c r="X29" s="1508"/>
      <c r="Y29" s="3448"/>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48"/>
      <c r="Q30" s="1505" t="str">
        <f t="shared" si="11"/>
        <v>物业等级</v>
      </c>
      <c r="R30" s="714" t="s">
        <v>17</v>
      </c>
      <c r="S30" s="715">
        <f t="shared" si="12"/>
        <v>100</v>
      </c>
      <c r="T30" s="714" t="s">
        <v>17</v>
      </c>
      <c r="U30" s="715">
        <f t="shared" si="13"/>
        <v>100</v>
      </c>
      <c r="V30" s="714" t="s">
        <v>17</v>
      </c>
      <c r="W30" s="715">
        <f t="shared" si="14"/>
        <v>100</v>
      </c>
      <c r="X30" s="1508"/>
      <c r="Y30" s="3448"/>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48"/>
      <c r="Q31" s="1496" t="str">
        <f t="shared" si="11"/>
        <v>停车位面积</v>
      </c>
      <c r="R31" s="710" t="s">
        <v>17</v>
      </c>
      <c r="S31" s="711" t="e">
        <f t="shared" si="12"/>
        <v>#N/A</v>
      </c>
      <c r="T31" s="710" t="s">
        <v>17</v>
      </c>
      <c r="U31" s="711" t="e">
        <f t="shared" si="13"/>
        <v>#N/A</v>
      </c>
      <c r="V31" s="710" t="s">
        <v>17</v>
      </c>
      <c r="W31" s="711" t="e">
        <f t="shared" si="14"/>
        <v>#N/A</v>
      </c>
      <c r="X31" s="712"/>
      <c r="Y31" s="344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48" t="s">
        <v>2326</v>
      </c>
      <c r="Q32" s="1505" t="str">
        <f t="shared" si="11"/>
        <v>车位类型</v>
      </c>
      <c r="R32" s="714" t="s">
        <v>17</v>
      </c>
      <c r="S32" s="715">
        <f t="shared" si="12"/>
        <v>100</v>
      </c>
      <c r="T32" s="714" t="s">
        <v>17</v>
      </c>
      <c r="U32" s="715">
        <f t="shared" si="13"/>
        <v>100</v>
      </c>
      <c r="V32" s="714" t="s">
        <v>17</v>
      </c>
      <c r="W32" s="715">
        <f t="shared" si="14"/>
        <v>100</v>
      </c>
      <c r="X32" s="1508"/>
      <c r="Y32" s="3448"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48"/>
      <c r="Q33" s="1505" t="str">
        <f t="shared" si="11"/>
        <v>是否直接入户</v>
      </c>
      <c r="R33" s="714" t="s">
        <v>17</v>
      </c>
      <c r="S33" s="715">
        <f t="shared" si="12"/>
        <v>100</v>
      </c>
      <c r="T33" s="714" t="s">
        <v>17</v>
      </c>
      <c r="U33" s="715">
        <f t="shared" si="13"/>
        <v>100</v>
      </c>
      <c r="V33" s="714" t="s">
        <v>17</v>
      </c>
      <c r="W33" s="715">
        <f t="shared" si="14"/>
        <v>100</v>
      </c>
      <c r="X33" s="1508"/>
      <c r="Y33" s="344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48"/>
      <c r="Q34" s="1505">
        <f t="shared" si="11"/>
        <v>111</v>
      </c>
      <c r="R34" s="714" t="s">
        <v>17</v>
      </c>
      <c r="S34" s="715">
        <f t="shared" si="12"/>
        <v>100</v>
      </c>
      <c r="T34" s="714" t="s">
        <v>17</v>
      </c>
      <c r="U34" s="715">
        <f t="shared" si="13"/>
        <v>100</v>
      </c>
      <c r="V34" s="714" t="s">
        <v>17</v>
      </c>
      <c r="W34" s="715">
        <f t="shared" si="14"/>
        <v>100</v>
      </c>
      <c r="X34" s="1508"/>
      <c r="Y34" s="344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48"/>
      <c r="Q35" s="716">
        <f t="shared" si="11"/>
        <v>111</v>
      </c>
      <c r="R35" s="717" t="s">
        <v>17</v>
      </c>
      <c r="S35" s="718">
        <f t="shared" si="12"/>
        <v>100</v>
      </c>
      <c r="T35" s="717" t="s">
        <v>17</v>
      </c>
      <c r="U35" s="718">
        <f t="shared" si="13"/>
        <v>100</v>
      </c>
      <c r="V35" s="717" t="s">
        <v>17</v>
      </c>
      <c r="W35" s="718">
        <f t="shared" si="14"/>
        <v>100</v>
      </c>
      <c r="X35" s="719"/>
      <c r="Y35" s="3448"/>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48"/>
      <c r="Q36" s="1505">
        <f t="shared" si="11"/>
        <v>111</v>
      </c>
      <c r="R36" s="714" t="s">
        <v>17</v>
      </c>
      <c r="S36" s="715">
        <f t="shared" si="12"/>
        <v>100</v>
      </c>
      <c r="T36" s="714" t="s">
        <v>17</v>
      </c>
      <c r="U36" s="715">
        <f t="shared" si="13"/>
        <v>100</v>
      </c>
      <c r="V36" s="714" t="s">
        <v>17</v>
      </c>
      <c r="W36" s="715">
        <f t="shared" si="14"/>
        <v>100</v>
      </c>
      <c r="X36" s="1508"/>
      <c r="Y36" s="3448"/>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41" t="str">
        <f>A37</f>
        <v>成交单价</v>
      </c>
      <c r="Q37" s="3441"/>
      <c r="R37" s="3442">
        <f>E37</f>
        <v>0</v>
      </c>
      <c r="S37" s="3442"/>
      <c r="T37" s="3442">
        <f>G37</f>
        <v>0</v>
      </c>
      <c r="U37" s="3442"/>
      <c r="V37" s="3442">
        <f>I37</f>
        <v>0</v>
      </c>
      <c r="W37" s="3442"/>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38" t="str">
        <f>A39</f>
        <v>估价对象XX用房的比较价值（楼面单价，元/平方米）</v>
      </c>
      <c r="Q39" s="3439"/>
      <c r="R39" s="3526" t="e">
        <f>IF(F1="售价",ROUND(IF(D38="简单平均",AVERAGE(R38:W38),R38*F38+T38*H38+V38*J38),0),ROUND(IF(D38="简单平均",AVERAGE(R38:V38),R38*F38+T38*H38+V38*J38),1))</f>
        <v>#DIV/0!</v>
      </c>
      <c r="S39" s="3526"/>
      <c r="T39" s="3526"/>
      <c r="U39" s="3526"/>
      <c r="V39" s="3526"/>
      <c r="W39" s="352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8"/>
      <c r="C47" s="1071"/>
      <c r="D47" s="1071"/>
      <c r="E47" s="1071"/>
      <c r="F47" s="1300"/>
      <c r="G47" s="1300"/>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估价对象为房地产，为所有。根据《国有土地使用证》[]，估价对象（分摊）出让国有建设用地使用权面积为0平方米，建筑面积为120.46平方米。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估价对象为房地产,属开发建设的，该项目尚在开发建设中。根据《国有土地使用证》[]，估价对象（分摊）出让国有建设用地使用权面积为0平方米，规划建筑面积为120.46平方米。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2022年2月23日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6"/>
      <c r="D2" s="1038" t="e">
        <f ca="1">SUMIF(INDIRECT("'"&amp;F2&amp;"'"&amp;"!A:A"),"承租人权益价值",INDIRECT("'"&amp;F2&amp;"'"&amp;"!c:c"))</f>
        <v>#REF!</v>
      </c>
      <c r="E2" s="2037" t="s">
        <v>2089</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2"/>
      <c r="M4" s="2913"/>
      <c r="N4" s="2913"/>
      <c r="O4" s="2913"/>
      <c r="P4" s="3460" t="s">
        <v>2412</v>
      </c>
      <c r="Q4" s="3461"/>
      <c r="R4" s="3466" t="s">
        <v>2408</v>
      </c>
      <c r="S4" s="3467"/>
      <c r="T4" s="3466" t="s">
        <v>2409</v>
      </c>
      <c r="U4" s="3467"/>
      <c r="V4" s="3472" t="s">
        <v>2410</v>
      </c>
      <c r="W4" s="3472"/>
      <c r="X4" s="1508"/>
      <c r="Y4" s="3466" t="s">
        <v>2412</v>
      </c>
      <c r="Z4" s="3467"/>
      <c r="AA4" s="3453" t="s">
        <v>2408</v>
      </c>
      <c r="AB4" s="3454" t="s">
        <v>2409</v>
      </c>
      <c r="AC4" s="3453" t="s">
        <v>2410</v>
      </c>
    </row>
    <row r="5" spans="1:29" ht="15">
      <c r="A5" s="364"/>
      <c r="B5" s="365"/>
      <c r="C5" s="3475" t="s">
        <v>2303</v>
      </c>
      <c r="D5" s="3476"/>
      <c r="E5" s="3482" t="s">
        <v>2304</v>
      </c>
      <c r="F5" s="3483"/>
      <c r="G5" s="3475" t="s">
        <v>2305</v>
      </c>
      <c r="H5" s="3476"/>
      <c r="I5" s="3475" t="s">
        <v>2306</v>
      </c>
      <c r="J5" s="3476"/>
      <c r="K5" s="567"/>
      <c r="L5" s="2912"/>
      <c r="M5" s="2913"/>
      <c r="N5" s="2913"/>
      <c r="O5" s="2913"/>
      <c r="P5" s="3462"/>
      <c r="Q5" s="3463"/>
      <c r="R5" s="3468"/>
      <c r="S5" s="3469"/>
      <c r="T5" s="3468"/>
      <c r="U5" s="3469"/>
      <c r="V5" s="3472"/>
      <c r="W5" s="3472"/>
      <c r="X5" s="1508"/>
      <c r="Y5" s="3468"/>
      <c r="Z5" s="3469"/>
      <c r="AA5" s="3454"/>
      <c r="AB5" s="3454"/>
      <c r="AC5" s="3454"/>
    </row>
    <row r="6" spans="1:29" ht="15.75" thickBot="1">
      <c r="A6" s="366"/>
      <c r="B6" s="367"/>
      <c r="C6" s="3473" t="s">
        <v>2307</v>
      </c>
      <c r="D6" s="3474"/>
      <c r="E6" s="3480" t="s">
        <v>2307</v>
      </c>
      <c r="F6" s="3481"/>
      <c r="G6" s="3473" t="s">
        <v>2307</v>
      </c>
      <c r="H6" s="3474"/>
      <c r="I6" s="3473" t="s">
        <v>2307</v>
      </c>
      <c r="J6" s="3474"/>
      <c r="K6" s="567" t="s">
        <v>2308</v>
      </c>
      <c r="L6" s="2912"/>
      <c r="M6" s="2913"/>
      <c r="N6" s="2913"/>
      <c r="O6" s="2913"/>
      <c r="P6" s="3464"/>
      <c r="Q6" s="3465"/>
      <c r="R6" s="3468"/>
      <c r="S6" s="3469"/>
      <c r="T6" s="3470"/>
      <c r="U6" s="3471"/>
      <c r="V6" s="3472"/>
      <c r="W6" s="3472"/>
      <c r="X6" s="1508"/>
      <c r="Y6" s="3470"/>
      <c r="Z6" s="3471"/>
      <c r="AA6" s="3455"/>
      <c r="AB6" s="3455"/>
      <c r="AC6" s="3455"/>
    </row>
    <row r="7" spans="1:29" s="113" customFormat="1" ht="15.75" thickBot="1">
      <c r="A7" s="368" t="s">
        <v>2309</v>
      </c>
      <c r="B7" s="369"/>
      <c r="C7" s="370">
        <f>'数据-取费表'!B2</f>
        <v>44615</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77" t="s">
        <v>2310</v>
      </c>
      <c r="Q7" s="3479"/>
      <c r="R7" s="710" t="s">
        <v>17</v>
      </c>
      <c r="S7" s="711">
        <f t="shared" ref="S7:S14" si="0">F7</f>
        <v>0</v>
      </c>
      <c r="T7" s="710" t="s">
        <v>17</v>
      </c>
      <c r="U7" s="711">
        <f t="shared" ref="U7:U14" si="1">H7</f>
        <v>0</v>
      </c>
      <c r="V7" s="710" t="s">
        <v>17</v>
      </c>
      <c r="W7" s="711">
        <f t="shared" ref="W7:W14" si="2">J7</f>
        <v>0</v>
      </c>
      <c r="X7" s="712"/>
      <c r="Y7" s="3477" t="s">
        <v>2310</v>
      </c>
      <c r="Z7" s="347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77" t="s">
        <v>2313</v>
      </c>
      <c r="Q8" s="3478"/>
      <c r="R8" s="710" t="s">
        <v>17</v>
      </c>
      <c r="S8" s="711">
        <f t="shared" si="0"/>
        <v>0</v>
      </c>
      <c r="T8" s="710" t="s">
        <v>17</v>
      </c>
      <c r="U8" s="711">
        <f t="shared" si="1"/>
        <v>0</v>
      </c>
      <c r="V8" s="710" t="s">
        <v>17</v>
      </c>
      <c r="W8" s="711">
        <f t="shared" si="2"/>
        <v>0</v>
      </c>
      <c r="X8" s="712"/>
      <c r="Y8" s="3477" t="s">
        <v>2313</v>
      </c>
      <c r="Z8" s="347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41" t="s">
        <v>2316</v>
      </c>
      <c r="Q9" s="1496" t="str">
        <f t="shared" ref="Q9:Q14" si="6">B9</f>
        <v>用途</v>
      </c>
      <c r="R9" s="710" t="s">
        <v>17</v>
      </c>
      <c r="S9" s="711">
        <f t="shared" si="0"/>
        <v>100</v>
      </c>
      <c r="T9" s="710" t="s">
        <v>17</v>
      </c>
      <c r="U9" s="711">
        <f t="shared" si="1"/>
        <v>100</v>
      </c>
      <c r="V9" s="710" t="s">
        <v>17</v>
      </c>
      <c r="W9" s="711">
        <f t="shared" si="2"/>
        <v>100</v>
      </c>
      <c r="X9" s="712"/>
      <c r="Y9" s="333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41"/>
      <c r="Q10" s="1496"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41"/>
      <c r="Q11" s="1496">
        <f t="shared" si="6"/>
        <v>111</v>
      </c>
      <c r="R11" s="710" t="s">
        <v>17</v>
      </c>
      <c r="S11" s="711">
        <f t="shared" si="0"/>
        <v>100</v>
      </c>
      <c r="T11" s="710" t="s">
        <v>17</v>
      </c>
      <c r="U11" s="711">
        <f t="shared" si="1"/>
        <v>100</v>
      </c>
      <c r="V11" s="710" t="s">
        <v>17</v>
      </c>
      <c r="W11" s="711">
        <f t="shared" si="2"/>
        <v>100</v>
      </c>
      <c r="X11" s="712"/>
      <c r="Y11" s="333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41"/>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41"/>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43" t="s">
        <v>2321</v>
      </c>
      <c r="Q14" s="1505" t="str">
        <f t="shared" si="6"/>
        <v>交通便捷度</v>
      </c>
      <c r="R14" s="714" t="s">
        <v>17</v>
      </c>
      <c r="S14" s="715">
        <f t="shared" si="0"/>
        <v>100</v>
      </c>
      <c r="T14" s="714" t="s">
        <v>17</v>
      </c>
      <c r="U14" s="715">
        <f t="shared" si="1"/>
        <v>100</v>
      </c>
      <c r="V14" s="714" t="s">
        <v>17</v>
      </c>
      <c r="W14" s="715">
        <f t="shared" si="2"/>
        <v>100</v>
      </c>
      <c r="X14" s="1508"/>
      <c r="Y14" s="344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44"/>
      <c r="Q15" s="1505"/>
      <c r="R15" s="714"/>
      <c r="S15" s="715"/>
      <c r="T15" s="714"/>
      <c r="U15" s="715"/>
      <c r="V15" s="714"/>
      <c r="W15" s="715"/>
      <c r="X15" s="1508"/>
      <c r="Y15" s="3444"/>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44"/>
      <c r="Q16" s="1505" t="str">
        <f>B16</f>
        <v>公共配套设施</v>
      </c>
      <c r="R16" s="714" t="s">
        <v>17</v>
      </c>
      <c r="S16" s="715">
        <f>F16</f>
        <v>100</v>
      </c>
      <c r="T16" s="714" t="s">
        <v>17</v>
      </c>
      <c r="U16" s="715">
        <f>H16</f>
        <v>100</v>
      </c>
      <c r="V16" s="714" t="s">
        <v>17</v>
      </c>
      <c r="W16" s="715">
        <f>J16</f>
        <v>100</v>
      </c>
      <c r="X16" s="1508"/>
      <c r="Y16" s="344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44"/>
      <c r="Q17" s="1505"/>
      <c r="R17" s="714"/>
      <c r="S17" s="715"/>
      <c r="T17" s="714"/>
      <c r="U17" s="715"/>
      <c r="V17" s="714"/>
      <c r="W17" s="715"/>
      <c r="X17" s="1508"/>
      <c r="Y17" s="3444"/>
      <c r="Z17" s="1509"/>
      <c r="AA17" s="1506">
        <v>1</v>
      </c>
      <c r="AB17" s="1506">
        <v>1</v>
      </c>
      <c r="AC17" s="1506">
        <v>1</v>
      </c>
    </row>
    <row r="18" spans="1:29" ht="28.5">
      <c r="A18" s="387"/>
      <c r="B18" s="1264"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44"/>
      <c r="Q18" s="1505" t="str">
        <f>B18</f>
        <v>基础设施水平</v>
      </c>
      <c r="R18" s="714" t="s">
        <v>17</v>
      </c>
      <c r="S18" s="715">
        <f>F18</f>
        <v>100</v>
      </c>
      <c r="T18" s="714" t="s">
        <v>17</v>
      </c>
      <c r="U18" s="715">
        <f>H18</f>
        <v>100</v>
      </c>
      <c r="V18" s="714" t="s">
        <v>17</v>
      </c>
      <c r="W18" s="715">
        <f>J18</f>
        <v>100</v>
      </c>
      <c r="X18" s="1508"/>
      <c r="Y18" s="3444"/>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9"/>
      <c r="M19" s="2913"/>
      <c r="N19" s="2913"/>
      <c r="O19" s="2971"/>
      <c r="P19" s="3444"/>
      <c r="Q19" s="1505"/>
      <c r="R19" s="714"/>
      <c r="S19" s="715"/>
      <c r="T19" s="714"/>
      <c r="U19" s="715"/>
      <c r="V19" s="714"/>
      <c r="W19" s="715"/>
      <c r="X19" s="1508"/>
      <c r="Y19" s="3444"/>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44"/>
      <c r="Q20" s="1505" t="str">
        <f>B20</f>
        <v>自然及人文环境</v>
      </c>
      <c r="R20" s="714" t="s">
        <v>17</v>
      </c>
      <c r="S20" s="715">
        <f>F20</f>
        <v>100</v>
      </c>
      <c r="T20" s="714" t="s">
        <v>17</v>
      </c>
      <c r="U20" s="715">
        <f>H20</f>
        <v>100</v>
      </c>
      <c r="V20" s="714" t="s">
        <v>17</v>
      </c>
      <c r="W20" s="715">
        <f>J20</f>
        <v>100</v>
      </c>
      <c r="X20" s="1508"/>
      <c r="Y20" s="344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44"/>
      <c r="Q21" s="1505"/>
      <c r="R21" s="714"/>
      <c r="S21" s="715"/>
      <c r="T21" s="714"/>
      <c r="U21" s="715"/>
      <c r="V21" s="714"/>
      <c r="W21" s="715"/>
      <c r="X21" s="1508"/>
      <c r="Y21" s="344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44"/>
      <c r="Q22" s="1505" t="str">
        <f>B22</f>
        <v>楼层</v>
      </c>
      <c r="R22" s="714" t="s">
        <v>17</v>
      </c>
      <c r="S22" s="715">
        <f>F22</f>
        <v>100</v>
      </c>
      <c r="T22" s="714" t="s">
        <v>17</v>
      </c>
      <c r="U22" s="715">
        <f>H22</f>
        <v>100</v>
      </c>
      <c r="V22" s="714" t="s">
        <v>17</v>
      </c>
      <c r="W22" s="715">
        <f>J22</f>
        <v>100</v>
      </c>
      <c r="X22" s="1508"/>
      <c r="Y22" s="344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44"/>
      <c r="Q23" s="1505">
        <f>B23</f>
        <v>111</v>
      </c>
      <c r="R23" s="714" t="s">
        <v>17</v>
      </c>
      <c r="S23" s="715">
        <f>F23</f>
        <v>100</v>
      </c>
      <c r="T23" s="714" t="s">
        <v>17</v>
      </c>
      <c r="U23" s="715">
        <f>H23</f>
        <v>100</v>
      </c>
      <c r="V23" s="714" t="s">
        <v>17</v>
      </c>
      <c r="W23" s="715">
        <f>J23</f>
        <v>100</v>
      </c>
      <c r="X23" s="1508"/>
      <c r="Y23" s="344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44"/>
      <c r="Q24" s="1505">
        <f t="shared" ref="Q24:Q34" si="11">B24</f>
        <v>111</v>
      </c>
      <c r="R24" s="714" t="s">
        <v>17</v>
      </c>
      <c r="S24" s="715">
        <f>F24</f>
        <v>100</v>
      </c>
      <c r="T24" s="714" t="s">
        <v>17</v>
      </c>
      <c r="U24" s="715">
        <f>H24</f>
        <v>100</v>
      </c>
      <c r="V24" s="714" t="s">
        <v>17</v>
      </c>
      <c r="W24" s="715">
        <f>J24</f>
        <v>100</v>
      </c>
      <c r="X24" s="1508"/>
      <c r="Y24" s="3444"/>
      <c r="Z24" s="1509">
        <f>Q24</f>
        <v>111</v>
      </c>
      <c r="AA24" s="1506">
        <f t="shared" si="3"/>
        <v>1</v>
      </c>
      <c r="AB24" s="1506">
        <f t="shared" si="4"/>
        <v>1</v>
      </c>
      <c r="AC24" s="1506">
        <f t="shared" si="5"/>
        <v>1</v>
      </c>
    </row>
    <row r="25" spans="1:29" s="113" customFormat="1" ht="15.75" thickBot="1">
      <c r="A25" s="390"/>
      <c r="B25" s="2048">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44"/>
      <c r="Q25" s="1496">
        <f t="shared" si="11"/>
        <v>111</v>
      </c>
      <c r="R25" s="710" t="s">
        <v>17</v>
      </c>
      <c r="S25" s="711">
        <f>F25</f>
        <v>100</v>
      </c>
      <c r="T25" s="710" t="s">
        <v>17</v>
      </c>
      <c r="U25" s="711">
        <f>H25</f>
        <v>100</v>
      </c>
      <c r="V25" s="710" t="s">
        <v>17</v>
      </c>
      <c r="W25" s="711">
        <f>J25</f>
        <v>100</v>
      </c>
      <c r="X25" s="712"/>
      <c r="Y25" s="3444"/>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25"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48"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48"/>
      <c r="Q27" s="716" t="str">
        <f t="shared" si="11"/>
        <v>成新率</v>
      </c>
      <c r="R27" s="717" t="s">
        <v>17</v>
      </c>
      <c r="S27" s="718" t="e">
        <f t="shared" si="12"/>
        <v>#N/A</v>
      </c>
      <c r="T27" s="717" t="s">
        <v>17</v>
      </c>
      <c r="U27" s="718" t="e">
        <f t="shared" si="13"/>
        <v>#N/A</v>
      </c>
      <c r="V27" s="717" t="s">
        <v>17</v>
      </c>
      <c r="W27" s="718" t="e">
        <f t="shared" si="14"/>
        <v>#N/A</v>
      </c>
      <c r="X27" s="719"/>
      <c r="Y27" s="3448"/>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48"/>
      <c r="Q28" s="1505" t="str">
        <f t="shared" si="11"/>
        <v>物业等级</v>
      </c>
      <c r="R28" s="714" t="s">
        <v>17</v>
      </c>
      <c r="S28" s="715">
        <f t="shared" si="12"/>
        <v>100</v>
      </c>
      <c r="T28" s="714" t="s">
        <v>17</v>
      </c>
      <c r="U28" s="715">
        <f t="shared" si="13"/>
        <v>100</v>
      </c>
      <c r="V28" s="714" t="s">
        <v>17</v>
      </c>
      <c r="W28" s="715">
        <f t="shared" si="14"/>
        <v>100</v>
      </c>
      <c r="X28" s="1508"/>
      <c r="Y28" s="3448"/>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48"/>
      <c r="Q29" s="1505" t="str">
        <f t="shared" si="11"/>
        <v>有无电梯</v>
      </c>
      <c r="R29" s="714" t="s">
        <v>17</v>
      </c>
      <c r="S29" s="715">
        <f t="shared" si="12"/>
        <v>100</v>
      </c>
      <c r="T29" s="714" t="s">
        <v>17</v>
      </c>
      <c r="U29" s="715">
        <f t="shared" si="13"/>
        <v>100</v>
      </c>
      <c r="V29" s="714" t="s">
        <v>17</v>
      </c>
      <c r="W29" s="715">
        <f t="shared" si="14"/>
        <v>100</v>
      </c>
      <c r="X29" s="1508"/>
      <c r="Y29" s="3448"/>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48"/>
      <c r="Q30" s="1505" t="str">
        <f t="shared" si="11"/>
        <v>建筑面积</v>
      </c>
      <c r="R30" s="714" t="s">
        <v>17</v>
      </c>
      <c r="S30" s="715" t="e">
        <f t="shared" si="12"/>
        <v>#N/A</v>
      </c>
      <c r="T30" s="714" t="s">
        <v>17</v>
      </c>
      <c r="U30" s="715" t="e">
        <f t="shared" si="13"/>
        <v>#N/A</v>
      </c>
      <c r="V30" s="714" t="s">
        <v>17</v>
      </c>
      <c r="W30" s="715" t="e">
        <f t="shared" si="14"/>
        <v>#N/A</v>
      </c>
      <c r="X30" s="1508"/>
      <c r="Y30" s="3448"/>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48"/>
      <c r="Q31" s="1496" t="str">
        <f t="shared" si="11"/>
        <v>是否封闭</v>
      </c>
      <c r="R31" s="710" t="s">
        <v>17</v>
      </c>
      <c r="S31" s="711">
        <f t="shared" si="12"/>
        <v>100</v>
      </c>
      <c r="T31" s="710" t="s">
        <v>17</v>
      </c>
      <c r="U31" s="711">
        <f t="shared" si="13"/>
        <v>100</v>
      </c>
      <c r="V31" s="710" t="s">
        <v>17</v>
      </c>
      <c r="W31" s="711">
        <f t="shared" si="14"/>
        <v>100</v>
      </c>
      <c r="X31" s="712"/>
      <c r="Y31" s="344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48" t="s">
        <v>2326</v>
      </c>
      <c r="Q32" s="1505">
        <f t="shared" si="11"/>
        <v>111</v>
      </c>
      <c r="R32" s="714" t="s">
        <v>17</v>
      </c>
      <c r="S32" s="715">
        <f t="shared" si="12"/>
        <v>100</v>
      </c>
      <c r="T32" s="714" t="s">
        <v>17</v>
      </c>
      <c r="U32" s="715">
        <f t="shared" si="13"/>
        <v>100</v>
      </c>
      <c r="V32" s="714" t="s">
        <v>17</v>
      </c>
      <c r="W32" s="715">
        <f t="shared" si="14"/>
        <v>100</v>
      </c>
      <c r="X32" s="1508"/>
      <c r="Y32" s="3448"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48"/>
      <c r="Q33" s="1505">
        <f t="shared" si="11"/>
        <v>111</v>
      </c>
      <c r="R33" s="714" t="s">
        <v>17</v>
      </c>
      <c r="S33" s="715">
        <f t="shared" si="12"/>
        <v>100</v>
      </c>
      <c r="T33" s="714" t="s">
        <v>17</v>
      </c>
      <c r="U33" s="715">
        <f t="shared" si="13"/>
        <v>100</v>
      </c>
      <c r="V33" s="714" t="s">
        <v>17</v>
      </c>
      <c r="W33" s="715">
        <f t="shared" si="14"/>
        <v>100</v>
      </c>
      <c r="X33" s="1508"/>
      <c r="Y33" s="3448"/>
      <c r="Z33" s="1509">
        <f t="shared" si="15"/>
        <v>111</v>
      </c>
      <c r="AA33" s="1506">
        <f t="shared" si="3"/>
        <v>1</v>
      </c>
      <c r="AB33" s="1506">
        <f t="shared" si="4"/>
        <v>1</v>
      </c>
      <c r="AC33" s="1506">
        <f t="shared" si="5"/>
        <v>1</v>
      </c>
    </row>
    <row r="34" spans="1:30" ht="15.75" thickBot="1">
      <c r="A34" s="437"/>
      <c r="B34" s="2050">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48"/>
      <c r="Q34" s="1505">
        <f t="shared" si="11"/>
        <v>111</v>
      </c>
      <c r="R34" s="714" t="s">
        <v>17</v>
      </c>
      <c r="S34" s="715">
        <f t="shared" si="12"/>
        <v>100</v>
      </c>
      <c r="T34" s="714" t="s">
        <v>17</v>
      </c>
      <c r="U34" s="715">
        <f t="shared" si="13"/>
        <v>100</v>
      </c>
      <c r="V34" s="714" t="s">
        <v>17</v>
      </c>
      <c r="W34" s="715">
        <f t="shared" si="14"/>
        <v>100</v>
      </c>
      <c r="X34" s="1508"/>
      <c r="Y34" s="3448"/>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41" t="str">
        <f>A35</f>
        <v>成交单价（元/平方米）</v>
      </c>
      <c r="Q35" s="3441"/>
      <c r="R35" s="3442">
        <f>E35</f>
        <v>0</v>
      </c>
      <c r="S35" s="3442"/>
      <c r="T35" s="3442">
        <f>G35</f>
        <v>0</v>
      </c>
      <c r="U35" s="3442"/>
      <c r="V35" s="3442">
        <f>I35</f>
        <v>0</v>
      </c>
      <c r="W35" s="3442"/>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38" t="str">
        <f>A37</f>
        <v>估价对象XX用房的比较价值（楼面单价，元/平方米）</v>
      </c>
      <c r="Q37" s="3439"/>
      <c r="R37" s="3526" t="e">
        <f>IF(F1="售价",ROUND(IF(D36="简单平均",AVERAGE(R36:W36),R36*F36+T36*H36+V36*J36),0),ROUND(IF(D36="简单平均",AVERAGE(R36:V36),R36*F36+T36*H36+V36*J36),1))</f>
        <v>#DIV/0!</v>
      </c>
      <c r="S37" s="3526"/>
      <c r="T37" s="3526"/>
      <c r="U37" s="3526"/>
      <c r="V37" s="3526"/>
      <c r="W37" s="352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0" zoomScaleNormal="60" zoomScaleSheetLayoutView="80" workbookViewId="0">
      <selection activeCell="M28" sqref="M2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45</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3736</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56" t="s">
        <v>2407</v>
      </c>
      <c r="D4" s="3457"/>
      <c r="E4" s="3458" t="s">
        <v>2408</v>
      </c>
      <c r="F4" s="3459"/>
      <c r="G4" s="3456" t="s">
        <v>2409</v>
      </c>
      <c r="H4" s="3457"/>
      <c r="I4" s="3456" t="s">
        <v>2410</v>
      </c>
      <c r="J4" s="3457"/>
      <c r="K4" s="567" t="s">
        <v>2411</v>
      </c>
      <c r="L4" s="2912"/>
      <c r="M4" s="2913"/>
      <c r="N4" s="2913"/>
      <c r="O4" s="2913"/>
      <c r="P4" s="3460" t="s">
        <v>2412</v>
      </c>
      <c r="Q4" s="3461"/>
      <c r="R4" s="3466" t="s">
        <v>2408</v>
      </c>
      <c r="S4" s="3467"/>
      <c r="T4" s="3466" t="s">
        <v>2409</v>
      </c>
      <c r="U4" s="3467"/>
      <c r="V4" s="3472" t="s">
        <v>2410</v>
      </c>
      <c r="W4" s="3472"/>
      <c r="X4" s="1508"/>
      <c r="Y4" s="3466" t="s">
        <v>2412</v>
      </c>
      <c r="Z4" s="3467"/>
      <c r="AA4" s="3453" t="s">
        <v>2408</v>
      </c>
      <c r="AB4" s="3454" t="s">
        <v>2409</v>
      </c>
      <c r="AC4" s="3453" t="s">
        <v>2410</v>
      </c>
    </row>
    <row r="5" spans="1:30" ht="15">
      <c r="A5" s="364"/>
      <c r="B5" s="365"/>
      <c r="C5" s="3475" t="s">
        <v>2303</v>
      </c>
      <c r="D5" s="3476"/>
      <c r="E5" s="3482" t="s">
        <v>2304</v>
      </c>
      <c r="F5" s="3483"/>
      <c r="G5" s="3475" t="s">
        <v>2305</v>
      </c>
      <c r="H5" s="3476"/>
      <c r="I5" s="3475" t="s">
        <v>2306</v>
      </c>
      <c r="J5" s="3476"/>
      <c r="K5" s="567"/>
      <c r="L5" s="2912"/>
      <c r="M5" s="2913"/>
      <c r="N5" s="2913"/>
      <c r="O5" s="2913"/>
      <c r="P5" s="3462"/>
      <c r="Q5" s="3463"/>
      <c r="R5" s="3468"/>
      <c r="S5" s="3469"/>
      <c r="T5" s="3468"/>
      <c r="U5" s="3469"/>
      <c r="V5" s="3472"/>
      <c r="W5" s="3472"/>
      <c r="X5" s="1508"/>
      <c r="Y5" s="3468"/>
      <c r="Z5" s="3469"/>
      <c r="AA5" s="3454"/>
      <c r="AB5" s="3454"/>
      <c r="AC5" s="3454"/>
    </row>
    <row r="6" spans="1:30" ht="15.75" thickBot="1">
      <c r="A6" s="366"/>
      <c r="B6" s="367"/>
      <c r="C6" s="3473" t="s">
        <v>2307</v>
      </c>
      <c r="D6" s="3474"/>
      <c r="E6" s="3480" t="s">
        <v>2307</v>
      </c>
      <c r="F6" s="3481"/>
      <c r="G6" s="3473" t="s">
        <v>2307</v>
      </c>
      <c r="H6" s="3474"/>
      <c r="I6" s="3473" t="s">
        <v>2307</v>
      </c>
      <c r="J6" s="3474"/>
      <c r="K6" s="567" t="s">
        <v>2308</v>
      </c>
      <c r="L6" s="2912"/>
      <c r="M6" s="2913"/>
      <c r="N6" s="2913"/>
      <c r="O6" s="2913"/>
      <c r="P6" s="3464"/>
      <c r="Q6" s="3465"/>
      <c r="R6" s="3468"/>
      <c r="S6" s="3469"/>
      <c r="T6" s="3470"/>
      <c r="U6" s="3471"/>
      <c r="V6" s="3472"/>
      <c r="W6" s="3472"/>
      <c r="X6" s="1508"/>
      <c r="Y6" s="3470"/>
      <c r="Z6" s="3471"/>
      <c r="AA6" s="3455"/>
      <c r="AB6" s="3455"/>
      <c r="AC6" s="3455"/>
    </row>
    <row r="7" spans="1:30" s="113" customFormat="1" ht="15.75" thickBot="1">
      <c r="A7" s="368" t="s">
        <v>2309</v>
      </c>
      <c r="B7" s="369"/>
      <c r="C7" s="370">
        <f>'数据-取费表'!B2</f>
        <v>44615</v>
      </c>
      <c r="D7" s="371">
        <v>100</v>
      </c>
      <c r="E7" s="372">
        <f>C7</f>
        <v>44615</v>
      </c>
      <c r="F7" s="373">
        <f>SUMIF(70:70,YEAR(E7)&amp;"-"&amp;INT((MONTH(E7)+2)/3),71:71)</f>
        <v>100</v>
      </c>
      <c r="G7" s="2128">
        <f>C7</f>
        <v>44615</v>
      </c>
      <c r="H7" s="371">
        <f>SUMIF(70:70,YEAR(G7)&amp;"-"&amp;INT((MONTH(G7)+2)/3),71:71)</f>
        <v>100</v>
      </c>
      <c r="I7" s="2128">
        <f>C7</f>
        <v>44615</v>
      </c>
      <c r="J7" s="371">
        <f>SUMIF(70:70,YEAR(I7)&amp;"-"&amp;INT((MONTH(I7)+2)/3),71:71)</f>
        <v>100</v>
      </c>
      <c r="K7" s="568"/>
      <c r="L7" s="2914"/>
      <c r="M7" s="2915"/>
      <c r="N7" s="2915"/>
      <c r="O7" s="2915"/>
      <c r="P7" s="3477" t="s">
        <v>2310</v>
      </c>
      <c r="Q7" s="3479"/>
      <c r="R7" s="710" t="s">
        <v>17</v>
      </c>
      <c r="S7" s="711">
        <f t="shared" ref="S7:S15" si="0">F7</f>
        <v>100</v>
      </c>
      <c r="T7" s="710" t="s">
        <v>17</v>
      </c>
      <c r="U7" s="711">
        <f t="shared" ref="U7:U15" si="1">H7</f>
        <v>100</v>
      </c>
      <c r="V7" s="710" t="s">
        <v>17</v>
      </c>
      <c r="W7" s="711">
        <f t="shared" ref="W7:W15" si="2">J7</f>
        <v>100</v>
      </c>
      <c r="X7" s="712"/>
      <c r="Y7" s="3477" t="s">
        <v>2310</v>
      </c>
      <c r="Z7" s="3478"/>
      <c r="AA7" s="713">
        <f>D7/F7</f>
        <v>1</v>
      </c>
      <c r="AB7" s="713">
        <f>D7/H7</f>
        <v>1</v>
      </c>
      <c r="AC7" s="713">
        <f>D7/J7</f>
        <v>1</v>
      </c>
    </row>
    <row r="8" spans="1:30" s="113" customFormat="1" ht="15.75" thickBot="1">
      <c r="A8" s="368" t="s">
        <v>2311</v>
      </c>
      <c r="B8" s="369"/>
      <c r="C8" s="374" t="s">
        <v>2312</v>
      </c>
      <c r="D8" s="371">
        <v>100</v>
      </c>
      <c r="E8" s="374" t="s">
        <v>3127</v>
      </c>
      <c r="F8" s="373">
        <f>SUMIF(73:73,E8,74:74)-SUMIF(73:73,C8,74:74)+100</f>
        <v>100</v>
      </c>
      <c r="G8" s="374" t="s">
        <v>3127</v>
      </c>
      <c r="H8" s="371">
        <f>SUMIF(73:73,G8,74:74)-SUMIF(73:73,C8,74:74)+100</f>
        <v>100</v>
      </c>
      <c r="I8" s="374" t="s">
        <v>3127</v>
      </c>
      <c r="J8" s="371">
        <f>SUMIF(73:73,I8,74:74)-SUMIF(73:73,C8,74:74)+100</f>
        <v>100</v>
      </c>
      <c r="K8" s="568"/>
      <c r="L8" s="2914"/>
      <c r="M8" s="2915"/>
      <c r="N8" s="2915"/>
      <c r="O8" s="2915"/>
      <c r="P8" s="3477" t="s">
        <v>2313</v>
      </c>
      <c r="Q8" s="3478"/>
      <c r="R8" s="710" t="s">
        <v>17</v>
      </c>
      <c r="S8" s="711">
        <f t="shared" si="0"/>
        <v>100</v>
      </c>
      <c r="T8" s="710" t="s">
        <v>17</v>
      </c>
      <c r="U8" s="711">
        <f t="shared" si="1"/>
        <v>100</v>
      </c>
      <c r="V8" s="710" t="s">
        <v>17</v>
      </c>
      <c r="W8" s="711">
        <f t="shared" si="2"/>
        <v>100</v>
      </c>
      <c r="X8" s="712"/>
      <c r="Y8" s="3477" t="s">
        <v>2313</v>
      </c>
      <c r="Z8" s="3478"/>
      <c r="AA8" s="713">
        <f t="shared" ref="AA8:AA45" si="3">D8/F8</f>
        <v>1</v>
      </c>
      <c r="AB8" s="713">
        <f t="shared" ref="AB8:AB45" si="4">D8/H8</f>
        <v>1</v>
      </c>
      <c r="AC8" s="713">
        <f t="shared" ref="AC8:AC45" si="5">D8/J8</f>
        <v>1</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41"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101</v>
      </c>
      <c r="G10" s="422"/>
      <c r="H10" s="132">
        <f>ROUND(100/'数据-取费表'!G16,0)</f>
        <v>101</v>
      </c>
      <c r="I10" s="422"/>
      <c r="J10" s="132">
        <f>ROUND(100/'数据-取费表'!G16,0)</f>
        <v>101</v>
      </c>
      <c r="K10" s="628"/>
      <c r="L10" s="2916"/>
      <c r="M10" s="2917"/>
      <c r="N10" s="2917"/>
      <c r="O10" s="2970"/>
      <c r="P10" s="3441"/>
      <c r="Q10" s="1496" t="str">
        <f t="shared" si="6"/>
        <v>土地使用年限（年）</v>
      </c>
      <c r="R10" s="710" t="s">
        <v>17</v>
      </c>
      <c r="S10" s="711">
        <f t="shared" si="0"/>
        <v>101</v>
      </c>
      <c r="T10" s="710" t="s">
        <v>17</v>
      </c>
      <c r="U10" s="711">
        <f t="shared" si="1"/>
        <v>101</v>
      </c>
      <c r="V10" s="710" t="s">
        <v>17</v>
      </c>
      <c r="W10" s="711">
        <f t="shared" si="2"/>
        <v>101</v>
      </c>
      <c r="X10" s="712"/>
      <c r="Y10" s="3339"/>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18"/>
      <c r="M11" s="2913"/>
      <c r="N11" s="2913"/>
      <c r="O11" s="2971"/>
      <c r="P11" s="3441"/>
      <c r="Q11" s="1496" t="str">
        <f t="shared" si="6"/>
        <v>容积率</v>
      </c>
      <c r="R11" s="710" t="s">
        <v>17</v>
      </c>
      <c r="S11" s="711">
        <f t="shared" si="0"/>
        <v>100</v>
      </c>
      <c r="T11" s="710" t="s">
        <v>17</v>
      </c>
      <c r="U11" s="711">
        <f t="shared" si="1"/>
        <v>100</v>
      </c>
      <c r="V11" s="710" t="s">
        <v>17</v>
      </c>
      <c r="W11" s="711">
        <f t="shared" si="2"/>
        <v>100</v>
      </c>
      <c r="X11" s="712"/>
      <c r="Y11" s="3339"/>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41"/>
      <c r="Q12" s="1496" t="str">
        <f t="shared" si="6"/>
        <v>配建</v>
      </c>
      <c r="R12" s="710" t="s">
        <v>17</v>
      </c>
      <c r="S12" s="711">
        <f t="shared" si="0"/>
        <v>100</v>
      </c>
      <c r="T12" s="710" t="s">
        <v>17</v>
      </c>
      <c r="U12" s="711">
        <f t="shared" si="1"/>
        <v>100</v>
      </c>
      <c r="V12" s="710" t="s">
        <v>17</v>
      </c>
      <c r="W12" s="711">
        <f t="shared" si="2"/>
        <v>100</v>
      </c>
      <c r="X12" s="712"/>
      <c r="Y12" s="3339"/>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41"/>
      <c r="Q13" s="1496">
        <f t="shared" si="6"/>
        <v>111</v>
      </c>
      <c r="R13" s="710" t="s">
        <v>17</v>
      </c>
      <c r="S13" s="711">
        <f t="shared" si="0"/>
        <v>100</v>
      </c>
      <c r="T13" s="710" t="s">
        <v>17</v>
      </c>
      <c r="U13" s="711">
        <f t="shared" si="1"/>
        <v>100</v>
      </c>
      <c r="V13" s="710" t="s">
        <v>17</v>
      </c>
      <c r="W13" s="711">
        <f t="shared" si="2"/>
        <v>100</v>
      </c>
      <c r="X13" s="712"/>
      <c r="Y13" s="333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41"/>
      <c r="Q14" s="1496">
        <f t="shared" si="6"/>
        <v>111</v>
      </c>
      <c r="R14" s="710" t="s">
        <v>17</v>
      </c>
      <c r="S14" s="711">
        <f t="shared" si="0"/>
        <v>100</v>
      </c>
      <c r="T14" s="710" t="s">
        <v>17</v>
      </c>
      <c r="U14" s="711">
        <f t="shared" si="1"/>
        <v>100</v>
      </c>
      <c r="V14" s="710" t="s">
        <v>17</v>
      </c>
      <c r="W14" s="711">
        <f t="shared" si="2"/>
        <v>100</v>
      </c>
      <c r="X14" s="712"/>
      <c r="Y14" s="3339"/>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43" t="s">
        <v>2321</v>
      </c>
      <c r="Q15" s="1505" t="str">
        <f t="shared" si="6"/>
        <v>居住社区成熟度</v>
      </c>
      <c r="R15" s="714" t="s">
        <v>17</v>
      </c>
      <c r="S15" s="715">
        <f t="shared" si="0"/>
        <v>100</v>
      </c>
      <c r="T15" s="714" t="s">
        <v>17</v>
      </c>
      <c r="U15" s="715">
        <f t="shared" si="1"/>
        <v>100</v>
      </c>
      <c r="V15" s="714" t="s">
        <v>17</v>
      </c>
      <c r="W15" s="715">
        <f t="shared" si="2"/>
        <v>100</v>
      </c>
      <c r="X15" s="1508"/>
      <c r="Y15" s="3443"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44"/>
      <c r="Q16" s="1505"/>
      <c r="R16" s="714"/>
      <c r="S16" s="715"/>
      <c r="T16" s="714"/>
      <c r="U16" s="715"/>
      <c r="V16" s="714"/>
      <c r="W16" s="715"/>
      <c r="X16" s="1508"/>
      <c r="Y16" s="3444"/>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44"/>
      <c r="Q17" s="1505" t="str">
        <f>B17</f>
        <v>商业繁华度</v>
      </c>
      <c r="R17" s="714" t="s">
        <v>17</v>
      </c>
      <c r="S17" s="715">
        <f>F17</f>
        <v>100</v>
      </c>
      <c r="T17" s="714" t="s">
        <v>17</v>
      </c>
      <c r="U17" s="715">
        <f>H17</f>
        <v>100</v>
      </c>
      <c r="V17" s="714" t="s">
        <v>17</v>
      </c>
      <c r="W17" s="715">
        <f>J17</f>
        <v>100</v>
      </c>
      <c r="X17" s="1508"/>
      <c r="Y17" s="3444"/>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44"/>
      <c r="Q18" s="1505"/>
      <c r="R18" s="714"/>
      <c r="S18" s="715"/>
      <c r="T18" s="714"/>
      <c r="U18" s="715"/>
      <c r="V18" s="714"/>
      <c r="W18" s="715"/>
      <c r="X18" s="1508"/>
      <c r="Y18" s="3444"/>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44"/>
      <c r="Q19" s="1505" t="str">
        <f>B19</f>
        <v>办公集聚程度</v>
      </c>
      <c r="R19" s="714" t="s">
        <v>17</v>
      </c>
      <c r="S19" s="715">
        <f>F19</f>
        <v>100</v>
      </c>
      <c r="T19" s="714" t="s">
        <v>17</v>
      </c>
      <c r="U19" s="715">
        <f>H19</f>
        <v>100</v>
      </c>
      <c r="V19" s="714" t="s">
        <v>17</v>
      </c>
      <c r="W19" s="715">
        <f>J19</f>
        <v>100</v>
      </c>
      <c r="X19" s="1508"/>
      <c r="Y19" s="344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44"/>
      <c r="Q20" s="1505"/>
      <c r="R20" s="714"/>
      <c r="S20" s="715"/>
      <c r="T20" s="714"/>
      <c r="U20" s="715"/>
      <c r="V20" s="714"/>
      <c r="W20" s="715"/>
      <c r="X20" s="1508"/>
      <c r="Y20" s="3444"/>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44"/>
      <c r="Q21" s="1505" t="str">
        <f>B21</f>
        <v>交通便捷度</v>
      </c>
      <c r="R21" s="714" t="s">
        <v>17</v>
      </c>
      <c r="S21" s="715">
        <f>F21</f>
        <v>100</v>
      </c>
      <c r="T21" s="714" t="s">
        <v>17</v>
      </c>
      <c r="U21" s="715">
        <f>H21</f>
        <v>100</v>
      </c>
      <c r="V21" s="714" t="s">
        <v>17</v>
      </c>
      <c r="W21" s="715">
        <f>J21</f>
        <v>100</v>
      </c>
      <c r="X21" s="1508"/>
      <c r="Y21" s="3444"/>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9"/>
      <c r="M22" s="2913"/>
      <c r="N22" s="2913"/>
      <c r="O22" s="2971"/>
      <c r="P22" s="3444"/>
      <c r="Q22" s="1505"/>
      <c r="R22" s="714"/>
      <c r="S22" s="715"/>
      <c r="T22" s="714"/>
      <c r="U22" s="715"/>
      <c r="V22" s="714"/>
      <c r="W22" s="715"/>
      <c r="X22" s="1508"/>
      <c r="Y22" s="3444"/>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44"/>
      <c r="Q23" s="1505" t="str">
        <f t="shared" ref="Q23:Q37" si="8">B23</f>
        <v>区域土地利用方向</v>
      </c>
      <c r="R23" s="714" t="s">
        <v>17</v>
      </c>
      <c r="S23" s="715">
        <f>F23</f>
        <v>100</v>
      </c>
      <c r="T23" s="714" t="s">
        <v>17</v>
      </c>
      <c r="U23" s="715">
        <f>H23</f>
        <v>100</v>
      </c>
      <c r="V23" s="714" t="s">
        <v>17</v>
      </c>
      <c r="W23" s="715">
        <f>J23</f>
        <v>100</v>
      </c>
      <c r="X23" s="1508"/>
      <c r="Y23" s="3444"/>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44"/>
      <c r="Q24" s="1505"/>
      <c r="R24" s="714"/>
      <c r="S24" s="715"/>
      <c r="T24" s="714"/>
      <c r="U24" s="715"/>
      <c r="V24" s="714"/>
      <c r="W24" s="715"/>
      <c r="X24" s="1508"/>
      <c r="Y24" s="3444"/>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44"/>
      <c r="Q25" s="1505" t="str">
        <f t="shared" si="8"/>
        <v>自然及人文环境状况</v>
      </c>
      <c r="R25" s="714" t="s">
        <v>17</v>
      </c>
      <c r="S25" s="715">
        <f>F25</f>
        <v>100</v>
      </c>
      <c r="T25" s="714" t="s">
        <v>17</v>
      </c>
      <c r="U25" s="715">
        <f>H25</f>
        <v>100</v>
      </c>
      <c r="V25" s="714" t="s">
        <v>17</v>
      </c>
      <c r="W25" s="715">
        <f>J25</f>
        <v>100</v>
      </c>
      <c r="X25" s="1508"/>
      <c r="Y25" s="3444"/>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44"/>
      <c r="Q26" s="1505"/>
      <c r="R26" s="714"/>
      <c r="S26" s="715"/>
      <c r="T26" s="714"/>
      <c r="U26" s="715"/>
      <c r="V26" s="714"/>
      <c r="W26" s="715"/>
      <c r="X26" s="1508"/>
      <c r="Y26" s="3444"/>
      <c r="Z26" s="1509"/>
      <c r="AA26" s="1506">
        <v>1</v>
      </c>
      <c r="AB26" s="1506">
        <v>1</v>
      </c>
      <c r="AC26" s="1506">
        <v>1</v>
      </c>
    </row>
    <row r="27" spans="1:29" s="113" customFormat="1" ht="42.75">
      <c r="A27" s="605"/>
      <c r="B27" s="1264"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44"/>
      <c r="Q27" s="1496" t="str">
        <f t="shared" si="8"/>
        <v>公共配套设施</v>
      </c>
      <c r="R27" s="710" t="s">
        <v>17</v>
      </c>
      <c r="S27" s="711">
        <f>F27</f>
        <v>100</v>
      </c>
      <c r="T27" s="710" t="s">
        <v>17</v>
      </c>
      <c r="U27" s="711">
        <f>H27</f>
        <v>100</v>
      </c>
      <c r="V27" s="710" t="s">
        <v>17</v>
      </c>
      <c r="W27" s="711">
        <f>J27</f>
        <v>100</v>
      </c>
      <c r="X27" s="712"/>
      <c r="Y27" s="3444"/>
      <c r="Z27" s="55" t="str">
        <f>Q27</f>
        <v>公共配套设施</v>
      </c>
      <c r="AA27" s="1506">
        <f>D27/F27</f>
        <v>1</v>
      </c>
      <c r="AB27" s="1506">
        <f>D27/H27</f>
        <v>1</v>
      </c>
      <c r="AC27" s="1506">
        <f>D27/J27</f>
        <v>1</v>
      </c>
    </row>
    <row r="28" spans="1:29" s="113" customFormat="1" ht="15">
      <c r="A28" s="605"/>
      <c r="B28" s="415"/>
      <c r="C28" s="2132"/>
      <c r="D28" s="407"/>
      <c r="E28" s="2059"/>
      <c r="F28" s="407"/>
      <c r="G28" s="2059"/>
      <c r="H28" s="407"/>
      <c r="I28" s="406"/>
      <c r="J28" s="407"/>
      <c r="K28" s="628"/>
      <c r="L28" s="2914"/>
      <c r="M28" s="2915"/>
      <c r="N28" s="2915"/>
      <c r="O28" s="2969"/>
      <c r="P28" s="3444"/>
      <c r="Q28" s="1496"/>
      <c r="R28" s="710"/>
      <c r="S28" s="711"/>
      <c r="T28" s="710"/>
      <c r="U28" s="711"/>
      <c r="V28" s="710"/>
      <c r="W28" s="711"/>
      <c r="X28" s="712"/>
      <c r="Y28" s="3444"/>
      <c r="Z28" s="55"/>
      <c r="AA28" s="1506">
        <v>1</v>
      </c>
      <c r="AB28" s="1506">
        <v>1</v>
      </c>
      <c r="AC28" s="1506">
        <v>1</v>
      </c>
    </row>
    <row r="29" spans="1:29" s="113" customFormat="1" ht="28.5">
      <c r="A29" s="605"/>
      <c r="B29" s="1264"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44"/>
      <c r="Q29" s="1496" t="str">
        <f t="shared" ref="Q29" si="9">B29</f>
        <v>基础设施水平</v>
      </c>
      <c r="R29" s="710" t="s">
        <v>17</v>
      </c>
      <c r="S29" s="711">
        <f>F29</f>
        <v>100</v>
      </c>
      <c r="T29" s="710" t="s">
        <v>17</v>
      </c>
      <c r="U29" s="711">
        <f>H29</f>
        <v>100</v>
      </c>
      <c r="V29" s="710" t="s">
        <v>17</v>
      </c>
      <c r="W29" s="711">
        <f>J29</f>
        <v>100</v>
      </c>
      <c r="X29" s="712"/>
      <c r="Y29" s="3444"/>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44"/>
      <c r="Q30" s="1496"/>
      <c r="R30" s="710"/>
      <c r="S30" s="711"/>
      <c r="T30" s="710"/>
      <c r="U30" s="711"/>
      <c r="V30" s="710"/>
      <c r="W30" s="711"/>
      <c r="X30" s="712"/>
      <c r="Y30" s="3444"/>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44"/>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44"/>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44"/>
      <c r="Q32" s="1505" t="str">
        <f t="shared" si="8"/>
        <v>毗邻道路的类型与等级</v>
      </c>
      <c r="R32" s="714" t="s">
        <v>17</v>
      </c>
      <c r="S32" s="715">
        <f t="shared" si="10"/>
        <v>100</v>
      </c>
      <c r="T32" s="714" t="s">
        <v>17</v>
      </c>
      <c r="U32" s="715">
        <f t="shared" si="11"/>
        <v>100</v>
      </c>
      <c r="V32" s="714" t="s">
        <v>17</v>
      </c>
      <c r="W32" s="715">
        <f t="shared" si="12"/>
        <v>100</v>
      </c>
      <c r="X32" s="1508"/>
      <c r="Y32" s="3444"/>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44"/>
      <c r="Q33" s="1505"/>
      <c r="R33" s="714"/>
      <c r="S33" s="715"/>
      <c r="T33" s="714"/>
      <c r="U33" s="715"/>
      <c r="V33" s="714"/>
      <c r="W33" s="715"/>
      <c r="X33" s="1508"/>
      <c r="Y33" s="3444"/>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44"/>
      <c r="Q34" s="1505" t="str">
        <f t="shared" si="8"/>
        <v>土地级别</v>
      </c>
      <c r="R34" s="714" t="s">
        <v>17</v>
      </c>
      <c r="S34" s="715">
        <f t="shared" si="10"/>
        <v>100</v>
      </c>
      <c r="T34" s="714" t="s">
        <v>17</v>
      </c>
      <c r="U34" s="715">
        <f t="shared" si="11"/>
        <v>100</v>
      </c>
      <c r="V34" s="714" t="s">
        <v>17</v>
      </c>
      <c r="W34" s="715">
        <f t="shared" si="12"/>
        <v>100</v>
      </c>
      <c r="X34" s="1508"/>
      <c r="Y34" s="3444"/>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44"/>
      <c r="Q35" s="1505">
        <f t="shared" si="8"/>
        <v>111</v>
      </c>
      <c r="R35" s="714" t="s">
        <v>17</v>
      </c>
      <c r="S35" s="715">
        <f t="shared" si="10"/>
        <v>100</v>
      </c>
      <c r="T35" s="714" t="s">
        <v>17</v>
      </c>
      <c r="U35" s="715">
        <f t="shared" si="11"/>
        <v>100</v>
      </c>
      <c r="V35" s="714" t="s">
        <v>17</v>
      </c>
      <c r="W35" s="715">
        <f t="shared" si="12"/>
        <v>100</v>
      </c>
      <c r="X35" s="1508"/>
      <c r="Y35" s="3444"/>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25" t="s">
        <v>2326</v>
      </c>
      <c r="Q36" s="1505">
        <f t="shared" si="8"/>
        <v>111</v>
      </c>
      <c r="R36" s="714" t="s">
        <v>17</v>
      </c>
      <c r="S36" s="715">
        <f t="shared" si="10"/>
        <v>100</v>
      </c>
      <c r="T36" s="714" t="s">
        <v>17</v>
      </c>
      <c r="U36" s="715">
        <f t="shared" si="11"/>
        <v>100</v>
      </c>
      <c r="V36" s="714" t="s">
        <v>17</v>
      </c>
      <c r="W36" s="715">
        <f t="shared" si="12"/>
        <v>100</v>
      </c>
      <c r="X36" s="1508"/>
      <c r="Y36" s="3448"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48"/>
      <c r="Q37" s="1505">
        <f t="shared" si="8"/>
        <v>111</v>
      </c>
      <c r="R37" s="717" t="s">
        <v>17</v>
      </c>
      <c r="S37" s="718">
        <f t="shared" si="10"/>
        <v>100</v>
      </c>
      <c r="T37" s="717" t="s">
        <v>17</v>
      </c>
      <c r="U37" s="718">
        <f t="shared" si="11"/>
        <v>100</v>
      </c>
      <c r="V37" s="717" t="s">
        <v>17</v>
      </c>
      <c r="W37" s="718">
        <f t="shared" si="12"/>
        <v>100</v>
      </c>
      <c r="X37" s="719"/>
      <c r="Y37" s="3448"/>
      <c r="Z37" s="720">
        <f t="shared" si="13"/>
        <v>111</v>
      </c>
      <c r="AA37" s="1506">
        <f t="shared" si="3"/>
        <v>1</v>
      </c>
      <c r="AB37" s="1506">
        <f t="shared" si="4"/>
        <v>1</v>
      </c>
      <c r="AC37" s="1506">
        <f t="shared" si="5"/>
        <v>1</v>
      </c>
    </row>
    <row r="38" spans="1:29" ht="15">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19"/>
      <c r="M38" s="2913"/>
      <c r="N38" s="2913"/>
      <c r="O38" s="2971"/>
      <c r="P38" s="3448"/>
      <c r="Q38" s="1505" t="str">
        <f>B38</f>
        <v>宗地面积</v>
      </c>
      <c r="R38" s="714" t="s">
        <v>17</v>
      </c>
      <c r="S38" s="715">
        <f t="shared" si="10"/>
        <v>100</v>
      </c>
      <c r="T38" s="714" t="s">
        <v>17</v>
      </c>
      <c r="U38" s="715">
        <f t="shared" si="11"/>
        <v>100</v>
      </c>
      <c r="V38" s="714" t="s">
        <v>17</v>
      </c>
      <c r="W38" s="715">
        <f t="shared" si="12"/>
        <v>100</v>
      </c>
      <c r="X38" s="1508"/>
      <c r="Y38" s="3448"/>
      <c r="Z38" s="1509" t="str">
        <f t="shared" si="13"/>
        <v>宗地面积</v>
      </c>
      <c r="AA38" s="1506">
        <f t="shared" si="3"/>
        <v>1</v>
      </c>
      <c r="AB38" s="1506">
        <f t="shared" si="4"/>
        <v>1</v>
      </c>
      <c r="AC38" s="1506">
        <f t="shared" si="5"/>
        <v>1</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48"/>
      <c r="Q39" s="1505" t="str">
        <f t="shared" ref="Q39:Q45" si="14">B39</f>
        <v>宗地形状</v>
      </c>
      <c r="R39" s="714" t="s">
        <v>17</v>
      </c>
      <c r="S39" s="715">
        <f t="shared" si="10"/>
        <v>100</v>
      </c>
      <c r="T39" s="714" t="s">
        <v>17</v>
      </c>
      <c r="U39" s="715">
        <f t="shared" si="11"/>
        <v>100</v>
      </c>
      <c r="V39" s="714" t="s">
        <v>17</v>
      </c>
      <c r="W39" s="715">
        <f t="shared" si="12"/>
        <v>100</v>
      </c>
      <c r="X39" s="1508"/>
      <c r="Y39" s="3448"/>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48"/>
      <c r="Q40" s="1505" t="str">
        <f t="shared" si="14"/>
        <v>临街宽度及深度</v>
      </c>
      <c r="R40" s="714" t="s">
        <v>17</v>
      </c>
      <c r="S40" s="715">
        <f t="shared" si="10"/>
        <v>100</v>
      </c>
      <c r="T40" s="714" t="s">
        <v>17</v>
      </c>
      <c r="U40" s="715">
        <f t="shared" si="11"/>
        <v>100</v>
      </c>
      <c r="V40" s="714" t="s">
        <v>17</v>
      </c>
      <c r="W40" s="715">
        <f t="shared" si="12"/>
        <v>100</v>
      </c>
      <c r="X40" s="1508"/>
      <c r="Y40" s="3448"/>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48"/>
      <c r="Q41" s="1505" t="str">
        <f t="shared" si="14"/>
        <v>宗地开发程度</v>
      </c>
      <c r="R41" s="710" t="s">
        <v>17</v>
      </c>
      <c r="S41" s="711">
        <f t="shared" si="10"/>
        <v>100</v>
      </c>
      <c r="T41" s="710" t="s">
        <v>17</v>
      </c>
      <c r="U41" s="711">
        <f t="shared" si="11"/>
        <v>100</v>
      </c>
      <c r="V41" s="710" t="s">
        <v>17</v>
      </c>
      <c r="W41" s="711">
        <f t="shared" si="12"/>
        <v>100</v>
      </c>
      <c r="X41" s="712"/>
      <c r="Y41" s="3448"/>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48" t="s">
        <v>2326</v>
      </c>
      <c r="Q42" s="1505" t="str">
        <f t="shared" si="14"/>
        <v>工程地质条件</v>
      </c>
      <c r="R42" s="714" t="s">
        <v>17</v>
      </c>
      <c r="S42" s="715">
        <f t="shared" si="10"/>
        <v>100</v>
      </c>
      <c r="T42" s="714" t="s">
        <v>17</v>
      </c>
      <c r="U42" s="715">
        <f t="shared" si="11"/>
        <v>100</v>
      </c>
      <c r="V42" s="714" t="s">
        <v>17</v>
      </c>
      <c r="W42" s="715">
        <f t="shared" si="12"/>
        <v>100</v>
      </c>
      <c r="X42" s="1508"/>
      <c r="Y42" s="3448"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48"/>
      <c r="Q43" s="1505">
        <f t="shared" si="14"/>
        <v>111</v>
      </c>
      <c r="R43" s="714" t="s">
        <v>17</v>
      </c>
      <c r="S43" s="715">
        <f t="shared" si="10"/>
        <v>100</v>
      </c>
      <c r="T43" s="714" t="s">
        <v>17</v>
      </c>
      <c r="U43" s="715">
        <f t="shared" si="11"/>
        <v>100</v>
      </c>
      <c r="V43" s="714" t="s">
        <v>17</v>
      </c>
      <c r="W43" s="715">
        <f t="shared" si="12"/>
        <v>100</v>
      </c>
      <c r="X43" s="1508"/>
      <c r="Y43" s="3448"/>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48"/>
      <c r="Q44" s="1505">
        <f t="shared" si="14"/>
        <v>111</v>
      </c>
      <c r="R44" s="714" t="s">
        <v>17</v>
      </c>
      <c r="S44" s="715">
        <f t="shared" si="10"/>
        <v>100</v>
      </c>
      <c r="T44" s="714" t="s">
        <v>17</v>
      </c>
      <c r="U44" s="715">
        <f t="shared" si="11"/>
        <v>100</v>
      </c>
      <c r="V44" s="714" t="s">
        <v>17</v>
      </c>
      <c r="W44" s="715">
        <f t="shared" si="12"/>
        <v>100</v>
      </c>
      <c r="X44" s="1508"/>
      <c r="Y44" s="3448"/>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48"/>
      <c r="Q45" s="1505">
        <f t="shared" si="14"/>
        <v>111</v>
      </c>
      <c r="R45" s="717" t="s">
        <v>17</v>
      </c>
      <c r="S45" s="718">
        <f t="shared" si="10"/>
        <v>100</v>
      </c>
      <c r="T45" s="717" t="s">
        <v>17</v>
      </c>
      <c r="U45" s="718">
        <f t="shared" si="11"/>
        <v>100</v>
      </c>
      <c r="V45" s="717" t="s">
        <v>17</v>
      </c>
      <c r="W45" s="718">
        <f t="shared" si="12"/>
        <v>100</v>
      </c>
      <c r="X45" s="719"/>
      <c r="Y45" s="3448"/>
      <c r="Z45" s="720">
        <f t="shared" si="13"/>
        <v>111</v>
      </c>
      <c r="AA45" s="1506">
        <f t="shared" si="3"/>
        <v>1</v>
      </c>
      <c r="AB45" s="1506">
        <f t="shared" si="4"/>
        <v>1</v>
      </c>
      <c r="AC45" s="1506">
        <f t="shared" si="5"/>
        <v>1</v>
      </c>
    </row>
    <row r="46" spans="1:29" ht="15">
      <c r="A46" s="438" t="s">
        <v>2481</v>
      </c>
      <c r="B46" s="2136" t="s">
        <v>2517</v>
      </c>
      <c r="C46" s="638" t="s">
        <v>1</v>
      </c>
      <c r="D46" s="440"/>
      <c r="E46" s="441">
        <v>3800</v>
      </c>
      <c r="F46" s="442"/>
      <c r="G46" s="443">
        <v>3800</v>
      </c>
      <c r="H46" s="444"/>
      <c r="I46" s="441">
        <v>3800</v>
      </c>
      <c r="J46" s="444"/>
      <c r="K46" s="723"/>
      <c r="L46" s="2921"/>
      <c r="M46" s="2922"/>
      <c r="N46" s="2913"/>
      <c r="O46" s="2922"/>
      <c r="P46" s="3441" t="str">
        <f>A46</f>
        <v>成交单价</v>
      </c>
      <c r="Q46" s="3441"/>
      <c r="R46" s="3472">
        <f>E46</f>
        <v>3800</v>
      </c>
      <c r="S46" s="3472"/>
      <c r="T46" s="3472">
        <f>G46</f>
        <v>3800</v>
      </c>
      <c r="U46" s="3472"/>
      <c r="V46" s="3472">
        <f>I46</f>
        <v>3800</v>
      </c>
      <c r="W46" s="3472"/>
      <c r="X46" s="699"/>
      <c r="Y46" s="721"/>
      <c r="Z46" s="699"/>
      <c r="AA46" s="699"/>
      <c r="AB46" s="699"/>
      <c r="AC46" s="699"/>
    </row>
    <row r="47" spans="1:29" ht="15.75" thickBot="1">
      <c r="A47" s="445" t="s">
        <v>2430</v>
      </c>
      <c r="B47" s="639"/>
      <c r="C47" s="448">
        <f>R48</f>
        <v>3762</v>
      </c>
      <c r="D47" s="2506" t="s">
        <v>2819</v>
      </c>
      <c r="E47" s="448">
        <f>R47</f>
        <v>3762</v>
      </c>
      <c r="F47" s="2507"/>
      <c r="G47" s="447">
        <f>T47</f>
        <v>3762</v>
      </c>
      <c r="H47" s="2507"/>
      <c r="I47" s="448">
        <f>V47</f>
        <v>3762</v>
      </c>
      <c r="J47" s="2507"/>
      <c r="K47" s="2509">
        <f>F47+H47+J47</f>
        <v>0</v>
      </c>
      <c r="L47" s="2921"/>
      <c r="M47" s="2922"/>
      <c r="N47" s="2922"/>
      <c r="O47" s="2922"/>
      <c r="P47" s="3441" t="str">
        <f>A47</f>
        <v>比较价值（元/平方米）</v>
      </c>
      <c r="Q47" s="3441"/>
      <c r="R47" s="3527">
        <f>ROUND(PRODUCT(R46,AA7:AA45),0)</f>
        <v>3762</v>
      </c>
      <c r="S47" s="3527"/>
      <c r="T47" s="3527">
        <f>ROUND(PRODUCT(T46,AB7:AB45),0)</f>
        <v>3762</v>
      </c>
      <c r="U47" s="3527"/>
      <c r="V47" s="3527">
        <f>ROUND(PRODUCT(V46,AC7:AC45),0)</f>
        <v>3762</v>
      </c>
      <c r="W47" s="3527"/>
      <c r="X47" s="699"/>
      <c r="Y47" s="699"/>
      <c r="Z47" s="699"/>
      <c r="AA47" s="699"/>
      <c r="AB47" s="699"/>
      <c r="AC47" s="699"/>
    </row>
    <row r="48" spans="1:29" ht="15.75" thickBot="1">
      <c r="A48" s="449" t="s">
        <v>2518</v>
      </c>
      <c r="B48" s="450"/>
      <c r="C48" s="451">
        <f>R48</f>
        <v>3762</v>
      </c>
      <c r="D48" s="451"/>
      <c r="E48" s="451"/>
      <c r="F48" s="451"/>
      <c r="G48" s="451"/>
      <c r="H48" s="451"/>
      <c r="I48" s="451"/>
      <c r="J48" s="451"/>
      <c r="K48" s="724"/>
      <c r="L48" s="2921"/>
      <c r="M48" s="2922"/>
      <c r="N48" s="2922"/>
      <c r="O48" s="2922"/>
      <c r="P48" s="3438" t="str">
        <f>A48</f>
        <v>估价对象XX用房的比较价值（楼面单价，元/平方米）</v>
      </c>
      <c r="Q48" s="3439"/>
      <c r="R48" s="3528">
        <f>ROUND(IF(D47="简单平均",AVERAGE(R47:W47),R47*F47+T47*H47+V47*J47),0)</f>
        <v>3762</v>
      </c>
      <c r="S48" s="3528"/>
      <c r="T48" s="3528"/>
      <c r="U48" s="3528"/>
      <c r="V48" s="3528"/>
      <c r="W48" s="3528"/>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f>IF(E46&lt;E47,E47/E46-1,E46/E47-1)</f>
        <v>1.0101010101010166E-2</v>
      </c>
      <c r="F51" s="457" t="str">
        <f>IF(OR(E51&gt;=0.3,E51&lt;=-0.3),"超过30%","")</f>
        <v/>
      </c>
      <c r="G51" s="456">
        <f>IF(G46&lt;G47,G47/G46-1,G46/G47-1)</f>
        <v>1.0101010101010166E-2</v>
      </c>
      <c r="H51" s="457" t="str">
        <f>IF(OR(G51&gt;=0.3,G51&lt;=-0.3),"超过30%","")</f>
        <v/>
      </c>
      <c r="I51" s="456">
        <f>IF(I46&lt;I47,I47/I46-1,I46/I47-1)</f>
        <v>1.0101010101010166E-2</v>
      </c>
      <c r="J51" s="457" t="str">
        <f>IF(OR(I51&gt;=0.3,I51&lt;=-0.3),"超过30%","")</f>
        <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f>IF(E47&lt;G47,G47/E47-1,E47/G47-1)</f>
        <v>0</v>
      </c>
      <c r="F52" s="457" t="str">
        <f>IF(OR(E52&gt;=0.2,E52&lt;=-0.2),"超过20%","")</f>
        <v/>
      </c>
      <c r="G52" s="456">
        <f>IF(G47&lt;I47,I47/G47-1,G47/I47-1)</f>
        <v>0</v>
      </c>
      <c r="H52" s="457" t="str">
        <f>IF(OR(G52&gt;=0.2,G52&lt;=-0.2),"超过20%","")</f>
        <v/>
      </c>
      <c r="I52" s="456">
        <f>IF(I47&lt;E47,E47/I47-1,I47/E47-1)</f>
        <v>0</v>
      </c>
      <c r="J52" s="457"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f>IF(E46&lt;G46,G46/E46-1,E46/G46-1)</f>
        <v>0</v>
      </c>
      <c r="F53" s="457" t="str">
        <f>IF(OR(E53&gt;=0.3,E53&lt;=-0.3),"超过30%","")</f>
        <v/>
      </c>
      <c r="G53" s="456">
        <f>IF(G46&lt;I46,I46/G46-1,G46/I46-1)</f>
        <v>0</v>
      </c>
      <c r="H53" s="457" t="str">
        <f>IF(OR(G53&gt;=0.3,G53&lt;=-0.3),"超过30%","")</f>
        <v/>
      </c>
      <c r="I53" s="456">
        <f>IF(I46&lt;E46,E46/I46-1,I46/E46-1)</f>
        <v>0</v>
      </c>
      <c r="J53" s="457"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1" t="s">
        <v>2524</v>
      </c>
      <c r="G55" s="3456" t="s">
        <v>2525</v>
      </c>
      <c r="H55" s="3529"/>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f>C48</f>
        <v>3762</v>
      </c>
      <c r="C56" s="646">
        <v>1</v>
      </c>
      <c r="D56" s="1075">
        <v>1</v>
      </c>
      <c r="E56" s="646">
        <f>'数据-汇总表'!E8+'数据-汇总表'!E9</f>
        <v>120.46</v>
      </c>
      <c r="F56" s="1017">
        <f t="shared" ref="F56:F65" si="15">ROUND(B56*E56/10000,0)</f>
        <v>45</v>
      </c>
      <c r="G56" s="3452"/>
      <c r="H56" s="3441"/>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f>ROUND($C$48*C57*D57,0)</f>
        <v>0</v>
      </c>
      <c r="C57" s="176">
        <f t="shared" ref="C57:C65" si="16">IF($C$55="北京市系数",I57,J57)</f>
        <v>0</v>
      </c>
      <c r="D57" s="1076">
        <v>0.25</v>
      </c>
      <c r="E57" s="650"/>
      <c r="F57" s="1017">
        <f t="shared" si="15"/>
        <v>0</v>
      </c>
      <c r="G57" s="3530"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f t="shared" ref="B58:B65" si="17">ROUND($C$48*C58*D58,0)</f>
        <v>0</v>
      </c>
      <c r="C58" s="176">
        <f t="shared" si="16"/>
        <v>0</v>
      </c>
      <c r="D58" s="1076">
        <v>0.25</v>
      </c>
      <c r="E58" s="650"/>
      <c r="F58" s="1017">
        <f t="shared" si="15"/>
        <v>0</v>
      </c>
      <c r="G58" s="3530"/>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f t="shared" si="17"/>
        <v>0</v>
      </c>
      <c r="C59" s="176">
        <f t="shared" si="16"/>
        <v>0</v>
      </c>
      <c r="D59" s="1076">
        <v>0.25</v>
      </c>
      <c r="E59" s="650"/>
      <c r="F59" s="1017">
        <f t="shared" si="15"/>
        <v>0</v>
      </c>
      <c r="G59" s="3530"/>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f t="shared" si="17"/>
        <v>0</v>
      </c>
      <c r="C60" s="176">
        <f t="shared" si="16"/>
        <v>0</v>
      </c>
      <c r="D60" s="1076">
        <v>0.25</v>
      </c>
      <c r="E60" s="650"/>
      <c r="F60" s="1017">
        <f t="shared" si="15"/>
        <v>0</v>
      </c>
      <c r="G60" s="3530"/>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f t="shared" si="17"/>
        <v>0</v>
      </c>
      <c r="C61" s="176">
        <f t="shared" si="16"/>
        <v>0</v>
      </c>
      <c r="D61" s="1076">
        <v>0.25</v>
      </c>
      <c r="E61" s="223">
        <f>'数据-汇总表'!E11</f>
        <v>0</v>
      </c>
      <c r="F61" s="1017">
        <f t="shared" si="15"/>
        <v>0</v>
      </c>
      <c r="G61" s="2141"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f t="shared" si="17"/>
        <v>0</v>
      </c>
      <c r="C64" s="176">
        <f t="shared" si="16"/>
        <v>0</v>
      </c>
      <c r="D64" s="1076">
        <v>0.25</v>
      </c>
      <c r="E64" s="223">
        <f>'数据-汇总表'!E14</f>
        <v>0</v>
      </c>
      <c r="F64" s="1017">
        <f t="shared" si="15"/>
        <v>0</v>
      </c>
      <c r="G64" s="2141"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f t="shared" si="17"/>
        <v>0</v>
      </c>
      <c r="C65" s="176">
        <f t="shared" si="16"/>
        <v>0</v>
      </c>
      <c r="D65" s="1076">
        <v>0.25</v>
      </c>
      <c r="E65" s="223">
        <f>'数据-汇总表'!E15</f>
        <v>0</v>
      </c>
      <c r="F65" s="1017">
        <f t="shared" si="15"/>
        <v>0</v>
      </c>
      <c r="G65" s="2142"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120.46</v>
      </c>
      <c r="F66" s="653">
        <f>IF(B46="楼面地价",SUM(F56:F65),ROUND(C48*E66/10000,0))</f>
        <v>45</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v>0</v>
      </c>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0(含)-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v>0</v>
      </c>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2"/>
      <c r="M4" s="2913"/>
      <c r="N4" s="2913"/>
      <c r="O4" s="2913"/>
      <c r="P4" s="3460" t="s">
        <v>2412</v>
      </c>
      <c r="Q4" s="3461"/>
      <c r="R4" s="3466" t="s">
        <v>2408</v>
      </c>
      <c r="S4" s="3467"/>
      <c r="T4" s="3466" t="s">
        <v>2409</v>
      </c>
      <c r="U4" s="3467"/>
      <c r="V4" s="3472" t="s">
        <v>2410</v>
      </c>
      <c r="W4" s="3472"/>
      <c r="X4" s="1508"/>
      <c r="Y4" s="3466" t="s">
        <v>2412</v>
      </c>
      <c r="Z4" s="3467"/>
      <c r="AA4" s="3453" t="s">
        <v>2408</v>
      </c>
      <c r="AB4" s="3454" t="s">
        <v>2409</v>
      </c>
      <c r="AC4" s="3453" t="s">
        <v>2410</v>
      </c>
    </row>
    <row r="5" spans="1:29" ht="15">
      <c r="A5" s="364"/>
      <c r="B5" s="365"/>
      <c r="C5" s="3475" t="s">
        <v>2303</v>
      </c>
      <c r="D5" s="3476"/>
      <c r="E5" s="3482" t="s">
        <v>2304</v>
      </c>
      <c r="F5" s="3483"/>
      <c r="G5" s="3475" t="s">
        <v>2305</v>
      </c>
      <c r="H5" s="3476"/>
      <c r="I5" s="3475" t="s">
        <v>2306</v>
      </c>
      <c r="J5" s="3476"/>
      <c r="K5" s="567"/>
      <c r="L5" s="2912"/>
      <c r="M5" s="2913"/>
      <c r="N5" s="2913"/>
      <c r="O5" s="2913"/>
      <c r="P5" s="3462"/>
      <c r="Q5" s="3463"/>
      <c r="R5" s="3468"/>
      <c r="S5" s="3469"/>
      <c r="T5" s="3468"/>
      <c r="U5" s="3469"/>
      <c r="V5" s="3472"/>
      <c r="W5" s="3472"/>
      <c r="X5" s="1508"/>
      <c r="Y5" s="3468"/>
      <c r="Z5" s="3469"/>
      <c r="AA5" s="3454"/>
      <c r="AB5" s="3454"/>
      <c r="AC5" s="3454"/>
    </row>
    <row r="6" spans="1:29" ht="15.75" thickBot="1">
      <c r="A6" s="366"/>
      <c r="B6" s="367"/>
      <c r="C6" s="3531" t="s">
        <v>2558</v>
      </c>
      <c r="D6" s="3532"/>
      <c r="E6" s="3533" t="s">
        <v>2558</v>
      </c>
      <c r="F6" s="3534"/>
      <c r="G6" s="3531" t="s">
        <v>2558</v>
      </c>
      <c r="H6" s="3532"/>
      <c r="I6" s="3531" t="s">
        <v>2558</v>
      </c>
      <c r="J6" s="3532"/>
      <c r="K6" s="567" t="s">
        <v>2308</v>
      </c>
      <c r="L6" s="2912"/>
      <c r="M6" s="2913"/>
      <c r="N6" s="2913"/>
      <c r="O6" s="2913"/>
      <c r="P6" s="3464"/>
      <c r="Q6" s="3465"/>
      <c r="R6" s="3468"/>
      <c r="S6" s="3469"/>
      <c r="T6" s="3470"/>
      <c r="U6" s="3471"/>
      <c r="V6" s="3472"/>
      <c r="W6" s="3472"/>
      <c r="X6" s="1508"/>
      <c r="Y6" s="3470"/>
      <c r="Z6" s="3471"/>
      <c r="AA6" s="3455"/>
      <c r="AB6" s="3455"/>
      <c r="AC6" s="3455"/>
    </row>
    <row r="7" spans="1:29" s="113" customFormat="1" ht="15.75" thickBot="1">
      <c r="A7" s="368" t="s">
        <v>2309</v>
      </c>
      <c r="B7" s="369"/>
      <c r="C7" s="370">
        <f>'数据-取费表'!B2</f>
        <v>44615</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77" t="s">
        <v>2310</v>
      </c>
      <c r="Q7" s="3479"/>
      <c r="R7" s="710" t="s">
        <v>17</v>
      </c>
      <c r="S7" s="711">
        <f t="shared" ref="S7:S15" si="0">F7</f>
        <v>0</v>
      </c>
      <c r="T7" s="710" t="s">
        <v>17</v>
      </c>
      <c r="U7" s="711">
        <f t="shared" ref="U7:U15" si="1">H7</f>
        <v>0</v>
      </c>
      <c r="V7" s="710" t="s">
        <v>17</v>
      </c>
      <c r="W7" s="711">
        <f t="shared" ref="W7:W15" si="2">J7</f>
        <v>0</v>
      </c>
      <c r="X7" s="712"/>
      <c r="Y7" s="3477" t="s">
        <v>2310</v>
      </c>
      <c r="Z7" s="347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77" t="s">
        <v>2313</v>
      </c>
      <c r="Q8" s="3478"/>
      <c r="R8" s="710" t="s">
        <v>17</v>
      </c>
      <c r="S8" s="711">
        <f t="shared" si="0"/>
        <v>0</v>
      </c>
      <c r="T8" s="710" t="s">
        <v>17</v>
      </c>
      <c r="U8" s="711">
        <f t="shared" si="1"/>
        <v>0</v>
      </c>
      <c r="V8" s="710" t="s">
        <v>17</v>
      </c>
      <c r="W8" s="711">
        <f t="shared" si="2"/>
        <v>0</v>
      </c>
      <c r="X8" s="712"/>
      <c r="Y8" s="3477" t="s">
        <v>2313</v>
      </c>
      <c r="Z8" s="3478"/>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41" t="s">
        <v>2316</v>
      </c>
      <c r="Q9" s="1496" t="str">
        <f t="shared" ref="Q9:Q15" si="6">B9</f>
        <v>用途</v>
      </c>
      <c r="R9" s="710" t="s">
        <v>17</v>
      </c>
      <c r="S9" s="711">
        <f t="shared" si="0"/>
        <v>100</v>
      </c>
      <c r="T9" s="710" t="s">
        <v>17</v>
      </c>
      <c r="U9" s="711">
        <f t="shared" si="1"/>
        <v>100</v>
      </c>
      <c r="V9" s="710" t="s">
        <v>17</v>
      </c>
      <c r="W9" s="711">
        <f t="shared" si="2"/>
        <v>100</v>
      </c>
      <c r="X9" s="712"/>
      <c r="Y9" s="333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101</v>
      </c>
      <c r="G10" s="391"/>
      <c r="H10" s="132">
        <f>ROUND(100/'数据-取费表'!G16,0)</f>
        <v>101</v>
      </c>
      <c r="I10" s="391"/>
      <c r="J10" s="132">
        <f>ROUND(100/'数据-取费表'!G16,0)</f>
        <v>101</v>
      </c>
      <c r="K10" s="628"/>
      <c r="L10" s="2916"/>
      <c r="M10" s="2917"/>
      <c r="N10" s="2917"/>
      <c r="O10" s="2970"/>
      <c r="P10" s="3441"/>
      <c r="Q10" s="1496" t="str">
        <f t="shared" si="6"/>
        <v>土地使用年限（年）</v>
      </c>
      <c r="R10" s="710" t="s">
        <v>17</v>
      </c>
      <c r="S10" s="711">
        <f t="shared" si="0"/>
        <v>101</v>
      </c>
      <c r="T10" s="710" t="s">
        <v>17</v>
      </c>
      <c r="U10" s="711">
        <f t="shared" si="1"/>
        <v>101</v>
      </c>
      <c r="V10" s="710" t="s">
        <v>17</v>
      </c>
      <c r="W10" s="711">
        <f t="shared" si="2"/>
        <v>101</v>
      </c>
      <c r="X10" s="712"/>
      <c r="Y10" s="3339"/>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41"/>
      <c r="Q11" s="1496"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41"/>
      <c r="Q12" s="1496">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41"/>
      <c r="Q13" s="1496">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41"/>
      <c r="Q14" s="1496">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43" t="s">
        <v>2321</v>
      </c>
      <c r="Q15" s="1505" t="str">
        <f t="shared" si="6"/>
        <v>产业集聚程度</v>
      </c>
      <c r="R15" s="714" t="s">
        <v>17</v>
      </c>
      <c r="S15" s="715">
        <f t="shared" si="0"/>
        <v>100</v>
      </c>
      <c r="T15" s="714" t="s">
        <v>17</v>
      </c>
      <c r="U15" s="715">
        <f t="shared" si="1"/>
        <v>100</v>
      </c>
      <c r="V15" s="714" t="s">
        <v>17</v>
      </c>
      <c r="W15" s="715">
        <f t="shared" si="2"/>
        <v>100</v>
      </c>
      <c r="X15" s="1508"/>
      <c r="Y15" s="3443"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9"/>
      <c r="M16" s="2913"/>
      <c r="N16" s="2913"/>
      <c r="O16" s="2971"/>
      <c r="P16" s="3444"/>
      <c r="Q16" s="1505"/>
      <c r="R16" s="714"/>
      <c r="S16" s="715"/>
      <c r="T16" s="714"/>
      <c r="U16" s="715"/>
      <c r="V16" s="714"/>
      <c r="W16" s="715"/>
      <c r="X16" s="1508"/>
      <c r="Y16" s="3444"/>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44"/>
      <c r="Q17" s="1505" t="str">
        <f>B17</f>
        <v>交通便捷度</v>
      </c>
      <c r="R17" s="714" t="s">
        <v>17</v>
      </c>
      <c r="S17" s="715">
        <f>F17</f>
        <v>100</v>
      </c>
      <c r="T17" s="714" t="s">
        <v>17</v>
      </c>
      <c r="U17" s="715">
        <f>H17</f>
        <v>100</v>
      </c>
      <c r="V17" s="714" t="s">
        <v>17</v>
      </c>
      <c r="W17" s="715">
        <f>J17</f>
        <v>100</v>
      </c>
      <c r="X17" s="1508"/>
      <c r="Y17" s="3444"/>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9"/>
      <c r="M18" s="2913"/>
      <c r="N18" s="2913"/>
      <c r="O18" s="2971"/>
      <c r="P18" s="3444"/>
      <c r="Q18" s="1505"/>
      <c r="R18" s="714"/>
      <c r="S18" s="715"/>
      <c r="T18" s="714"/>
      <c r="U18" s="715"/>
      <c r="V18" s="714"/>
      <c r="W18" s="715"/>
      <c r="X18" s="1508"/>
      <c r="Y18" s="3444"/>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44"/>
      <c r="Q19" s="1505" t="str">
        <f t="shared" ref="Q19:Q33" si="8">B19</f>
        <v>区域土地利用方向</v>
      </c>
      <c r="R19" s="714" t="s">
        <v>17</v>
      </c>
      <c r="S19" s="715">
        <f>F19</f>
        <v>100</v>
      </c>
      <c r="T19" s="714" t="s">
        <v>17</v>
      </c>
      <c r="U19" s="715">
        <f>H19</f>
        <v>100</v>
      </c>
      <c r="V19" s="714" t="s">
        <v>17</v>
      </c>
      <c r="W19" s="715">
        <f>J19</f>
        <v>100</v>
      </c>
      <c r="X19" s="1508"/>
      <c r="Y19" s="3444"/>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44"/>
      <c r="Q20" s="1505"/>
      <c r="R20" s="714"/>
      <c r="S20" s="715"/>
      <c r="T20" s="714"/>
      <c r="U20" s="715"/>
      <c r="V20" s="714"/>
      <c r="W20" s="715"/>
      <c r="X20" s="1508"/>
      <c r="Y20" s="3444"/>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44"/>
      <c r="Q21" s="1505" t="str">
        <f t="shared" si="8"/>
        <v>环境状况</v>
      </c>
      <c r="R21" s="714" t="s">
        <v>17</v>
      </c>
      <c r="S21" s="715">
        <f>F21</f>
        <v>100</v>
      </c>
      <c r="T21" s="714" t="s">
        <v>17</v>
      </c>
      <c r="U21" s="715">
        <f>H21</f>
        <v>100</v>
      </c>
      <c r="V21" s="714" t="s">
        <v>17</v>
      </c>
      <c r="W21" s="715">
        <f>J21</f>
        <v>100</v>
      </c>
      <c r="X21" s="1508"/>
      <c r="Y21" s="3444"/>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9"/>
      <c r="M22" s="2913"/>
      <c r="N22" s="2913"/>
      <c r="O22" s="2971"/>
      <c r="P22" s="3444"/>
      <c r="Q22" s="1505"/>
      <c r="R22" s="714"/>
      <c r="S22" s="715"/>
      <c r="T22" s="714"/>
      <c r="U22" s="715"/>
      <c r="V22" s="714"/>
      <c r="W22" s="715"/>
      <c r="X22" s="1508"/>
      <c r="Y22" s="3444"/>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44"/>
      <c r="Q23" s="1496" t="str">
        <f t="shared" si="8"/>
        <v>公共配套设施</v>
      </c>
      <c r="R23" s="710" t="s">
        <v>17</v>
      </c>
      <c r="S23" s="711">
        <f>F23</f>
        <v>100</v>
      </c>
      <c r="T23" s="710" t="s">
        <v>17</v>
      </c>
      <c r="U23" s="711">
        <f>H23</f>
        <v>100</v>
      </c>
      <c r="V23" s="710" t="s">
        <v>17</v>
      </c>
      <c r="W23" s="711">
        <f>J23</f>
        <v>100</v>
      </c>
      <c r="X23" s="712"/>
      <c r="Y23" s="3444"/>
      <c r="Z23" s="55" t="str">
        <f>Q23</f>
        <v>公共配套设施</v>
      </c>
      <c r="AA23" s="1506">
        <f>D23/F23</f>
        <v>1</v>
      </c>
      <c r="AB23" s="1506">
        <f>D23/H23</f>
        <v>1</v>
      </c>
      <c r="AC23" s="1506">
        <f>D23/J23</f>
        <v>1</v>
      </c>
    </row>
    <row r="24" spans="1:29" s="113" customFormat="1" ht="15">
      <c r="A24" s="605"/>
      <c r="B24" s="588"/>
      <c r="C24" s="2132"/>
      <c r="D24" s="407"/>
      <c r="E24" s="2059"/>
      <c r="F24" s="407"/>
      <c r="G24" s="2059"/>
      <c r="H24" s="407"/>
      <c r="I24" s="406"/>
      <c r="J24" s="407"/>
      <c r="K24" s="628"/>
      <c r="L24" s="2914"/>
      <c r="M24" s="2915"/>
      <c r="N24" s="2915"/>
      <c r="O24" s="2969"/>
      <c r="P24" s="3444"/>
      <c r="Q24" s="1496"/>
      <c r="R24" s="710"/>
      <c r="S24" s="711"/>
      <c r="T24" s="710"/>
      <c r="U24" s="711"/>
      <c r="V24" s="710"/>
      <c r="W24" s="711"/>
      <c r="X24" s="712"/>
      <c r="Y24" s="3444"/>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44"/>
      <c r="Q25" s="1496" t="str">
        <f t="shared" ref="Q25" si="9">B25</f>
        <v>基础设施水平</v>
      </c>
      <c r="R25" s="710" t="s">
        <v>17</v>
      </c>
      <c r="S25" s="711">
        <f>F25</f>
        <v>100</v>
      </c>
      <c r="T25" s="710" t="s">
        <v>17</v>
      </c>
      <c r="U25" s="711">
        <f>H25</f>
        <v>100</v>
      </c>
      <c r="V25" s="710" t="s">
        <v>17</v>
      </c>
      <c r="W25" s="711">
        <f>J25</f>
        <v>100</v>
      </c>
      <c r="X25" s="712"/>
      <c r="Y25" s="3444"/>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44"/>
      <c r="Q26" s="1496"/>
      <c r="R26" s="710"/>
      <c r="S26" s="711"/>
      <c r="T26" s="710"/>
      <c r="U26" s="711"/>
      <c r="V26" s="710"/>
      <c r="W26" s="711"/>
      <c r="X26" s="712"/>
      <c r="Y26" s="344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4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44"/>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44"/>
      <c r="Q28" s="1505" t="str">
        <f t="shared" si="8"/>
        <v>毗邻道路的类型与等级</v>
      </c>
      <c r="R28" s="714" t="s">
        <v>17</v>
      </c>
      <c r="S28" s="715">
        <f t="shared" si="10"/>
        <v>100</v>
      </c>
      <c r="T28" s="714" t="s">
        <v>17</v>
      </c>
      <c r="U28" s="715">
        <f t="shared" si="11"/>
        <v>100</v>
      </c>
      <c r="V28" s="714" t="s">
        <v>17</v>
      </c>
      <c r="W28" s="715">
        <f t="shared" si="12"/>
        <v>100</v>
      </c>
      <c r="X28" s="1508"/>
      <c r="Y28" s="344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44"/>
      <c r="Q29" s="1505"/>
      <c r="R29" s="714"/>
      <c r="S29" s="715"/>
      <c r="T29" s="714"/>
      <c r="U29" s="715"/>
      <c r="V29" s="714"/>
      <c r="W29" s="715"/>
      <c r="X29" s="1508"/>
      <c r="Y29" s="3444"/>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44"/>
      <c r="Q30" s="1505" t="str">
        <f t="shared" si="8"/>
        <v>土地级别</v>
      </c>
      <c r="R30" s="714" t="s">
        <v>17</v>
      </c>
      <c r="S30" s="715">
        <f t="shared" si="10"/>
        <v>100</v>
      </c>
      <c r="T30" s="714" t="s">
        <v>17</v>
      </c>
      <c r="U30" s="715">
        <f t="shared" si="11"/>
        <v>100</v>
      </c>
      <c r="V30" s="714" t="s">
        <v>17</v>
      </c>
      <c r="W30" s="715">
        <f t="shared" si="12"/>
        <v>100</v>
      </c>
      <c r="X30" s="1508"/>
      <c r="Y30" s="3444"/>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44"/>
      <c r="Q31" s="1505">
        <f t="shared" si="8"/>
        <v>111</v>
      </c>
      <c r="R31" s="714" t="s">
        <v>17</v>
      </c>
      <c r="S31" s="715">
        <f t="shared" si="10"/>
        <v>100</v>
      </c>
      <c r="T31" s="714" t="s">
        <v>17</v>
      </c>
      <c r="U31" s="715">
        <f t="shared" si="11"/>
        <v>100</v>
      </c>
      <c r="V31" s="714" t="s">
        <v>17</v>
      </c>
      <c r="W31" s="715">
        <f t="shared" si="12"/>
        <v>100</v>
      </c>
      <c r="X31" s="1508"/>
      <c r="Y31" s="3444"/>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25" t="s">
        <v>2326</v>
      </c>
      <c r="Q32" s="1505">
        <f t="shared" si="8"/>
        <v>111</v>
      </c>
      <c r="R32" s="714" t="s">
        <v>17</v>
      </c>
      <c r="S32" s="715">
        <f t="shared" si="10"/>
        <v>100</v>
      </c>
      <c r="T32" s="714" t="s">
        <v>17</v>
      </c>
      <c r="U32" s="715">
        <f t="shared" si="11"/>
        <v>100</v>
      </c>
      <c r="V32" s="714" t="s">
        <v>17</v>
      </c>
      <c r="W32" s="715">
        <f t="shared" si="12"/>
        <v>100</v>
      </c>
      <c r="X32" s="1508"/>
      <c r="Y32" s="3448"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48"/>
      <c r="Q33" s="1505">
        <f t="shared" si="8"/>
        <v>111</v>
      </c>
      <c r="R33" s="717" t="s">
        <v>17</v>
      </c>
      <c r="S33" s="718">
        <f t="shared" si="10"/>
        <v>100</v>
      </c>
      <c r="T33" s="717" t="s">
        <v>17</v>
      </c>
      <c r="U33" s="718">
        <f t="shared" si="11"/>
        <v>100</v>
      </c>
      <c r="V33" s="717" t="s">
        <v>17</v>
      </c>
      <c r="W33" s="718">
        <f t="shared" si="12"/>
        <v>100</v>
      </c>
      <c r="X33" s="719"/>
      <c r="Y33" s="3448"/>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48"/>
      <c r="Q34" s="1505" t="str">
        <f>B34</f>
        <v>宗地面积</v>
      </c>
      <c r="R34" s="714" t="s">
        <v>17</v>
      </c>
      <c r="S34" s="715" t="e">
        <f t="shared" si="10"/>
        <v>#N/A</v>
      </c>
      <c r="T34" s="714" t="s">
        <v>17</v>
      </c>
      <c r="U34" s="715" t="e">
        <f t="shared" si="11"/>
        <v>#N/A</v>
      </c>
      <c r="V34" s="714" t="s">
        <v>17</v>
      </c>
      <c r="W34" s="715" t="e">
        <f t="shared" si="12"/>
        <v>#N/A</v>
      </c>
      <c r="X34" s="1508"/>
      <c r="Y34" s="3448"/>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48"/>
      <c r="Q35" s="1505" t="str">
        <f t="shared" ref="Q35:Q40" si="14">B35</f>
        <v>宗地形状</v>
      </c>
      <c r="R35" s="714" t="s">
        <v>17</v>
      </c>
      <c r="S35" s="715">
        <f t="shared" si="10"/>
        <v>100</v>
      </c>
      <c r="T35" s="714" t="s">
        <v>17</v>
      </c>
      <c r="U35" s="715">
        <f t="shared" si="11"/>
        <v>100</v>
      </c>
      <c r="V35" s="714" t="s">
        <v>17</v>
      </c>
      <c r="W35" s="715">
        <f t="shared" si="12"/>
        <v>100</v>
      </c>
      <c r="X35" s="1508"/>
      <c r="Y35" s="3448"/>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48"/>
      <c r="Q36" s="1505" t="str">
        <f t="shared" si="14"/>
        <v>宗地开发程度</v>
      </c>
      <c r="R36" s="710" t="s">
        <v>17</v>
      </c>
      <c r="S36" s="711">
        <f t="shared" si="10"/>
        <v>100</v>
      </c>
      <c r="T36" s="710" t="s">
        <v>17</v>
      </c>
      <c r="U36" s="711">
        <f t="shared" si="11"/>
        <v>100</v>
      </c>
      <c r="V36" s="710" t="s">
        <v>17</v>
      </c>
      <c r="W36" s="711">
        <f t="shared" si="12"/>
        <v>100</v>
      </c>
      <c r="X36" s="712"/>
      <c r="Y36" s="3448"/>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48" t="s">
        <v>2326</v>
      </c>
      <c r="Q37" s="1505" t="str">
        <f t="shared" si="14"/>
        <v>工程地质条件</v>
      </c>
      <c r="R37" s="714" t="s">
        <v>17</v>
      </c>
      <c r="S37" s="715">
        <f t="shared" si="10"/>
        <v>100</v>
      </c>
      <c r="T37" s="714" t="s">
        <v>17</v>
      </c>
      <c r="U37" s="715">
        <f t="shared" si="11"/>
        <v>100</v>
      </c>
      <c r="V37" s="714" t="s">
        <v>17</v>
      </c>
      <c r="W37" s="715">
        <f t="shared" si="12"/>
        <v>100</v>
      </c>
      <c r="X37" s="1508"/>
      <c r="Y37" s="3448"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48"/>
      <c r="Q38" s="1505">
        <f t="shared" si="14"/>
        <v>111</v>
      </c>
      <c r="R38" s="714" t="s">
        <v>17</v>
      </c>
      <c r="S38" s="715">
        <f t="shared" si="10"/>
        <v>100</v>
      </c>
      <c r="T38" s="714" t="s">
        <v>17</v>
      </c>
      <c r="U38" s="715">
        <f t="shared" si="11"/>
        <v>100</v>
      </c>
      <c r="V38" s="714" t="s">
        <v>17</v>
      </c>
      <c r="W38" s="715">
        <f t="shared" si="12"/>
        <v>100</v>
      </c>
      <c r="X38" s="1508"/>
      <c r="Y38" s="3448"/>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48"/>
      <c r="Q39" s="1505">
        <f t="shared" si="14"/>
        <v>111</v>
      </c>
      <c r="R39" s="714" t="s">
        <v>17</v>
      </c>
      <c r="S39" s="715">
        <f t="shared" si="10"/>
        <v>100</v>
      </c>
      <c r="T39" s="714" t="s">
        <v>17</v>
      </c>
      <c r="U39" s="715">
        <f t="shared" si="11"/>
        <v>100</v>
      </c>
      <c r="V39" s="714" t="s">
        <v>17</v>
      </c>
      <c r="W39" s="715">
        <f t="shared" si="12"/>
        <v>100</v>
      </c>
      <c r="X39" s="1508"/>
      <c r="Y39" s="3448"/>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48"/>
      <c r="Q40" s="1505">
        <f t="shared" si="14"/>
        <v>111</v>
      </c>
      <c r="R40" s="717" t="s">
        <v>17</v>
      </c>
      <c r="S40" s="718">
        <f t="shared" si="10"/>
        <v>100</v>
      </c>
      <c r="T40" s="717" t="s">
        <v>17</v>
      </c>
      <c r="U40" s="718">
        <f t="shared" si="11"/>
        <v>100</v>
      </c>
      <c r="V40" s="717" t="s">
        <v>17</v>
      </c>
      <c r="W40" s="718">
        <f t="shared" si="12"/>
        <v>100</v>
      </c>
      <c r="X40" s="719"/>
      <c r="Y40" s="3448"/>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41" t="str">
        <f>A41</f>
        <v>成交单价</v>
      </c>
      <c r="Q41" s="3441"/>
      <c r="R41" s="3472">
        <f>E41</f>
        <v>0</v>
      </c>
      <c r="S41" s="3472"/>
      <c r="T41" s="3472">
        <f>G41</f>
        <v>0</v>
      </c>
      <c r="U41" s="3472"/>
      <c r="V41" s="3472">
        <f>I41</f>
        <v>0</v>
      </c>
      <c r="W41" s="3472"/>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41" t="str">
        <f>A42</f>
        <v>比较价值（元/平方米）</v>
      </c>
      <c r="Q42" s="3441"/>
      <c r="R42" s="3527" t="e">
        <f>ROUND(PRODUCT(R41,AA7:AA40),0)</f>
        <v>#DIV/0!</v>
      </c>
      <c r="S42" s="3527"/>
      <c r="T42" s="3527" t="e">
        <f>ROUND(PRODUCT(T41,AB7:AB40),0)</f>
        <v>#DIV/0!</v>
      </c>
      <c r="U42" s="3527"/>
      <c r="V42" s="3527" t="e">
        <f>ROUND(PRODUCT(V41,AC7:AC40),0)</f>
        <v>#DIV/0!</v>
      </c>
      <c r="W42" s="352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38" t="str">
        <f>A43</f>
        <v>估价对象XX用房的比较价值（楼面单价，元/平方米）</v>
      </c>
      <c r="Q43" s="3439"/>
      <c r="R43" s="3528" t="e">
        <f>ROUND(IF(D42="简单平均",AVERAGE(R42:W42),R42*F42+T42*H42+V42*J42),0)</f>
        <v>#DIV/0!</v>
      </c>
      <c r="S43" s="3528"/>
      <c r="T43" s="3528"/>
      <c r="U43" s="3528"/>
      <c r="V43" s="3528"/>
      <c r="W43" s="3528"/>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56" t="s">
        <v>2525</v>
      </c>
      <c r="H50" s="3529"/>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120.46</v>
      </c>
      <c r="F51" s="647" t="e">
        <f t="shared" ref="F51:F60" si="15">ROUND(B51*E51/10000,0)</f>
        <v>#DIV/0!</v>
      </c>
      <c r="G51" s="3452"/>
      <c r="H51" s="3441"/>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30"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30"/>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30"/>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30"/>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1"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1"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2"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4">
        <f>SUMPRODUCT((区片价!B5:B9=I2)*(区片价!C3:F3=E2)*(区片价!C5:F9))</f>
        <v>0</v>
      </c>
      <c r="N1" s="997">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1"/>
      <c r="L2" s="2158" t="s">
        <v>2578</v>
      </c>
      <c r="M2" s="995">
        <f>SUMPRODUCT((区片价!B10:B28=I2)*(区片价!C3:F3=E2)*(区片价!C10:F28))</f>
        <v>0</v>
      </c>
      <c r="N2" s="997">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2159"/>
      <c r="F3" s="2160" t="s">
        <v>2582</v>
      </c>
      <c r="G3" s="855" t="e">
        <f>IF(F3="宗地容积率",'数据-汇总表'!I4,IF(F3="估价对象容积率",'数据-汇总表'!I6,'数据-汇总表'!I7))</f>
        <v>#DIV/0!</v>
      </c>
      <c r="H3" s="175" t="s">
        <v>2583</v>
      </c>
      <c r="I3" s="881"/>
      <c r="J3" s="2157" t="s">
        <v>2584</v>
      </c>
      <c r="K3" s="1251"/>
      <c r="L3" s="2158" t="s">
        <v>2585</v>
      </c>
      <c r="M3" s="995">
        <f>SUMPRODUCT((区片价!B29:B48=I2)*(区片价!C3:F3=E2)*(区片价!C29:F48))</f>
        <v>0</v>
      </c>
      <c r="N3" s="997">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8"/>
      <c r="B4" s="3539"/>
      <c r="C4" s="3539"/>
      <c r="D4" s="3540"/>
      <c r="E4" s="3540"/>
      <c r="F4" s="3540"/>
      <c r="G4" s="3540"/>
      <c r="H4" s="3540"/>
      <c r="I4" s="3540"/>
      <c r="J4" s="3541"/>
      <c r="K4" s="1251"/>
      <c r="L4" s="2158" t="s">
        <v>2586</v>
      </c>
      <c r="M4" s="995">
        <f>SUMPRODUCT((区片价!B49:B75=I2)*(区片价!C3:F3=E2)*(区片价!C49:F75))</f>
        <v>0</v>
      </c>
      <c r="N4" s="997">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2587</v>
      </c>
      <c r="C5" s="856" t="e">
        <f>ROUND(IF(E2="商业",C6*C7+C16,(IF(E2="住宅",C6*C12+C16,C6+C16))),0)</f>
        <v>#DIV/0!</v>
      </c>
      <c r="D5" s="1492" t="e">
        <f>ROUND(C6+C16,0)</f>
        <v>#DIV/0!</v>
      </c>
      <c r="E5" s="1492"/>
      <c r="F5" s="2163"/>
      <c r="G5" s="2164"/>
      <c r="H5" s="2164"/>
      <c r="I5" s="2164"/>
      <c r="J5" s="2165"/>
      <c r="K5" s="2166"/>
      <c r="L5" s="2158" t="s">
        <v>2588</v>
      </c>
      <c r="M5" s="995">
        <f>SUMPRODUCT((区片价!B76:B109=I2)*(区片价!C3:F3=E2)*(区片价!C76:F109))</f>
        <v>0</v>
      </c>
      <c r="N5" s="997">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7"/>
      <c r="AD5" s="2168"/>
      <c r="AE5" s="2168"/>
      <c r="AF5" s="2168"/>
      <c r="AG5" s="2168"/>
      <c r="AH5" s="2168"/>
      <c r="AI5" s="2168"/>
      <c r="AJ5" s="2169"/>
    </row>
    <row r="6" spans="1:36" ht="15.75" thickBot="1">
      <c r="A6" s="2171" t="s">
        <v>2589</v>
      </c>
      <c r="B6" s="2172" t="s">
        <v>2590</v>
      </c>
      <c r="C6" s="857">
        <f>SUMIF(L1:L12,G2,M1:M12)</f>
        <v>0</v>
      </c>
      <c r="D6" s="2173" t="s">
        <v>2591</v>
      </c>
      <c r="E6" s="2174"/>
      <c r="F6" s="2174"/>
      <c r="G6" s="2175"/>
      <c r="H6" s="2175"/>
      <c r="I6" s="2175"/>
      <c r="J6" s="2176"/>
      <c r="K6" s="1537"/>
      <c r="L6" s="2158" t="s">
        <v>2592</v>
      </c>
      <c r="M6" s="995">
        <f>SUMPRODUCT((区片价!B110:B157=I2)*(区片价!C3:F3=E2)*(区片价!C110:F157))</f>
        <v>0</v>
      </c>
      <c r="N6" s="997">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7"/>
      <c r="AD6" s="2168"/>
      <c r="AE6" s="2168"/>
      <c r="AF6" s="2168"/>
      <c r="AG6" s="2168"/>
      <c r="AH6" s="2168"/>
      <c r="AI6" s="2168"/>
      <c r="AJ6" s="2169"/>
    </row>
    <row r="7" spans="1:36" ht="24">
      <c r="A7" s="3542" t="str">
        <f>IF(E2="商业",IF(C8="不临58条商业街","",2),"")</f>
        <v/>
      </c>
      <c r="B7" s="2177" t="s">
        <v>2593</v>
      </c>
      <c r="C7" s="858" t="e">
        <f>IF(C8="不临58条商业街",1,ROUND(1+(1.6*E8+1.2*E9+0.8*E10+0.4*E11)*C9,4))</f>
        <v>#DIV/0!</v>
      </c>
      <c r="D7" s="2178" t="s">
        <v>2594</v>
      </c>
      <c r="E7" s="882"/>
      <c r="F7" s="2179"/>
      <c r="G7" s="2180"/>
      <c r="H7" s="2180"/>
      <c r="I7" s="2180"/>
      <c r="J7" s="2181"/>
      <c r="K7" s="1537"/>
      <c r="L7" s="2158" t="s">
        <v>2595</v>
      </c>
      <c r="M7" s="995">
        <f>SUMPRODUCT((区片价!B158:B205=I2)*(区片价!C3:F3=E2)*(区片价!C158:F205))</f>
        <v>0</v>
      </c>
      <c r="N7" s="997">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2596</v>
      </c>
      <c r="X7" s="1347">
        <f>G2</f>
        <v>0</v>
      </c>
      <c r="Y7" s="1347" t="s">
        <v>2597</v>
      </c>
      <c r="Z7" s="1348" t="e">
        <f>G3</f>
        <v>#DIV/0!</v>
      </c>
      <c r="AA7" s="1349"/>
      <c r="AB7" s="1349"/>
      <c r="AC7" s="1350"/>
      <c r="AD7" s="1351"/>
      <c r="AE7" s="1351"/>
      <c r="AF7" s="1351"/>
      <c r="AG7" s="1351"/>
      <c r="AH7" s="1351"/>
      <c r="AI7" s="1351"/>
      <c r="AJ7" s="1352"/>
    </row>
    <row r="8" spans="1:36" ht="15">
      <c r="A8" s="3543"/>
      <c r="B8" s="175" t="s">
        <v>2598</v>
      </c>
      <c r="C8" s="2182"/>
      <c r="D8" s="859" t="s">
        <v>139</v>
      </c>
      <c r="E8" s="860" t="e">
        <f>ROUND(C11/E7,4)</f>
        <v>#DIV/0!</v>
      </c>
      <c r="F8" s="2183" t="s">
        <v>2599</v>
      </c>
      <c r="G8" s="2184"/>
      <c r="H8" s="2184"/>
      <c r="I8" s="2184"/>
      <c r="J8" s="2185"/>
      <c r="K8" s="1251"/>
      <c r="L8" s="2158" t="s">
        <v>2600</v>
      </c>
      <c r="M8" s="995">
        <f>SUMPRODUCT((区片价!B206:B244=I2)*(区片价!C3:F3=E2)*(区片价!C206:F244))</f>
        <v>0</v>
      </c>
      <c r="N8" s="997">
        <f>SUMPRODUCT((因素修正幅度!B206:B244=I2)*(因素修正幅度!C3:F3=E2)*(因素修正幅度!C206:F244))</f>
        <v>0</v>
      </c>
      <c r="O8" s="1251"/>
      <c r="P8" s="1251"/>
      <c r="Q8" s="1251"/>
      <c r="R8" s="1345">
        <v>7</v>
      </c>
      <c r="S8" s="1346"/>
      <c r="T8" s="1345" t="e">
        <f t="shared" si="0"/>
        <v>#DIV/0!</v>
      </c>
      <c r="U8" s="1346"/>
      <c r="V8" s="1345" t="e">
        <f t="shared" si="1"/>
        <v>#DIV/0!</v>
      </c>
      <c r="W8" s="3535" t="s">
        <v>2601</v>
      </c>
      <c r="X8" s="3536"/>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c r="A9" s="3543"/>
      <c r="B9" s="175" t="s">
        <v>2614</v>
      </c>
      <c r="C9" s="861">
        <f>SUMIF(修正!C59:C119,C8,修正!E59:E119)</f>
        <v>0</v>
      </c>
      <c r="D9" s="176" t="s">
        <v>140</v>
      </c>
      <c r="E9" s="176" t="e">
        <f>ROUND(C11/E7,4)</f>
        <v>#DIV/0!</v>
      </c>
      <c r="F9" s="2183" t="s">
        <v>2615</v>
      </c>
      <c r="G9" s="2184"/>
      <c r="H9" s="2184"/>
      <c r="I9" s="2184"/>
      <c r="J9" s="2185"/>
      <c r="K9" s="1251"/>
      <c r="L9" s="2158" t="s">
        <v>2616</v>
      </c>
      <c r="M9" s="995">
        <f>SUMPRODUCT((区片价!B245:B289=I2)*(区片价!C3:F3=E2)*(区片价!C245:F289))</f>
        <v>0</v>
      </c>
      <c r="N9" s="997">
        <f>SUMPRODUCT((因素修正幅度!B245:B289=I2)*(因素修正幅度!C3:F3=E2)*(因素修正幅度!C245:F289))</f>
        <v>0</v>
      </c>
      <c r="O9" s="1251"/>
      <c r="P9" s="1251"/>
      <c r="Q9" s="1251"/>
      <c r="R9" s="1345">
        <v>8</v>
      </c>
      <c r="S9" s="1346"/>
      <c r="T9" s="1345" t="e">
        <f t="shared" si="0"/>
        <v>#DIV/0!</v>
      </c>
      <c r="U9" s="1346"/>
      <c r="V9" s="1345" t="e">
        <f t="shared" si="1"/>
        <v>#DIV/0!</v>
      </c>
      <c r="W9" s="3537"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3"/>
      <c r="B10" s="175" t="s">
        <v>2619</v>
      </c>
      <c r="C10" s="176">
        <f>SUMIF(修正!C59:C119,C8,修正!F59:F119)</f>
        <v>0</v>
      </c>
      <c r="D10" s="176" t="s">
        <v>141</v>
      </c>
      <c r="E10" s="176" t="e">
        <f>ROUND(C11/E7,4)</f>
        <v>#DIV/0!</v>
      </c>
      <c r="F10" s="2183" t="s">
        <v>2620</v>
      </c>
      <c r="G10" s="2184"/>
      <c r="H10" s="2184"/>
      <c r="I10" s="2184"/>
      <c r="J10" s="2185"/>
      <c r="K10" s="1251"/>
      <c r="L10" s="2158" t="s">
        <v>2621</v>
      </c>
      <c r="M10" s="995">
        <f>SUMPRODUCT((区片价!B290:B316=I2)*(区片价!C3:F3=E2)*(区片价!C290:F316))</f>
        <v>0</v>
      </c>
      <c r="N10" s="997">
        <f>SUMPRODUCT((因素修正幅度!B290:B316=I2)*(因素修正幅度!C3:F3=E2)*(因素修正幅度!C290:F316))</f>
        <v>0</v>
      </c>
      <c r="O10" s="1251"/>
      <c r="P10" s="1251"/>
      <c r="Q10" s="1251"/>
      <c r="R10" s="1345">
        <v>9</v>
      </c>
      <c r="S10" s="1346"/>
      <c r="T10" s="1345" t="e">
        <f t="shared" si="0"/>
        <v>#DIV/0!</v>
      </c>
      <c r="U10" s="1346"/>
      <c r="V10" s="1345" t="e">
        <f t="shared" si="1"/>
        <v>#DIV/0!</v>
      </c>
      <c r="W10" s="353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3"/>
      <c r="B11" s="2186" t="s">
        <v>2622</v>
      </c>
      <c r="C11" s="862">
        <f>C10/4</f>
        <v>0</v>
      </c>
      <c r="D11" s="862" t="s">
        <v>142</v>
      </c>
      <c r="E11" s="862" t="e">
        <f>ROUND(C11/E7,4)</f>
        <v>#DIV/0!</v>
      </c>
      <c r="F11" s="2187" t="s">
        <v>2623</v>
      </c>
      <c r="G11" s="2188"/>
      <c r="H11" s="2188"/>
      <c r="I11" s="2188"/>
      <c r="J11" s="2189"/>
      <c r="K11" s="1251"/>
      <c r="L11" s="2158" t="s">
        <v>2624</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t="e">
        <f t="shared" si="0"/>
        <v>#DIV/0!</v>
      </c>
      <c r="U11" s="1346"/>
      <c r="V11" s="1345" t="e">
        <f t="shared" si="1"/>
        <v>#DIV/0!</v>
      </c>
      <c r="W11" s="3537" t="s">
        <v>2625</v>
      </c>
      <c r="X11" s="1357" t="s">
        <v>2626</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42" t="s">
        <v>2627</v>
      </c>
      <c r="B12" s="2190" t="s">
        <v>2628</v>
      </c>
      <c r="C12" s="858">
        <f>ROUND(C15*D15*E15*F15*G15*H15*I15*J15,4)</f>
        <v>1</v>
      </c>
      <c r="D12" s="2191" t="s">
        <v>2629</v>
      </c>
      <c r="E12" s="2192"/>
      <c r="F12" s="2192"/>
      <c r="G12" s="2193"/>
      <c r="H12" s="2193"/>
      <c r="I12" s="2193"/>
      <c r="J12" s="2194"/>
      <c r="K12" s="1251"/>
      <c r="L12" s="2195" t="s">
        <v>2630</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t="e">
        <f t="shared" si="0"/>
        <v>#DIV/0!</v>
      </c>
      <c r="U12" s="1346"/>
      <c r="V12" s="1345" t="e">
        <f t="shared" si="1"/>
        <v>#DIV/0!</v>
      </c>
      <c r="W12" s="3537"/>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4"/>
      <c r="B13" s="2196" t="s">
        <v>2632</v>
      </c>
      <c r="C13" s="2197" t="s">
        <v>2633</v>
      </c>
      <c r="D13" s="1503" t="s">
        <v>2634</v>
      </c>
      <c r="E13" s="1503" t="s">
        <v>2635</v>
      </c>
      <c r="F13" s="30" t="s">
        <v>2636</v>
      </c>
      <c r="G13" s="2198" t="s">
        <v>2637</v>
      </c>
      <c r="H13" s="2198" t="s">
        <v>2637</v>
      </c>
      <c r="I13" s="2198" t="s">
        <v>2637</v>
      </c>
      <c r="J13" s="2199" t="s">
        <v>2637</v>
      </c>
      <c r="K13" s="1251"/>
      <c r="L13" s="1251"/>
      <c r="M13" s="1251"/>
      <c r="N13" s="1251"/>
      <c r="O13" s="1251"/>
      <c r="P13" s="1251"/>
      <c r="Q13" s="1251"/>
      <c r="R13" s="1345">
        <v>12</v>
      </c>
      <c r="S13" s="1346"/>
      <c r="T13" s="1345" t="e">
        <f t="shared" si="0"/>
        <v>#DIV/0!</v>
      </c>
      <c r="U13" s="1346"/>
      <c r="V13" s="1345" t="e">
        <f t="shared" si="1"/>
        <v>#DIV/0!</v>
      </c>
      <c r="W13" s="3537"/>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44"/>
      <c r="B14" s="2200"/>
      <c r="C14" s="2201"/>
      <c r="D14" s="2202"/>
      <c r="E14" s="2202"/>
      <c r="F14" s="2203"/>
      <c r="G14" s="2204" t="s">
        <v>2638</v>
      </c>
      <c r="H14" s="2205"/>
      <c r="I14" s="2206"/>
      <c r="J14" s="2207"/>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8"/>
      <c r="AE14" s="2988"/>
      <c r="AF14" s="2988"/>
      <c r="AG14" s="2988"/>
      <c r="AH14" s="2988"/>
      <c r="AI14" s="2988"/>
      <c r="AJ14" s="2989"/>
    </row>
    <row r="15" spans="1:36" ht="15.75" thickBot="1">
      <c r="A15" s="3545"/>
      <c r="B15" s="2208" t="s">
        <v>2639</v>
      </c>
      <c r="C15" s="193">
        <f>IF(C14="有",1.1,1)</f>
        <v>1</v>
      </c>
      <c r="D15" s="193">
        <f>IF(D14="有",1.1,1)</f>
        <v>1</v>
      </c>
      <c r="E15" s="193">
        <f>IF(E14="有",1.1,1)</f>
        <v>1</v>
      </c>
      <c r="F15" s="193">
        <f>IF(F14="500米范围内",1.2,IF(F14="500-1000米",1.1,1))</f>
        <v>1</v>
      </c>
      <c r="G15" s="883">
        <v>1</v>
      </c>
      <c r="H15" s="883">
        <v>1</v>
      </c>
      <c r="I15" s="883">
        <v>1</v>
      </c>
      <c r="J15" s="884">
        <v>1</v>
      </c>
      <c r="K15" s="1251"/>
      <c r="L15" s="2151"/>
      <c r="M15" s="2151"/>
      <c r="N15" s="2151"/>
      <c r="O15" s="2151"/>
      <c r="P15" s="2151"/>
      <c r="Q15" s="1251"/>
      <c r="R15" s="1345">
        <v>14</v>
      </c>
      <c r="S15" s="1346"/>
      <c r="T15" s="1345" t="e">
        <f t="shared" si="0"/>
        <v>#DIV/0!</v>
      </c>
      <c r="U15" s="1346"/>
      <c r="V15" s="1345" t="e">
        <f t="shared" si="1"/>
        <v>#DIV/0!</v>
      </c>
      <c r="W15" s="1349"/>
      <c r="X15" s="1349"/>
      <c r="Y15" s="1349"/>
      <c r="Z15" s="1349"/>
      <c r="AA15" s="1349"/>
      <c r="AB15" s="1349"/>
      <c r="AC15" s="1350"/>
      <c r="AD15" s="2988"/>
      <c r="AE15" s="2988"/>
      <c r="AF15" s="2988"/>
      <c r="AG15" s="2988"/>
      <c r="AH15" s="2988"/>
      <c r="AI15" s="2988"/>
      <c r="AJ15" s="2989"/>
    </row>
    <row r="16" spans="1:36" ht="24.6" customHeight="1">
      <c r="A16" s="3542" t="s">
        <v>2644</v>
      </c>
      <c r="B16" s="2177" t="s">
        <v>2645</v>
      </c>
      <c r="C16" s="2339" t="e">
        <f>ROUND(IF(F17="与级别开发程度一致",0,(G17-E17)/C17),0)</f>
        <v>#DIV/0!</v>
      </c>
      <c r="D16" s="3558" t="s">
        <v>2649</v>
      </c>
      <c r="E16" s="3559"/>
      <c r="F16" s="3558" t="s">
        <v>2646</v>
      </c>
      <c r="G16" s="3559"/>
      <c r="H16" s="2209"/>
      <c r="I16" s="2209"/>
      <c r="J16" s="2343"/>
      <c r="K16" s="2209"/>
      <c r="L16" s="2209"/>
      <c r="M16" s="2209"/>
      <c r="N16" s="2209"/>
      <c r="O16" s="2210"/>
      <c r="P16" s="2151"/>
      <c r="Q16" s="1251"/>
      <c r="R16" s="1345">
        <v>15</v>
      </c>
      <c r="S16" s="1346"/>
      <c r="T16" s="1345" t="e">
        <f t="shared" si="0"/>
        <v>#DIV/0!</v>
      </c>
      <c r="U16" s="1346"/>
      <c r="V16" s="1345" t="e">
        <f t="shared" si="1"/>
        <v>#DIV/0!</v>
      </c>
      <c r="W16" s="1349"/>
      <c r="X16" s="1349"/>
      <c r="Y16" s="1349"/>
      <c r="Z16" s="1349"/>
      <c r="AA16" s="1349"/>
      <c r="AB16" s="1349"/>
      <c r="AC16" s="1350"/>
      <c r="AD16" s="2988"/>
      <c r="AE16" s="2988"/>
      <c r="AF16" s="2988"/>
      <c r="AG16" s="2988"/>
      <c r="AH16" s="2988"/>
      <c r="AI16" s="2988"/>
      <c r="AJ16" s="2989"/>
    </row>
    <row r="17" spans="1:37" ht="13.5" thickBot="1">
      <c r="A17" s="3546"/>
      <c r="B17" s="2350" t="s">
        <v>2648</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7.75" thickBot="1">
      <c r="A19" s="2214" t="s">
        <v>809</v>
      </c>
      <c r="B19" s="2215" t="s">
        <v>2652</v>
      </c>
      <c r="C19" s="863" t="e">
        <f>ROUND(IF(H19="按公示增长率计算",SUMPRODUCT((地价!A3:A37=YEAR(G19)&amp;"-"&amp;ROUNDUP(MONTH(G19)/3,0))*(地价!X2:AB2=E2)*(地价!X3:AB37)),IF(H19="地价指数",M20/M19,(1+I19)^O19)),4)</f>
        <v>#VALUE!</v>
      </c>
      <c r="D19" s="2219" t="s">
        <v>2653</v>
      </c>
      <c r="E19" s="864">
        <v>41640</v>
      </c>
      <c r="F19" s="2219" t="s">
        <v>2654</v>
      </c>
      <c r="G19" s="865">
        <f>'数据-取费表'!B2</f>
        <v>44615</v>
      </c>
      <c r="H19" s="2220"/>
      <c r="I19" s="866" t="str">
        <f>IF(H19="季度增幅（自定义）",SUMIF(N21:N24,E2,O21:O24),"")</f>
        <v/>
      </c>
      <c r="J19" s="2217"/>
      <c r="K19" s="1258"/>
      <c r="L19" s="2221" t="s">
        <v>2655</v>
      </c>
      <c r="M19" s="1467">
        <f>ROUND(SUMIF(地价!B2:F2,E2,地价!B37:F37),0)</f>
        <v>0</v>
      </c>
      <c r="N19" s="2222" t="s">
        <v>2656</v>
      </c>
      <c r="O19" s="867">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2657</v>
      </c>
      <c r="C20" s="868" t="e">
        <f>ROUND(POWER(1+G20,J20-I20)*(POWER(1+G20,I20)-1)/(POWER(1+G20,J20)-1),4)</f>
        <v>#DIV/0!</v>
      </c>
      <c r="D20" s="2226" t="s">
        <v>2658</v>
      </c>
      <c r="E20" s="1474">
        <f>存贷款利率!E20/100</f>
        <v>4.3499999999999997E-2</v>
      </c>
      <c r="F20" s="2226" t="s">
        <v>2650</v>
      </c>
      <c r="G20" s="873">
        <f>SUMIF(M26:P26,E2,M28:P28)</f>
        <v>0</v>
      </c>
      <c r="H20" s="2226" t="s">
        <v>2659</v>
      </c>
      <c r="I20" s="874" t="e">
        <f>SUMIF('数据-取费表'!C6:C15,E2,'数据-取费表'!F6:F15)/COUNTIF('数据-取费表'!C6:C15,E2)</f>
        <v>#DIV/0!</v>
      </c>
      <c r="J20" s="875">
        <f>IF(E2="住宅",70,IF(E2="商业",40,50))</f>
        <v>50</v>
      </c>
      <c r="K20" s="1258"/>
      <c r="L20" s="2227" t="s">
        <v>2660</v>
      </c>
      <c r="M20" s="1468">
        <f>ROUND(SUMPRODUCT((地价!A4:A37=YEAR(G19)&amp;"-"&amp;ROUNDUP(MONTH(G19)/3,0))*(地价!B2:F2=E2)*(地价!B4:F37)),0)</f>
        <v>0</v>
      </c>
      <c r="N20" s="2228" t="s">
        <v>2661</v>
      </c>
      <c r="O20" s="2229" t="s">
        <v>2662</v>
      </c>
      <c r="P20" s="2230" t="s">
        <v>2663</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2664</v>
      </c>
      <c r="C21" s="876" t="e">
        <f>IF(B21="容积率修正",IF(G3&lt;=10,D22,J22),C23)</f>
        <v>#DIV/0!</v>
      </c>
      <c r="D21" s="2233"/>
      <c r="E21" s="2233"/>
      <c r="F21" s="2233"/>
      <c r="G21" s="2233"/>
      <c r="H21" s="2233"/>
      <c r="I21" s="2233"/>
      <c r="J21" s="2234"/>
      <c r="K21" s="1258"/>
      <c r="L21" s="2987"/>
      <c r="M21" s="2987"/>
      <c r="N21" s="2235" t="s">
        <v>2665</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2666</v>
      </c>
      <c r="B22" s="2236" t="s">
        <v>2667</v>
      </c>
      <c r="C22" s="1505" t="s">
        <v>2668</v>
      </c>
      <c r="D22" s="1505" t="e">
        <f>IF(E22=G22,F22,IF(G3&lt;=10,ROUND(F22+(H22-F22)*(G3-E22)/(G22-E22),4),"——"))</f>
        <v>#DIV/0!</v>
      </c>
      <c r="E22" s="855"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7" t="e">
        <f>IF(G3&gt;10,D113,"——")</f>
        <v>#DIV/0!</v>
      </c>
      <c r="K22" s="1258"/>
      <c r="L22" s="2987"/>
      <c r="M22" s="2987"/>
      <c r="N22" s="2235" t="s">
        <v>2669</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2670</v>
      </c>
      <c r="B23" s="2237" t="s">
        <v>2671</v>
      </c>
      <c r="C23" s="950" t="e">
        <f>ROUND(IF(G3&gt;1,IF(I3&lt;7,SUMPRODUCT((B93:B98=I3)*(C92:N92=G2)*(C93:N98)),SUMIF(C92:N92,G2,C100:N100)),IF(I3&lt;7,SUMPRODUCT((B102:B107=I3)*(C92:N92=G2)*(C102:N107)),SUMIF(C92:N92,G2,C109:N109))),4)</f>
        <v>#DIV/0!</v>
      </c>
      <c r="D23" s="2205"/>
      <c r="E23" s="2205"/>
      <c r="F23" s="2238"/>
      <c r="G23" s="2239"/>
      <c r="H23" s="2240"/>
      <c r="I23" s="2241"/>
      <c r="J23" s="2242"/>
      <c r="K23" s="1251"/>
      <c r="L23" s="2151"/>
      <c r="M23" s="2151"/>
      <c r="N23" s="2235" t="s">
        <v>2672</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2673</v>
      </c>
      <c r="C24" s="863">
        <f>SUMIF(A45:A88,E2,B45:B88)</f>
        <v>0</v>
      </c>
      <c r="D24" s="2216"/>
      <c r="E24" s="2243"/>
      <c r="F24" s="2243"/>
      <c r="G24" s="2243"/>
      <c r="H24" s="2243"/>
      <c r="I24" s="2243"/>
      <c r="J24" s="2244"/>
      <c r="K24" s="1258"/>
      <c r="L24" s="2987"/>
      <c r="M24" s="2987"/>
      <c r="N24" s="2245" t="s">
        <v>2674</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2675</v>
      </c>
      <c r="C25" s="869"/>
      <c r="D25" s="2180"/>
      <c r="E25" s="2180"/>
      <c r="F25" s="2247"/>
      <c r="G25" s="2180"/>
      <c r="H25" s="2180"/>
      <c r="I25" s="2180"/>
      <c r="J25" s="2181"/>
      <c r="K25" s="1251"/>
      <c r="L25" s="2151"/>
      <c r="M25" s="2151"/>
      <c r="N25" s="2982" t="s">
        <v>2676</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1"/>
      <c r="L26" s="2985" t="s">
        <v>2575</v>
      </c>
      <c r="M26" s="2178" t="s">
        <v>2640</v>
      </c>
      <c r="N26" s="2178" t="s">
        <v>2641</v>
      </c>
      <c r="O26" s="2178" t="s">
        <v>2642</v>
      </c>
      <c r="P26" s="2986" t="s">
        <v>2643</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2678</v>
      </c>
      <c r="C27" s="870" t="e">
        <f>E30+SUM(I33:I39)</f>
        <v>#DIV/0!</v>
      </c>
      <c r="D27" s="2253"/>
      <c r="E27" s="2254"/>
      <c r="F27" s="2255"/>
      <c r="G27" s="2254"/>
      <c r="H27" s="2254"/>
      <c r="I27" s="2254"/>
      <c r="J27" s="2256"/>
      <c r="K27" s="1251"/>
      <c r="L27" s="2211" t="s">
        <v>2647</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1"/>
      <c r="L28" s="2212" t="s">
        <v>2650</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2683</v>
      </c>
      <c r="C29" s="180" t="e">
        <f>ROUND(C5*C18*C19*C20*C21*C24,0)</f>
        <v>#DIV/0!</v>
      </c>
      <c r="D29" s="2264"/>
      <c r="E29" s="879" t="e">
        <f>ROUND(C29*D29/10000,0)</f>
        <v>#DIV/0!</v>
      </c>
      <c r="F29" s="2265" t="s">
        <v>2684</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2685</v>
      </c>
      <c r="C30" s="193" t="e">
        <f>ROUND(IF(E2="工业",C29*M39,C29*M38),0)</f>
        <v>#DIV/0!</v>
      </c>
      <c r="D30" s="2270"/>
      <c r="E30" s="879" t="e">
        <f>ROUND(C30*D30/10000,0)</f>
        <v>#DIV/0!</v>
      </c>
      <c r="F30" s="2271" t="s">
        <v>2686</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2687</v>
      </c>
      <c r="C31" s="2276" t="s">
        <v>2688</v>
      </c>
      <c r="D31" s="2193"/>
      <c r="E31" s="2276"/>
      <c r="F31" s="2276"/>
      <c r="G31" s="2191" t="s">
        <v>2689</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2680</v>
      </c>
      <c r="D32" s="455" t="s">
        <v>2681</v>
      </c>
      <c r="E32" s="455" t="s">
        <v>2682</v>
      </c>
      <c r="F32" s="348" t="s">
        <v>2690</v>
      </c>
      <c r="G32" s="2279" t="s">
        <v>2680</v>
      </c>
      <c r="H32" s="2279" t="s">
        <v>2681</v>
      </c>
      <c r="I32" s="2279" t="s">
        <v>2682</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55"/>
      <c r="B33" s="2280" t="s">
        <v>2691</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60"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556"/>
      <c r="B34" s="2197" t="s">
        <v>2692</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5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56"/>
      <c r="B35" s="2197" t="s">
        <v>2693</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5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557"/>
      <c r="B36" s="2197" t="s">
        <v>2694</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57"/>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2695</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1"/>
      <c r="L37" s="2283" t="s">
        <v>2696</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2697</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1"/>
      <c r="L38" s="1574" t="s">
        <v>2698</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2699</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1"/>
      <c r="L39" s="2288" t="s">
        <v>2643</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t="e">
        <f>ROUND(POWER(1+E41,H41-G41)*(POWER(1+E41,G41)-1)/(POWER(1+E41,H41)-1),4)</f>
        <v>#DIV/0!</v>
      </c>
      <c r="D41" s="176" t="s">
        <v>2650</v>
      </c>
      <c r="E41" s="2337">
        <f>G20</f>
        <v>0</v>
      </c>
      <c r="F41" s="176" t="s">
        <v>2659</v>
      </c>
      <c r="G41" s="189"/>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2700</v>
      </c>
      <c r="B45" s="2292"/>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3" t="s">
        <v>2701</v>
      </c>
      <c r="B46" s="2294">
        <f>1+E48</f>
        <v>1</v>
      </c>
      <c r="C46" s="2295"/>
      <c r="D46" s="753"/>
      <c r="E46" s="754"/>
      <c r="F46" s="2296"/>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7" t="s">
        <v>2702</v>
      </c>
      <c r="B47" s="1504" t="s">
        <v>2703</v>
      </c>
      <c r="C47" s="1504" t="s">
        <v>2704</v>
      </c>
      <c r="D47" s="1504" t="s">
        <v>2705</v>
      </c>
      <c r="E47" s="758" t="s">
        <v>2706</v>
      </c>
      <c r="F47" s="2298" t="s">
        <v>2707</v>
      </c>
      <c r="G47" s="1504" t="s">
        <v>754</v>
      </c>
      <c r="H47" s="2299" t="s">
        <v>2708</v>
      </c>
      <c r="I47" s="1504" t="s">
        <v>2709</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2710</v>
      </c>
      <c r="B48" s="2300" t="str">
        <f>估价对象房地状况!C4</f>
        <v>估价对象位于XX商圈，周边商业氛围成熟，人流量大，商业繁华度好</v>
      </c>
      <c r="C48" s="2202"/>
      <c r="D48" s="1195">
        <f t="shared" ref="D48:D56" si="10">SUMIF($J$47:$N$47,C48,J48:N48)</f>
        <v>0</v>
      </c>
      <c r="E48" s="760">
        <f>ROUND(SUM(D48:D56),4)</f>
        <v>0</v>
      </c>
      <c r="F48" s="196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2711</v>
      </c>
      <c r="B49" s="2301" t="str">
        <f>估价对象房地状况!C18</f>
        <v>估价对象周边道路状况、公共交通通达情况、停车便捷程度，综合评价交通便捷度较好</v>
      </c>
      <c r="C49" s="2202"/>
      <c r="D49" s="1195">
        <f t="shared" si="10"/>
        <v>0</v>
      </c>
      <c r="E49" s="761"/>
      <c r="F49" s="1969"/>
      <c r="G49" s="1193"/>
      <c r="H49" s="1197" t="str">
        <f t="shared" si="11"/>
        <v>——</v>
      </c>
      <c r="I49" s="759">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2712</v>
      </c>
      <c r="B50" s="2301">
        <f>估价对象房地状况!C19</f>
        <v>0</v>
      </c>
      <c r="C50" s="2202"/>
      <c r="D50" s="1195">
        <f t="shared" si="10"/>
        <v>0</v>
      </c>
      <c r="E50" s="761"/>
      <c r="F50" s="1969"/>
      <c r="G50" s="1193"/>
      <c r="H50" s="1197" t="str">
        <f t="shared" si="11"/>
        <v>——</v>
      </c>
      <c r="I50" s="759">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2713</v>
      </c>
      <c r="B51" s="2302" t="s">
        <v>2714</v>
      </c>
      <c r="C51" s="2202"/>
      <c r="D51" s="1195">
        <f t="shared" si="10"/>
        <v>0</v>
      </c>
      <c r="E51" s="761"/>
      <c r="F51" s="1969"/>
      <c r="G51" s="1193"/>
      <c r="H51" s="1197" t="str">
        <f t="shared" si="11"/>
        <v>——</v>
      </c>
      <c r="I51" s="759">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2715</v>
      </c>
      <c r="B52" s="2301">
        <f>估价对象房地状况!C24</f>
        <v>0</v>
      </c>
      <c r="C52" s="2202"/>
      <c r="D52" s="1195">
        <f t="shared" si="10"/>
        <v>0</v>
      </c>
      <c r="E52" s="761"/>
      <c r="F52" s="1969"/>
      <c r="G52" s="1193"/>
      <c r="H52" s="1197" t="str">
        <f t="shared" si="11"/>
        <v>——</v>
      </c>
      <c r="I52" s="759">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2716</v>
      </c>
      <c r="B53" s="2303" t="s">
        <v>2717</v>
      </c>
      <c r="C53" s="2202"/>
      <c r="D53" s="1195">
        <f t="shared" si="10"/>
        <v>0</v>
      </c>
      <c r="E53" s="761"/>
      <c r="F53" s="1969"/>
      <c r="G53" s="1193"/>
      <c r="H53" s="1197" t="str">
        <f t="shared" si="11"/>
        <v>——</v>
      </c>
      <c r="I53" s="759">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2718</v>
      </c>
      <c r="B54" s="1465" t="str">
        <f>估价对象房地状况!C21</f>
        <v>估价对象所在区域公共配套设施齐备情况</v>
      </c>
      <c r="C54" s="2202"/>
      <c r="D54" s="1195">
        <f t="shared" si="10"/>
        <v>0</v>
      </c>
      <c r="E54" s="761"/>
      <c r="F54" s="1969"/>
      <c r="G54" s="1193"/>
      <c r="H54" s="1197" t="str">
        <f t="shared" si="11"/>
        <v>——</v>
      </c>
      <c r="I54" s="759">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2719</v>
      </c>
      <c r="B55" s="2301" t="str">
        <f>估价对象房地状况!C22</f>
        <v>估价对象所在区域基础设施水平</v>
      </c>
      <c r="C55" s="2202"/>
      <c r="D55" s="1195">
        <f t="shared" si="10"/>
        <v>0</v>
      </c>
      <c r="E55" s="761"/>
      <c r="F55" s="1969"/>
      <c r="G55" s="1193"/>
      <c r="H55" s="1197" t="str">
        <f t="shared" si="11"/>
        <v>——</v>
      </c>
      <c r="I55" s="759">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2720</v>
      </c>
      <c r="B56" s="2306" t="str">
        <f>估价对象房地状况!C20</f>
        <v>区域自然环境：；人文环境；综合评价环境状况一般</v>
      </c>
      <c r="C56" s="2202"/>
      <c r="D56" s="1195">
        <f t="shared" si="10"/>
        <v>0</v>
      </c>
      <c r="E56" s="764"/>
      <c r="F56" s="1969"/>
      <c r="G56" s="1193"/>
      <c r="H56" s="1197" t="str">
        <f t="shared" si="11"/>
        <v>——</v>
      </c>
      <c r="I56" s="763">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2721</v>
      </c>
      <c r="B57" s="2294">
        <f>1+E59</f>
        <v>1</v>
      </c>
      <c r="C57" s="753"/>
      <c r="D57" s="753"/>
      <c r="E57" s="754"/>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2702</v>
      </c>
      <c r="B58" s="1504"/>
      <c r="C58" s="1504" t="s">
        <v>2704</v>
      </c>
      <c r="D58" s="1504" t="s">
        <v>2705</v>
      </c>
      <c r="E58" s="758" t="s">
        <v>2706</v>
      </c>
      <c r="F58" s="2298" t="s">
        <v>2722</v>
      </c>
      <c r="G58" s="1504" t="s">
        <v>754</v>
      </c>
      <c r="H58" s="2299" t="s">
        <v>2708</v>
      </c>
      <c r="I58" s="1504" t="s">
        <v>2709</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2723</v>
      </c>
      <c r="B59" s="2300" t="str">
        <f>估价对象房地状况!C17</f>
        <v>估价对象位于XX商圈，周边办公楼项目较多，入驻率高，办公集聚程度较好</v>
      </c>
      <c r="C59" s="2202"/>
      <c r="D59" s="1195">
        <f t="shared" ref="D59:D67" si="15">SUMIF($J$58:$N$58,C59,J59:N59)</f>
        <v>0</v>
      </c>
      <c r="E59" s="760">
        <f>ROUND(SUM(D59:D67),4)</f>
        <v>0</v>
      </c>
      <c r="F59" s="196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2711</v>
      </c>
      <c r="B60" s="2301" t="str">
        <f>估价对象房地状况!C18</f>
        <v>估价对象周边道路状况、公共交通通达情况、停车便捷程度，综合评价交通便捷度较好</v>
      </c>
      <c r="C60" s="2202"/>
      <c r="D60" s="1195">
        <f t="shared" si="15"/>
        <v>0</v>
      </c>
      <c r="E60" s="761"/>
      <c r="F60" s="1969"/>
      <c r="G60" s="1193"/>
      <c r="H60" s="1197" t="str">
        <f t="shared" si="16"/>
        <v>——</v>
      </c>
      <c r="I60" s="759">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2712</v>
      </c>
      <c r="B61" s="2301">
        <f>估价对象房地状况!C19</f>
        <v>0</v>
      </c>
      <c r="C61" s="2202"/>
      <c r="D61" s="1195">
        <f t="shared" si="15"/>
        <v>0</v>
      </c>
      <c r="E61" s="761"/>
      <c r="F61" s="1969"/>
      <c r="G61" s="1193"/>
      <c r="H61" s="1197" t="str">
        <f t="shared" si="16"/>
        <v>——</v>
      </c>
      <c r="I61" s="759">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2713</v>
      </c>
      <c r="B62" s="2302" t="s">
        <v>2714</v>
      </c>
      <c r="C62" s="2202"/>
      <c r="D62" s="1195">
        <f t="shared" si="15"/>
        <v>0</v>
      </c>
      <c r="E62" s="761"/>
      <c r="F62" s="1969"/>
      <c r="G62" s="1193"/>
      <c r="H62" s="1197" t="str">
        <f t="shared" si="16"/>
        <v>——</v>
      </c>
      <c r="I62" s="759">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2715</v>
      </c>
      <c r="B63" s="2301">
        <f>估价对象房地状况!C24</f>
        <v>0</v>
      </c>
      <c r="C63" s="2202"/>
      <c r="D63" s="1195">
        <f t="shared" si="15"/>
        <v>0</v>
      </c>
      <c r="E63" s="761"/>
      <c r="F63" s="1969"/>
      <c r="G63" s="1193"/>
      <c r="H63" s="1197" t="str">
        <f t="shared" si="16"/>
        <v>——</v>
      </c>
      <c r="I63" s="759">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2716</v>
      </c>
      <c r="B64" s="2303" t="s">
        <v>2717</v>
      </c>
      <c r="C64" s="2202"/>
      <c r="D64" s="1195">
        <f t="shared" si="15"/>
        <v>0</v>
      </c>
      <c r="E64" s="761"/>
      <c r="F64" s="1969"/>
      <c r="G64" s="1193"/>
      <c r="H64" s="1197" t="str">
        <f t="shared" si="16"/>
        <v>——</v>
      </c>
      <c r="I64" s="759">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2718</v>
      </c>
      <c r="B65" s="1465" t="str">
        <f>估价对象房地状况!C21</f>
        <v>估价对象所在区域公共配套设施齐备情况</v>
      </c>
      <c r="C65" s="2202"/>
      <c r="D65" s="1195">
        <f t="shared" si="15"/>
        <v>0</v>
      </c>
      <c r="E65" s="761"/>
      <c r="F65" s="1969"/>
      <c r="G65" s="1193"/>
      <c r="H65" s="1197" t="str">
        <f t="shared" si="16"/>
        <v>——</v>
      </c>
      <c r="I65" s="759">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2719</v>
      </c>
      <c r="B66" s="1465" t="str">
        <f>估价对象房地状况!C22</f>
        <v>估价对象所在区域基础设施水平</v>
      </c>
      <c r="C66" s="2202"/>
      <c r="D66" s="1195">
        <f t="shared" si="15"/>
        <v>0</v>
      </c>
      <c r="E66" s="761"/>
      <c r="F66" s="1969"/>
      <c r="G66" s="1193"/>
      <c r="H66" s="1197" t="str">
        <f t="shared" si="16"/>
        <v>——</v>
      </c>
      <c r="I66" s="759">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2720</v>
      </c>
      <c r="B67" s="2307" t="str">
        <f>估价对象房地状况!C20</f>
        <v>区域自然环境：；人文环境；综合评价环境状况一般</v>
      </c>
      <c r="C67" s="2202"/>
      <c r="D67" s="1195">
        <f t="shared" si="15"/>
        <v>0</v>
      </c>
      <c r="E67" s="764"/>
      <c r="F67" s="1969"/>
      <c r="G67" s="1193"/>
      <c r="H67" s="1197" t="str">
        <f t="shared" si="16"/>
        <v>——</v>
      </c>
      <c r="I67" s="763">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2724</v>
      </c>
      <c r="B68" s="2294">
        <f>1+E70</f>
        <v>1</v>
      </c>
      <c r="C68" s="753"/>
      <c r="D68" s="753"/>
      <c r="E68" s="754"/>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2702</v>
      </c>
      <c r="B69" s="1504"/>
      <c r="C69" s="1504" t="s">
        <v>2704</v>
      </c>
      <c r="D69" s="1504" t="s">
        <v>2705</v>
      </c>
      <c r="E69" s="758" t="s">
        <v>2706</v>
      </c>
      <c r="F69" s="2298" t="s">
        <v>2722</v>
      </c>
      <c r="G69" s="1504" t="s">
        <v>754</v>
      </c>
      <c r="H69" s="2299" t="s">
        <v>2708</v>
      </c>
      <c r="I69" s="1504" t="s">
        <v>2709</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2725</v>
      </c>
      <c r="B70" s="2300" t="str">
        <f>估价对象房地状况!C15</f>
        <v>估价对象周边居住用地比例、居住小区规模和社区发展完善程度，综合评价居住社区成熟度一般</v>
      </c>
      <c r="C70" s="2202"/>
      <c r="D70" s="1195">
        <f t="shared" ref="D70:D78" si="20">SUMIF($J$69:$N$69,C70,J70:N70)</f>
        <v>0</v>
      </c>
      <c r="E70" s="760">
        <f>ROUND(SUM(D70:D78),4)</f>
        <v>0</v>
      </c>
      <c r="F70" s="1969"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2711</v>
      </c>
      <c r="B71" s="2301" t="str">
        <f>估价对象房地状况!C18</f>
        <v>估价对象周边道路状况、公共交通通达情况、停车便捷程度，综合评价交通便捷度较好</v>
      </c>
      <c r="C71" s="2202"/>
      <c r="D71" s="1195">
        <f t="shared" si="20"/>
        <v>0</v>
      </c>
      <c r="E71" s="765"/>
      <c r="F71" s="1969"/>
      <c r="G71" s="1193"/>
      <c r="H71" s="1197" t="str">
        <f t="shared" si="21"/>
        <v>——</v>
      </c>
      <c r="I71" s="759">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2712</v>
      </c>
      <c r="B72" s="2301">
        <f>估价对象房地状况!C19</f>
        <v>0</v>
      </c>
      <c r="C72" s="2202"/>
      <c r="D72" s="1195">
        <f t="shared" si="20"/>
        <v>0</v>
      </c>
      <c r="E72" s="765"/>
      <c r="F72" s="1969"/>
      <c r="G72" s="1193"/>
      <c r="H72" s="1197" t="str">
        <f t="shared" si="21"/>
        <v>——</v>
      </c>
      <c r="I72" s="759">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2726</v>
      </c>
      <c r="B73" s="2301">
        <f>估价对象房地状况!C24</f>
        <v>0</v>
      </c>
      <c r="C73" s="2202"/>
      <c r="D73" s="1195">
        <f t="shared" si="20"/>
        <v>0</v>
      </c>
      <c r="E73" s="765"/>
      <c r="F73" s="1969"/>
      <c r="G73" s="1193"/>
      <c r="H73" s="1197" t="str">
        <f t="shared" si="21"/>
        <v>——</v>
      </c>
      <c r="I73" s="759">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2718</v>
      </c>
      <c r="B74" s="1465" t="str">
        <f>估价对象房地状况!C21</f>
        <v>估价对象所在区域公共配套设施齐备情况</v>
      </c>
      <c r="C74" s="2202"/>
      <c r="D74" s="1195">
        <f t="shared" si="20"/>
        <v>0</v>
      </c>
      <c r="E74" s="765"/>
      <c r="F74" s="1969"/>
      <c r="G74" s="1193"/>
      <c r="H74" s="1197" t="str">
        <f t="shared" si="21"/>
        <v>——</v>
      </c>
      <c r="I74" s="759">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2719</v>
      </c>
      <c r="B75" s="1465" t="str">
        <f>估价对象房地状况!C22</f>
        <v>估价对象所在区域基础设施水平</v>
      </c>
      <c r="C75" s="2202"/>
      <c r="D75" s="1195">
        <f t="shared" si="20"/>
        <v>0</v>
      </c>
      <c r="E75" s="765"/>
      <c r="F75" s="1969"/>
      <c r="G75" s="1193"/>
      <c r="H75" s="1197" t="str">
        <f t="shared" si="21"/>
        <v>——</v>
      </c>
      <c r="I75" s="759">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2716</v>
      </c>
      <c r="B76" s="2303" t="s">
        <v>2717</v>
      </c>
      <c r="C76" s="2202"/>
      <c r="D76" s="1195">
        <f t="shared" si="20"/>
        <v>0</v>
      </c>
      <c r="E76" s="765"/>
      <c r="F76" s="1969"/>
      <c r="G76" s="1193"/>
      <c r="H76" s="1197" t="str">
        <f t="shared" si="21"/>
        <v>——</v>
      </c>
      <c r="I76" s="759">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2720</v>
      </c>
      <c r="B77" s="2300" t="str">
        <f>估价对象房地状况!C20</f>
        <v>区域自然环境：；人文环境；综合评价环境状况一般</v>
      </c>
      <c r="C77" s="2202"/>
      <c r="D77" s="1195">
        <f t="shared" si="20"/>
        <v>0</v>
      </c>
      <c r="E77" s="765"/>
      <c r="F77" s="1969"/>
      <c r="G77" s="1193"/>
      <c r="H77" s="1197" t="str">
        <f t="shared" si="21"/>
        <v>——</v>
      </c>
      <c r="I77" s="759">
        <v>0.15</v>
      </c>
      <c r="J77" s="1194">
        <f t="shared" si="22"/>
        <v>0</v>
      </c>
      <c r="K77" s="1194">
        <f t="shared" si="23"/>
        <v>0</v>
      </c>
      <c r="L77" s="1194">
        <v>0</v>
      </c>
      <c r="M77" s="1194">
        <f t="shared" si="24"/>
        <v>0</v>
      </c>
      <c r="N77" s="1194">
        <f t="shared" si="24"/>
        <v>0</v>
      </c>
      <c r="Z77" s="2152"/>
      <c r="AA77" s="2218"/>
      <c r="AG77" s="1253"/>
      <c r="AK77" s="2218"/>
    </row>
    <row r="78" spans="1:37" ht="24.75" thickBot="1">
      <c r="A78" s="2305" t="s">
        <v>2727</v>
      </c>
      <c r="B78" s="2309"/>
      <c r="C78" s="2202"/>
      <c r="D78" s="1195">
        <f t="shared" si="20"/>
        <v>0</v>
      </c>
      <c r="E78" s="766"/>
      <c r="F78" s="1969"/>
      <c r="G78" s="1193"/>
      <c r="H78" s="1197" t="str">
        <f t="shared" si="21"/>
        <v>——</v>
      </c>
      <c r="I78" s="763">
        <v>0.04</v>
      </c>
      <c r="J78" s="1194">
        <f t="shared" si="22"/>
        <v>0</v>
      </c>
      <c r="K78" s="1194">
        <f t="shared" si="23"/>
        <v>0</v>
      </c>
      <c r="L78" s="1194">
        <v>0</v>
      </c>
      <c r="M78" s="1194">
        <f t="shared" si="24"/>
        <v>0</v>
      </c>
      <c r="N78" s="1194">
        <f t="shared" si="24"/>
        <v>0</v>
      </c>
      <c r="Z78" s="2152"/>
      <c r="AA78" s="2218"/>
      <c r="AG78" s="1253"/>
      <c r="AK78" s="2218"/>
    </row>
    <row r="79" spans="1:37" ht="15">
      <c r="A79" s="2293" t="s">
        <v>2728</v>
      </c>
      <c r="B79" s="2294">
        <f>1+E81</f>
        <v>1</v>
      </c>
      <c r="C79" s="753"/>
      <c r="D79" s="753"/>
      <c r="E79" s="754"/>
      <c r="F79" s="2296"/>
      <c r="G79" s="6"/>
      <c r="H79" s="6"/>
      <c r="I79" s="6"/>
      <c r="J79" s="7"/>
      <c r="K79" s="7"/>
      <c r="L79" s="7"/>
      <c r="M79" s="7"/>
      <c r="N79" s="7"/>
      <c r="Z79" s="2152"/>
      <c r="AA79" s="2218"/>
      <c r="AG79" s="1253"/>
      <c r="AK79" s="2218"/>
    </row>
    <row r="80" spans="1:37" ht="24.75">
      <c r="A80" s="2297" t="s">
        <v>2702</v>
      </c>
      <c r="B80" s="1504"/>
      <c r="C80" s="1504" t="s">
        <v>2704</v>
      </c>
      <c r="D80" s="1504" t="s">
        <v>2705</v>
      </c>
      <c r="E80" s="758" t="s">
        <v>2706</v>
      </c>
      <c r="F80" s="2298" t="s">
        <v>2722</v>
      </c>
      <c r="G80" s="1504" t="s">
        <v>754</v>
      </c>
      <c r="H80" s="2299" t="s">
        <v>2708</v>
      </c>
      <c r="I80" s="1504" t="s">
        <v>2709</v>
      </c>
      <c r="J80" s="560" t="s">
        <v>2358</v>
      </c>
      <c r="K80" s="560" t="s">
        <v>2359</v>
      </c>
      <c r="L80" s="560" t="s">
        <v>2360</v>
      </c>
      <c r="M80" s="560" t="s">
        <v>2361</v>
      </c>
      <c r="N80" s="560" t="s">
        <v>2362</v>
      </c>
      <c r="Z80" s="2152"/>
      <c r="AA80" s="2218"/>
      <c r="AG80" s="1253"/>
      <c r="AK80" s="2218"/>
    </row>
    <row r="81" spans="1:37" ht="38.25">
      <c r="A81" s="2297" t="s">
        <v>2729</v>
      </c>
      <c r="B81" s="2301" t="str">
        <f>估价对象房地状况!G15</f>
        <v>估价对象位于XX开发区，园区建设成熟度XX，产业集聚程度XX</v>
      </c>
      <c r="C81" s="2202"/>
      <c r="D81" s="1195">
        <f t="shared" ref="D81:D88" si="25">SUMIF($J$80:$N$80,C81,J81:N81)</f>
        <v>0</v>
      </c>
      <c r="E81" s="760">
        <f>ROUND(SUM(D81:D88),4)</f>
        <v>0</v>
      </c>
      <c r="F81" s="1969"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51">
      <c r="A82" s="2297" t="s">
        <v>2711</v>
      </c>
      <c r="B82" s="2301" t="str">
        <f>估价对象房地状况!G16</f>
        <v>估价对象周边道路状况、公共交通通达情况、停车便捷程度，综合评价交通便捷度较好</v>
      </c>
      <c r="C82" s="2202"/>
      <c r="D82" s="1195">
        <f t="shared" si="25"/>
        <v>0</v>
      </c>
      <c r="E82" s="765"/>
      <c r="F82" s="1969"/>
      <c r="G82" s="1193"/>
      <c r="H82" s="1197" t="str">
        <f t="shared" si="26"/>
        <v>——</v>
      </c>
      <c r="I82" s="759">
        <v>0.33</v>
      </c>
      <c r="J82" s="1194">
        <f t="shared" si="27"/>
        <v>0</v>
      </c>
      <c r="K82" s="1194">
        <f t="shared" si="28"/>
        <v>0</v>
      </c>
      <c r="L82" s="1194">
        <v>0</v>
      </c>
      <c r="M82" s="1194">
        <f t="shared" si="29"/>
        <v>0</v>
      </c>
      <c r="N82" s="1194">
        <f t="shared" si="29"/>
        <v>0</v>
      </c>
      <c r="Z82" s="2152"/>
      <c r="AA82" s="2218"/>
      <c r="AG82" s="1253"/>
      <c r="AK82" s="2218"/>
    </row>
    <row r="83" spans="1:37" ht="24">
      <c r="A83" s="2297" t="s">
        <v>2712</v>
      </c>
      <c r="B83" s="2301">
        <f>估价对象房地状况!G17</f>
        <v>0</v>
      </c>
      <c r="C83" s="2202"/>
      <c r="D83" s="1195">
        <f t="shared" si="25"/>
        <v>0</v>
      </c>
      <c r="E83" s="765"/>
      <c r="F83" s="1969"/>
      <c r="G83" s="1193"/>
      <c r="H83" s="1197" t="str">
        <f t="shared" si="26"/>
        <v>——</v>
      </c>
      <c r="I83" s="759">
        <v>0.05</v>
      </c>
      <c r="J83" s="1194">
        <f t="shared" si="27"/>
        <v>0</v>
      </c>
      <c r="K83" s="1194">
        <f t="shared" si="28"/>
        <v>0</v>
      </c>
      <c r="L83" s="1194">
        <v>0</v>
      </c>
      <c r="M83" s="1194">
        <f t="shared" si="29"/>
        <v>0</v>
      </c>
      <c r="N83" s="1194">
        <f t="shared" si="29"/>
        <v>0</v>
      </c>
      <c r="Z83" s="2152"/>
      <c r="AA83" s="2218"/>
      <c r="AG83" s="1253"/>
      <c r="AK83" s="2218"/>
    </row>
    <row r="84" spans="1:37" ht="14.25">
      <c r="A84" s="2297" t="s">
        <v>2726</v>
      </c>
      <c r="B84" s="2301">
        <f>估价对象房地状况!G22</f>
        <v>0</v>
      </c>
      <c r="C84" s="2202"/>
      <c r="D84" s="1195">
        <f t="shared" si="25"/>
        <v>0</v>
      </c>
      <c r="E84" s="765"/>
      <c r="F84" s="1969"/>
      <c r="G84" s="1193"/>
      <c r="H84" s="1197" t="str">
        <f t="shared" si="26"/>
        <v>——</v>
      </c>
      <c r="I84" s="759">
        <v>0.04</v>
      </c>
      <c r="J84" s="1194">
        <f t="shared" si="27"/>
        <v>0</v>
      </c>
      <c r="K84" s="1194">
        <f t="shared" si="28"/>
        <v>0</v>
      </c>
      <c r="L84" s="1194">
        <v>0</v>
      </c>
      <c r="M84" s="1194">
        <f t="shared" si="29"/>
        <v>0</v>
      </c>
      <c r="N84" s="1194">
        <f t="shared" si="29"/>
        <v>0</v>
      </c>
      <c r="Z84" s="2152"/>
      <c r="AA84" s="2218"/>
      <c r="AG84" s="1253"/>
      <c r="AK84" s="2218"/>
    </row>
    <row r="85" spans="1:37" ht="25.5">
      <c r="A85" s="2297" t="s">
        <v>2718</v>
      </c>
      <c r="B85" s="1465" t="str">
        <f>估价对象房地状况!G19</f>
        <v>估价对象所在区域公共配套设施齐备情况</v>
      </c>
      <c r="C85" s="2202"/>
      <c r="D85" s="1195">
        <f t="shared" si="25"/>
        <v>0</v>
      </c>
      <c r="E85" s="765"/>
      <c r="F85" s="1969"/>
      <c r="G85" s="1193"/>
      <c r="H85" s="1197" t="str">
        <f t="shared" si="26"/>
        <v>——</v>
      </c>
      <c r="I85" s="759">
        <v>0.06</v>
      </c>
      <c r="J85" s="1194">
        <f t="shared" si="27"/>
        <v>0</v>
      </c>
      <c r="K85" s="1194">
        <f t="shared" si="28"/>
        <v>0</v>
      </c>
      <c r="L85" s="1194">
        <v>0</v>
      </c>
      <c r="M85" s="1194">
        <f t="shared" si="29"/>
        <v>0</v>
      </c>
      <c r="N85" s="1194">
        <f t="shared" si="29"/>
        <v>0</v>
      </c>
      <c r="Z85" s="2152"/>
      <c r="AA85" s="2218"/>
      <c r="AG85" s="1253"/>
      <c r="AK85" s="2218"/>
    </row>
    <row r="86" spans="1:37" ht="25.5">
      <c r="A86" s="2297" t="s">
        <v>2719</v>
      </c>
      <c r="B86" s="1465" t="str">
        <f>估价对象房地状况!G20</f>
        <v>估价对象所在区域基础设施水平</v>
      </c>
      <c r="C86" s="2202"/>
      <c r="D86" s="1195">
        <f t="shared" si="25"/>
        <v>0</v>
      </c>
      <c r="E86" s="765"/>
      <c r="F86" s="1969"/>
      <c r="G86" s="1193"/>
      <c r="H86" s="1197" t="str">
        <f t="shared" si="26"/>
        <v>——</v>
      </c>
      <c r="I86" s="759">
        <v>0.15</v>
      </c>
      <c r="J86" s="1194">
        <f t="shared" si="27"/>
        <v>0</v>
      </c>
      <c r="K86" s="1194">
        <f t="shared" si="28"/>
        <v>0</v>
      </c>
      <c r="L86" s="1194">
        <v>0</v>
      </c>
      <c r="M86" s="1194">
        <f t="shared" si="29"/>
        <v>0</v>
      </c>
      <c r="N86" s="1194">
        <f t="shared" si="29"/>
        <v>0</v>
      </c>
      <c r="Z86" s="2152"/>
      <c r="AA86" s="2218"/>
      <c r="AG86" s="1253"/>
      <c r="AK86" s="2218"/>
    </row>
    <row r="87" spans="1:37" ht="24">
      <c r="A87" s="2297" t="s">
        <v>2716</v>
      </c>
      <c r="B87" s="2303" t="s">
        <v>2730</v>
      </c>
      <c r="C87" s="2202"/>
      <c r="D87" s="1195">
        <f t="shared" si="25"/>
        <v>0</v>
      </c>
      <c r="E87" s="765"/>
      <c r="F87" s="1969"/>
      <c r="G87" s="1193"/>
      <c r="H87" s="1197" t="str">
        <f t="shared" si="26"/>
        <v>——</v>
      </c>
      <c r="I87" s="759">
        <v>0.05</v>
      </c>
      <c r="J87" s="1194">
        <f t="shared" si="27"/>
        <v>0</v>
      </c>
      <c r="K87" s="1194">
        <f t="shared" si="28"/>
        <v>0</v>
      </c>
      <c r="L87" s="1194">
        <v>0</v>
      </c>
      <c r="M87" s="1194">
        <f t="shared" si="29"/>
        <v>0</v>
      </c>
      <c r="N87" s="1194">
        <f t="shared" si="29"/>
        <v>0</v>
      </c>
      <c r="Z87" s="2152"/>
      <c r="AA87" s="2218"/>
      <c r="AG87" s="1253"/>
      <c r="AK87" s="2218"/>
    </row>
    <row r="88" spans="1:37" ht="39" thickBot="1">
      <c r="A88" s="2305" t="s">
        <v>2731</v>
      </c>
      <c r="B88" s="2310" t="str">
        <f>估价对象房地状况!G18</f>
        <v>该园区内是否有污染型企业，绿化情况，卫生条件，整体环境状况判断</v>
      </c>
      <c r="C88" s="2202"/>
      <c r="D88" s="1195">
        <f t="shared" si="25"/>
        <v>0</v>
      </c>
      <c r="E88" s="766"/>
      <c r="F88" s="1969"/>
      <c r="G88" s="1193"/>
      <c r="H88" s="1197" t="str">
        <f t="shared" si="26"/>
        <v>——</v>
      </c>
      <c r="I88" s="763">
        <v>0.06</v>
      </c>
      <c r="J88" s="1194">
        <f t="shared" si="27"/>
        <v>0</v>
      </c>
      <c r="K88" s="1194">
        <f t="shared" si="28"/>
        <v>0</v>
      </c>
      <c r="L88" s="1194">
        <v>0</v>
      </c>
      <c r="M88" s="1194">
        <f t="shared" si="29"/>
        <v>0</v>
      </c>
      <c r="N88" s="1194">
        <f t="shared" si="29"/>
        <v>0</v>
      </c>
      <c r="Z88" s="2152"/>
      <c r="AA88" s="2218"/>
      <c r="AG88" s="1253"/>
      <c r="AK88" s="2218"/>
    </row>
    <row r="90" spans="1:37">
      <c r="A90" s="3547" t="s">
        <v>2732</v>
      </c>
      <c r="B90" s="3547"/>
      <c r="C90" s="3547"/>
      <c r="D90" s="3547"/>
      <c r="E90" s="3547"/>
      <c r="F90" s="3547"/>
      <c r="G90" s="3547"/>
      <c r="H90" s="3547"/>
      <c r="I90" s="3547"/>
      <c r="J90" s="3547"/>
      <c r="K90" s="2311"/>
      <c r="L90" s="2311"/>
      <c r="M90" s="2311"/>
      <c r="N90" s="2311"/>
    </row>
    <row r="91" spans="1:37">
      <c r="A91" s="3549" t="s">
        <v>2733</v>
      </c>
      <c r="B91" s="3549" t="s">
        <v>2734</v>
      </c>
      <c r="C91" s="2265" t="s">
        <v>2735</v>
      </c>
      <c r="D91" s="2266"/>
      <c r="E91" s="2266"/>
      <c r="F91" s="2266"/>
      <c r="G91" s="2266"/>
      <c r="H91" s="2266"/>
      <c r="I91" s="2266"/>
      <c r="J91" s="2312"/>
      <c r="K91" s="2313"/>
      <c r="L91" s="2313"/>
      <c r="M91" s="2313"/>
      <c r="N91" s="2313"/>
    </row>
    <row r="92" spans="1:37">
      <c r="A92" s="3549"/>
      <c r="B92" s="3549"/>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50"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5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5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5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5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5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51"/>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5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50" t="s">
        <v>2737</v>
      </c>
      <c r="B101" s="2318" t="s">
        <v>2738</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51"/>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51"/>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51"/>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51"/>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51"/>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51"/>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51"/>
      <c r="B108" s="3553"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52"/>
      <c r="B109" s="3554"/>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48" t="s">
        <v>2740</v>
      </c>
      <c r="B110" s="3548"/>
      <c r="C110" s="3548"/>
      <c r="D110" s="3548"/>
      <c r="E110" s="3548"/>
      <c r="F110" s="3548"/>
      <c r="G110" s="3548"/>
      <c r="H110" s="3548"/>
      <c r="I110" s="3548"/>
      <c r="J110" s="3548"/>
      <c r="K110" s="2320"/>
      <c r="L110" s="2320"/>
      <c r="M110" s="2320"/>
      <c r="N110" s="2320"/>
    </row>
    <row r="112" spans="1:14" ht="13.5" thickBot="1"/>
    <row r="113" spans="1:13" ht="25.5" thickBot="1">
      <c r="A113" s="842" t="s">
        <v>2741</v>
      </c>
      <c r="B113" s="1196" t="e">
        <f>G3</f>
        <v>#DIV/0!</v>
      </c>
      <c r="C113" s="843" t="s">
        <v>2742</v>
      </c>
      <c r="D113" s="844" t="e">
        <f>SUMPRODUCT((A115:A118=F113)*(B114:M114=H113)*B115:M118)</f>
        <v>#DIV/0!</v>
      </c>
      <c r="E113" s="2156" t="s">
        <v>2575</v>
      </c>
      <c r="F113" s="2322">
        <f>E2</f>
        <v>0</v>
      </c>
      <c r="G113" s="2156" t="s">
        <v>2576</v>
      </c>
      <c r="H113" s="2322">
        <f>G2</f>
        <v>0</v>
      </c>
      <c r="I113" s="2156"/>
      <c r="J113" s="2323"/>
      <c r="K113" s="2323"/>
      <c r="L113" s="2323"/>
      <c r="M113" s="2323"/>
    </row>
    <row r="114" spans="1:13">
      <c r="A114" s="847"/>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1" t="s">
        <v>183</v>
      </c>
      <c r="B18" s="821" t="s">
        <v>560</v>
      </c>
      <c r="C18" s="822" t="s">
        <v>561</v>
      </c>
      <c r="D18" s="823"/>
      <c r="E18" s="821">
        <v>1</v>
      </c>
      <c r="F18" s="824" t="s">
        <v>562</v>
      </c>
      <c r="G18" s="825"/>
      <c r="H18" s="817"/>
      <c r="I18" s="817"/>
    </row>
    <row r="19" spans="1:9" s="826" customFormat="1" ht="19.5" customHeight="1">
      <c r="A19" s="3561"/>
      <c r="B19" s="3561" t="s">
        <v>563</v>
      </c>
      <c r="C19" s="822" t="s">
        <v>564</v>
      </c>
      <c r="D19" s="823"/>
      <c r="E19" s="821">
        <v>0.9</v>
      </c>
      <c r="F19" s="824" t="s">
        <v>565</v>
      </c>
      <c r="G19" s="825"/>
      <c r="H19" s="817"/>
      <c r="I19" s="817"/>
    </row>
    <row r="20" spans="1:9" s="826" customFormat="1" ht="19.5" customHeight="1">
      <c r="A20" s="3561"/>
      <c r="B20" s="3561"/>
      <c r="C20" s="822" t="s">
        <v>566</v>
      </c>
      <c r="D20" s="823"/>
      <c r="E20" s="821">
        <v>1.1000000000000001</v>
      </c>
      <c r="F20" s="824" t="s">
        <v>567</v>
      </c>
      <c r="G20" s="825"/>
      <c r="H20" s="817"/>
      <c r="I20" s="817"/>
    </row>
    <row r="21" spans="1:9" s="826" customFormat="1" ht="19.5" customHeight="1">
      <c r="A21" s="3561"/>
      <c r="B21" s="3561"/>
      <c r="C21" s="822" t="s">
        <v>568</v>
      </c>
      <c r="D21" s="823"/>
      <c r="E21" s="821">
        <v>0.8</v>
      </c>
      <c r="F21" s="824" t="s">
        <v>569</v>
      </c>
      <c r="G21" s="825"/>
      <c r="H21" s="817"/>
      <c r="I21" s="817"/>
    </row>
    <row r="22" spans="1:9" s="826" customFormat="1" ht="19.5" customHeight="1">
      <c r="A22" s="3561"/>
      <c r="B22" s="3561"/>
      <c r="C22" s="822" t="s">
        <v>570</v>
      </c>
      <c r="D22" s="823"/>
      <c r="E22" s="821">
        <v>0.5</v>
      </c>
      <c r="F22" s="824"/>
      <c r="G22" s="825"/>
      <c r="H22" s="817"/>
      <c r="I22" s="817"/>
    </row>
    <row r="23" spans="1:9" s="826" customFormat="1" ht="19.5" customHeight="1">
      <c r="A23" s="3561" t="s">
        <v>184</v>
      </c>
      <c r="B23" s="821" t="s">
        <v>560</v>
      </c>
      <c r="C23" s="822" t="s">
        <v>571</v>
      </c>
      <c r="D23" s="823"/>
      <c r="E23" s="821">
        <v>1</v>
      </c>
      <c r="F23" s="824" t="s">
        <v>572</v>
      </c>
      <c r="G23" s="825"/>
      <c r="H23" s="817"/>
      <c r="I23" s="817"/>
    </row>
    <row r="24" spans="1:9" s="826" customFormat="1" ht="19.5" customHeight="1">
      <c r="A24" s="3561"/>
      <c r="B24" s="3561" t="s">
        <v>563</v>
      </c>
      <c r="C24" s="822" t="s">
        <v>573</v>
      </c>
      <c r="D24" s="823"/>
      <c r="E24" s="821">
        <v>0.5</v>
      </c>
      <c r="F24" s="824"/>
      <c r="G24" s="825"/>
      <c r="H24" s="817"/>
      <c r="I24" s="817"/>
    </row>
    <row r="25" spans="1:9" s="826" customFormat="1" ht="19.5" customHeight="1">
      <c r="A25" s="3561"/>
      <c r="B25" s="3561"/>
      <c r="C25" s="822" t="s">
        <v>574</v>
      </c>
      <c r="D25" s="823"/>
      <c r="E25" s="821">
        <v>1.1000000000000001</v>
      </c>
      <c r="F25" s="824"/>
      <c r="G25" s="825"/>
      <c r="H25" s="817"/>
      <c r="I25" s="817"/>
    </row>
    <row r="26" spans="1:9" s="826" customFormat="1" ht="19.5" customHeight="1">
      <c r="A26" s="3561"/>
      <c r="B26" s="3561"/>
      <c r="C26" s="822" t="s">
        <v>575</v>
      </c>
      <c r="D26" s="823"/>
      <c r="E26" s="821">
        <v>1.1000000000000001</v>
      </c>
      <c r="F26" s="824"/>
      <c r="G26" s="825"/>
      <c r="H26" s="817"/>
      <c r="I26" s="817"/>
    </row>
    <row r="27" spans="1:9" s="826" customFormat="1" ht="19.5" customHeight="1">
      <c r="A27" s="3561"/>
      <c r="B27" s="3561"/>
      <c r="C27" s="822" t="s">
        <v>576</v>
      </c>
      <c r="D27" s="823"/>
      <c r="E27" s="821">
        <v>0.9</v>
      </c>
      <c r="F27" s="824" t="s">
        <v>577</v>
      </c>
      <c r="G27" s="825"/>
      <c r="H27" s="817"/>
      <c r="I27" s="817"/>
    </row>
    <row r="28" spans="1:9" s="826" customFormat="1" ht="19.5" customHeight="1">
      <c r="A28" s="3561"/>
      <c r="B28" s="3561"/>
      <c r="C28" s="822" t="s">
        <v>578</v>
      </c>
      <c r="D28" s="823"/>
      <c r="E28" s="821">
        <v>0.9</v>
      </c>
      <c r="F28" s="824" t="s">
        <v>579</v>
      </c>
      <c r="G28" s="825"/>
      <c r="H28" s="817"/>
      <c r="I28" s="817"/>
    </row>
    <row r="29" spans="1:9" s="826" customFormat="1" ht="19.5" customHeight="1">
      <c r="A29" s="3561"/>
      <c r="B29" s="3561"/>
      <c r="C29" s="822" t="s">
        <v>580</v>
      </c>
      <c r="D29" s="823"/>
      <c r="E29" s="821">
        <v>0.9</v>
      </c>
      <c r="F29" s="824" t="s">
        <v>581</v>
      </c>
      <c r="G29" s="825"/>
      <c r="H29" s="817"/>
      <c r="I29" s="817"/>
    </row>
    <row r="30" spans="1:9" s="826" customFormat="1" ht="19.5" customHeight="1">
      <c r="A30" s="3561"/>
      <c r="B30" s="3561"/>
      <c r="C30" s="822" t="s">
        <v>582</v>
      </c>
      <c r="D30" s="823"/>
      <c r="E30" s="821">
        <v>0.9</v>
      </c>
      <c r="F30" s="824" t="s">
        <v>583</v>
      </c>
      <c r="G30" s="825"/>
      <c r="H30" s="817"/>
      <c r="I30" s="817"/>
    </row>
    <row r="31" spans="1:9" s="826" customFormat="1" ht="19.5" customHeight="1">
      <c r="A31" s="3561"/>
      <c r="B31" s="3561"/>
      <c r="C31" s="822" t="s">
        <v>584</v>
      </c>
      <c r="D31" s="823"/>
      <c r="E31" s="821">
        <v>0.8</v>
      </c>
      <c r="F31" s="824" t="s">
        <v>585</v>
      </c>
      <c r="G31" s="825"/>
      <c r="H31" s="817"/>
      <c r="I31" s="817"/>
    </row>
    <row r="32" spans="1:9" s="826" customFormat="1" ht="19.5" customHeight="1">
      <c r="A32" s="3561"/>
      <c r="B32" s="3561"/>
      <c r="C32" s="822" t="s">
        <v>586</v>
      </c>
      <c r="D32" s="823"/>
      <c r="E32" s="821">
        <v>0.8</v>
      </c>
      <c r="F32" s="824" t="s">
        <v>587</v>
      </c>
      <c r="G32" s="825"/>
      <c r="H32" s="817"/>
      <c r="I32" s="817"/>
    </row>
    <row r="33" spans="1:9" s="826" customFormat="1" ht="19.5" customHeight="1">
      <c r="A33" s="3561" t="s">
        <v>185</v>
      </c>
      <c r="B33" s="821" t="s">
        <v>560</v>
      </c>
      <c r="C33" s="822" t="s">
        <v>588</v>
      </c>
      <c r="D33" s="823"/>
      <c r="E33" s="821">
        <v>1</v>
      </c>
      <c r="F33" s="824" t="s">
        <v>589</v>
      </c>
      <c r="G33" s="825"/>
      <c r="H33" s="817"/>
      <c r="I33" s="817"/>
    </row>
    <row r="34" spans="1:9" s="826" customFormat="1" ht="19.5" customHeight="1">
      <c r="A34" s="3561"/>
      <c r="B34" s="821" t="s">
        <v>563</v>
      </c>
      <c r="C34" s="822" t="s">
        <v>590</v>
      </c>
      <c r="D34" s="823"/>
      <c r="E34" s="821">
        <v>1.5</v>
      </c>
      <c r="F34" s="824" t="s">
        <v>591</v>
      </c>
      <c r="G34" s="825"/>
      <c r="H34" s="817"/>
      <c r="I34" s="817"/>
    </row>
    <row r="35" spans="1:9" s="826" customFormat="1" ht="19.5" customHeight="1">
      <c r="A35" s="3561" t="s">
        <v>186</v>
      </c>
      <c r="B35" s="821" t="s">
        <v>560</v>
      </c>
      <c r="C35" s="822" t="s">
        <v>592</v>
      </c>
      <c r="D35" s="823"/>
      <c r="E35" s="821">
        <v>1</v>
      </c>
      <c r="F35" s="824" t="s">
        <v>593</v>
      </c>
      <c r="G35" s="825"/>
      <c r="H35" s="817"/>
      <c r="I35" s="817"/>
    </row>
    <row r="36" spans="1:9" s="826" customFormat="1" ht="19.5" customHeight="1">
      <c r="A36" s="3561"/>
      <c r="B36" s="3561" t="s">
        <v>563</v>
      </c>
      <c r="C36" s="822" t="s">
        <v>594</v>
      </c>
      <c r="D36" s="823"/>
      <c r="E36" s="821">
        <v>1</v>
      </c>
      <c r="F36" s="824" t="s">
        <v>595</v>
      </c>
      <c r="G36" s="825"/>
      <c r="H36" s="817"/>
      <c r="I36" s="817"/>
    </row>
    <row r="37" spans="1:9" s="826" customFormat="1" ht="19.5" customHeight="1">
      <c r="A37" s="3561"/>
      <c r="B37" s="3561"/>
      <c r="C37" s="822" t="s">
        <v>596</v>
      </c>
      <c r="D37" s="823"/>
      <c r="E37" s="821">
        <v>1.5</v>
      </c>
      <c r="F37" s="824" t="s">
        <v>597</v>
      </c>
      <c r="G37" s="825"/>
      <c r="H37" s="817"/>
      <c r="I37" s="817"/>
    </row>
    <row r="38" spans="1:9" s="826" customFormat="1" ht="19.5" customHeight="1">
      <c r="A38" s="3561"/>
      <c r="B38" s="3561"/>
      <c r="C38" s="822" t="s">
        <v>598</v>
      </c>
      <c r="D38" s="823"/>
      <c r="E38" s="821">
        <v>1</v>
      </c>
      <c r="F38" s="824" t="s">
        <v>599</v>
      </c>
      <c r="G38" s="825"/>
      <c r="H38" s="817"/>
      <c r="I38" s="817"/>
    </row>
    <row r="39" spans="1:9" s="826" customFormat="1" ht="19.5" customHeight="1">
      <c r="A39" s="3561"/>
      <c r="B39" s="356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1" t="s">
        <v>614</v>
      </c>
      <c r="C61" s="757" t="s">
        <v>615</v>
      </c>
      <c r="D61" s="757" t="s">
        <v>616</v>
      </c>
      <c r="E61" s="834">
        <v>0.5</v>
      </c>
      <c r="F61" s="821">
        <v>80</v>
      </c>
    </row>
    <row r="62" spans="1:8" s="817" customFormat="1" ht="24">
      <c r="A62" s="821">
        <v>2</v>
      </c>
      <c r="B62" s="3561"/>
      <c r="C62" s="757" t="s">
        <v>617</v>
      </c>
      <c r="D62" s="757" t="s">
        <v>618</v>
      </c>
      <c r="E62" s="834">
        <v>0.5</v>
      </c>
      <c r="F62" s="821">
        <v>80</v>
      </c>
    </row>
    <row r="63" spans="1:8" s="817" customFormat="1" ht="36">
      <c r="A63" s="821">
        <v>3</v>
      </c>
      <c r="B63" s="3561"/>
      <c r="C63" s="757" t="s">
        <v>619</v>
      </c>
      <c r="D63" s="757" t="s">
        <v>620</v>
      </c>
      <c r="E63" s="834">
        <v>0.5</v>
      </c>
      <c r="F63" s="821">
        <v>80</v>
      </c>
    </row>
    <row r="64" spans="1:8" s="817" customFormat="1" ht="36">
      <c r="A64" s="821">
        <v>4</v>
      </c>
      <c r="B64" s="3561"/>
      <c r="C64" s="757" t="s">
        <v>621</v>
      </c>
      <c r="D64" s="757" t="s">
        <v>622</v>
      </c>
      <c r="E64" s="834">
        <v>0.4</v>
      </c>
      <c r="F64" s="821">
        <v>60</v>
      </c>
    </row>
    <row r="65" spans="1:6" s="817" customFormat="1" ht="36">
      <c r="A65" s="821">
        <v>5</v>
      </c>
      <c r="B65" s="3561"/>
      <c r="C65" s="757" t="s">
        <v>623</v>
      </c>
      <c r="D65" s="757" t="s">
        <v>624</v>
      </c>
      <c r="E65" s="834">
        <v>0.2</v>
      </c>
      <c r="F65" s="821">
        <v>30</v>
      </c>
    </row>
    <row r="66" spans="1:6" s="817" customFormat="1" ht="36">
      <c r="A66" s="821">
        <v>6</v>
      </c>
      <c r="B66" s="3561"/>
      <c r="C66" s="757" t="s">
        <v>625</v>
      </c>
      <c r="D66" s="757" t="s">
        <v>626</v>
      </c>
      <c r="E66" s="834">
        <v>0.3</v>
      </c>
      <c r="F66" s="821">
        <v>50</v>
      </c>
    </row>
    <row r="67" spans="1:6" s="817" customFormat="1" ht="36">
      <c r="A67" s="821">
        <v>7</v>
      </c>
      <c r="B67" s="3561"/>
      <c r="C67" s="757" t="s">
        <v>627</v>
      </c>
      <c r="D67" s="757" t="s">
        <v>628</v>
      </c>
      <c r="E67" s="834">
        <v>0.2</v>
      </c>
      <c r="F67" s="821">
        <v>30</v>
      </c>
    </row>
    <row r="68" spans="1:6" s="817" customFormat="1" ht="36">
      <c r="A68" s="821">
        <v>8</v>
      </c>
      <c r="B68" s="3561"/>
      <c r="C68" s="757" t="s">
        <v>629</v>
      </c>
      <c r="D68" s="757" t="s">
        <v>630</v>
      </c>
      <c r="E68" s="834">
        <v>0.2</v>
      </c>
      <c r="F68" s="821">
        <v>30</v>
      </c>
    </row>
    <row r="69" spans="1:6" s="817" customFormat="1" ht="36">
      <c r="A69" s="821">
        <v>9</v>
      </c>
      <c r="B69" s="3561"/>
      <c r="C69" s="757" t="s">
        <v>631</v>
      </c>
      <c r="D69" s="757" t="s">
        <v>632</v>
      </c>
      <c r="E69" s="834">
        <v>0.2</v>
      </c>
      <c r="F69" s="821">
        <v>30</v>
      </c>
    </row>
    <row r="70" spans="1:6" s="817" customFormat="1" ht="48">
      <c r="A70" s="821">
        <v>10</v>
      </c>
      <c r="B70" s="3561"/>
      <c r="C70" s="757" t="s">
        <v>633</v>
      </c>
      <c r="D70" s="757" t="s">
        <v>634</v>
      </c>
      <c r="E70" s="834">
        <v>0.2</v>
      </c>
      <c r="F70" s="821">
        <v>30</v>
      </c>
    </row>
    <row r="71" spans="1:6" s="817" customFormat="1" ht="48">
      <c r="A71" s="821">
        <v>11</v>
      </c>
      <c r="B71" s="3561"/>
      <c r="C71" s="757" t="s">
        <v>635</v>
      </c>
      <c r="D71" s="757" t="s">
        <v>636</v>
      </c>
      <c r="E71" s="834">
        <v>0.2</v>
      </c>
      <c r="F71" s="821">
        <v>30</v>
      </c>
    </row>
    <row r="72" spans="1:6" s="817" customFormat="1" ht="36">
      <c r="A72" s="821">
        <v>12</v>
      </c>
      <c r="B72" s="3561"/>
      <c r="C72" s="757" t="s">
        <v>637</v>
      </c>
      <c r="D72" s="757" t="s">
        <v>638</v>
      </c>
      <c r="E72" s="834">
        <v>0.5</v>
      </c>
      <c r="F72" s="821">
        <v>80</v>
      </c>
    </row>
    <row r="73" spans="1:6" s="817" customFormat="1" ht="24">
      <c r="A73" s="821">
        <v>13</v>
      </c>
      <c r="B73" s="3561"/>
      <c r="C73" s="757" t="s">
        <v>639</v>
      </c>
      <c r="D73" s="757" t="s">
        <v>640</v>
      </c>
      <c r="E73" s="834">
        <v>0.4</v>
      </c>
      <c r="F73" s="821">
        <v>60</v>
      </c>
    </row>
    <row r="74" spans="1:6" s="817" customFormat="1" ht="24">
      <c r="A74" s="821">
        <v>14</v>
      </c>
      <c r="B74" s="3561"/>
      <c r="C74" s="757" t="s">
        <v>641</v>
      </c>
      <c r="D74" s="757" t="s">
        <v>642</v>
      </c>
      <c r="E74" s="834">
        <v>0.2</v>
      </c>
      <c r="F74" s="821">
        <v>30</v>
      </c>
    </row>
    <row r="75" spans="1:6" s="817" customFormat="1" ht="24">
      <c r="A75" s="821">
        <v>15</v>
      </c>
      <c r="B75" s="3561"/>
      <c r="C75" s="757" t="s">
        <v>643</v>
      </c>
      <c r="D75" s="757" t="s">
        <v>644</v>
      </c>
      <c r="E75" s="834">
        <v>0.2</v>
      </c>
      <c r="F75" s="821">
        <v>30</v>
      </c>
    </row>
    <row r="76" spans="1:6" s="817" customFormat="1" ht="24">
      <c r="A76" s="821">
        <v>16</v>
      </c>
      <c r="B76" s="3561" t="s">
        <v>645</v>
      </c>
      <c r="C76" s="757" t="s">
        <v>646</v>
      </c>
      <c r="D76" s="757" t="s">
        <v>647</v>
      </c>
      <c r="E76" s="834">
        <v>0.5</v>
      </c>
      <c r="F76" s="821">
        <v>80</v>
      </c>
    </row>
    <row r="77" spans="1:6" s="817" customFormat="1" ht="24">
      <c r="A77" s="821">
        <v>17</v>
      </c>
      <c r="B77" s="3561"/>
      <c r="C77" s="757" t="s">
        <v>648</v>
      </c>
      <c r="D77" s="757" t="s">
        <v>649</v>
      </c>
      <c r="E77" s="834">
        <v>0.5</v>
      </c>
      <c r="F77" s="821">
        <v>80</v>
      </c>
    </row>
    <row r="78" spans="1:6" s="817" customFormat="1" ht="24">
      <c r="A78" s="821">
        <v>18</v>
      </c>
      <c r="B78" s="3561"/>
      <c r="C78" s="757" t="s">
        <v>650</v>
      </c>
      <c r="D78" s="757" t="s">
        <v>651</v>
      </c>
      <c r="E78" s="834">
        <v>0.2</v>
      </c>
      <c r="F78" s="821">
        <v>30</v>
      </c>
    </row>
    <row r="79" spans="1:6" s="817" customFormat="1" ht="24">
      <c r="A79" s="821">
        <v>19</v>
      </c>
      <c r="B79" s="3561"/>
      <c r="C79" s="757" t="s">
        <v>652</v>
      </c>
      <c r="D79" s="757" t="s">
        <v>653</v>
      </c>
      <c r="E79" s="834">
        <v>0.5</v>
      </c>
      <c r="F79" s="821">
        <v>80</v>
      </c>
    </row>
    <row r="80" spans="1:6" s="817" customFormat="1" ht="36">
      <c r="A80" s="821">
        <v>20</v>
      </c>
      <c r="B80" s="3561"/>
      <c r="C80" s="757" t="s">
        <v>654</v>
      </c>
      <c r="D80" s="757" t="s">
        <v>655</v>
      </c>
      <c r="E80" s="834">
        <v>0.2</v>
      </c>
      <c r="F80" s="821">
        <v>30</v>
      </c>
    </row>
    <row r="81" spans="1:6" s="817" customFormat="1" ht="36">
      <c r="A81" s="821">
        <v>21</v>
      </c>
      <c r="B81" s="3561"/>
      <c r="C81" s="757" t="s">
        <v>656</v>
      </c>
      <c r="D81" s="757" t="s">
        <v>657</v>
      </c>
      <c r="E81" s="834">
        <v>0.2</v>
      </c>
      <c r="F81" s="821">
        <v>30</v>
      </c>
    </row>
    <row r="82" spans="1:6" s="817" customFormat="1" ht="48">
      <c r="A82" s="821">
        <v>22</v>
      </c>
      <c r="B82" s="3561"/>
      <c r="C82" s="757" t="s">
        <v>658</v>
      </c>
      <c r="D82" s="757" t="s">
        <v>659</v>
      </c>
      <c r="E82" s="834">
        <v>0.2</v>
      </c>
      <c r="F82" s="821">
        <v>30</v>
      </c>
    </row>
    <row r="83" spans="1:6" s="817" customFormat="1" ht="48">
      <c r="A83" s="821">
        <v>23</v>
      </c>
      <c r="B83" s="3561"/>
      <c r="C83" s="757" t="s">
        <v>660</v>
      </c>
      <c r="D83" s="757" t="s">
        <v>661</v>
      </c>
      <c r="E83" s="834">
        <v>0.2</v>
      </c>
      <c r="F83" s="821">
        <v>30</v>
      </c>
    </row>
    <row r="84" spans="1:6" s="817" customFormat="1" ht="36">
      <c r="A84" s="821">
        <v>24</v>
      </c>
      <c r="B84" s="3561"/>
      <c r="C84" s="757" t="s">
        <v>662</v>
      </c>
      <c r="D84" s="757" t="s">
        <v>663</v>
      </c>
      <c r="E84" s="834">
        <v>0.2</v>
      </c>
      <c r="F84" s="821">
        <v>30</v>
      </c>
    </row>
    <row r="85" spans="1:6" s="817" customFormat="1" ht="36">
      <c r="A85" s="821">
        <v>25</v>
      </c>
      <c r="B85" s="3561"/>
      <c r="C85" s="757" t="s">
        <v>664</v>
      </c>
      <c r="D85" s="757" t="s">
        <v>665</v>
      </c>
      <c r="E85" s="834">
        <v>0.5</v>
      </c>
      <c r="F85" s="821">
        <v>80</v>
      </c>
    </row>
    <row r="86" spans="1:6" s="817" customFormat="1" ht="36">
      <c r="A86" s="821">
        <v>26</v>
      </c>
      <c r="B86" s="3561"/>
      <c r="C86" s="757" t="s">
        <v>666</v>
      </c>
      <c r="D86" s="757" t="s">
        <v>667</v>
      </c>
      <c r="E86" s="834">
        <v>0.2</v>
      </c>
      <c r="F86" s="821">
        <v>30</v>
      </c>
    </row>
    <row r="87" spans="1:6" s="817" customFormat="1" ht="36">
      <c r="A87" s="821">
        <v>27</v>
      </c>
      <c r="B87" s="3561"/>
      <c r="C87" s="757" t="s">
        <v>668</v>
      </c>
      <c r="D87" s="757" t="s">
        <v>669</v>
      </c>
      <c r="E87" s="834">
        <v>0.2</v>
      </c>
      <c r="F87" s="821">
        <v>30</v>
      </c>
    </row>
    <row r="88" spans="1:6" s="817" customFormat="1" ht="36">
      <c r="A88" s="821">
        <v>28</v>
      </c>
      <c r="B88" s="3561"/>
      <c r="C88" s="757" t="s">
        <v>670</v>
      </c>
      <c r="D88" s="757" t="s">
        <v>671</v>
      </c>
      <c r="E88" s="834">
        <v>0.2</v>
      </c>
      <c r="F88" s="821">
        <v>30</v>
      </c>
    </row>
    <row r="89" spans="1:6" s="817" customFormat="1" ht="24">
      <c r="A89" s="821">
        <v>29</v>
      </c>
      <c r="B89" s="3561"/>
      <c r="C89" s="757" t="s">
        <v>672</v>
      </c>
      <c r="D89" s="757" t="s">
        <v>673</v>
      </c>
      <c r="E89" s="834">
        <v>0.2</v>
      </c>
      <c r="F89" s="821">
        <v>30</v>
      </c>
    </row>
    <row r="90" spans="1:6" s="817" customFormat="1" ht="24">
      <c r="A90" s="821">
        <v>30</v>
      </c>
      <c r="B90" s="3561"/>
      <c r="C90" s="757" t="s">
        <v>674</v>
      </c>
      <c r="D90" s="757" t="s">
        <v>675</v>
      </c>
      <c r="E90" s="834">
        <v>0.2</v>
      </c>
      <c r="F90" s="821">
        <v>30</v>
      </c>
    </row>
    <row r="91" spans="1:6" s="817" customFormat="1" ht="36">
      <c r="A91" s="821">
        <v>31</v>
      </c>
      <c r="B91" s="3561"/>
      <c r="C91" s="757" t="s">
        <v>676</v>
      </c>
      <c r="D91" s="757" t="s">
        <v>677</v>
      </c>
      <c r="E91" s="834">
        <v>0.2</v>
      </c>
      <c r="F91" s="821">
        <v>30</v>
      </c>
    </row>
    <row r="92" spans="1:6" s="817" customFormat="1" ht="24">
      <c r="A92" s="821">
        <v>32</v>
      </c>
      <c r="B92" s="3561" t="s">
        <v>678</v>
      </c>
      <c r="C92" s="821" t="s">
        <v>679</v>
      </c>
      <c r="D92" s="757" t="s">
        <v>680</v>
      </c>
      <c r="E92" s="834">
        <v>0.2</v>
      </c>
      <c r="F92" s="821">
        <v>30</v>
      </c>
    </row>
    <row r="93" spans="1:6" s="817" customFormat="1" ht="36">
      <c r="A93" s="821">
        <v>33</v>
      </c>
      <c r="B93" s="3561"/>
      <c r="C93" s="821" t="s">
        <v>681</v>
      </c>
      <c r="D93" s="757" t="s">
        <v>682</v>
      </c>
      <c r="E93" s="834">
        <v>0.2</v>
      </c>
      <c r="F93" s="821">
        <v>30</v>
      </c>
    </row>
    <row r="94" spans="1:6" s="817" customFormat="1" ht="48">
      <c r="A94" s="821">
        <v>34</v>
      </c>
      <c r="B94" s="3561"/>
      <c r="C94" s="821" t="s">
        <v>683</v>
      </c>
      <c r="D94" s="757" t="s">
        <v>684</v>
      </c>
      <c r="E94" s="834">
        <v>0.2</v>
      </c>
      <c r="F94" s="821">
        <v>30</v>
      </c>
    </row>
    <row r="95" spans="1:6" s="817" customFormat="1" ht="36">
      <c r="A95" s="821">
        <v>35</v>
      </c>
      <c r="B95" s="3561"/>
      <c r="C95" s="821" t="s">
        <v>685</v>
      </c>
      <c r="D95" s="757" t="s">
        <v>686</v>
      </c>
      <c r="E95" s="834">
        <v>0.2</v>
      </c>
      <c r="F95" s="821">
        <v>30</v>
      </c>
    </row>
    <row r="96" spans="1:6" s="817" customFormat="1" ht="48">
      <c r="A96" s="821">
        <v>36</v>
      </c>
      <c r="B96" s="3561"/>
      <c r="C96" s="757" t="s">
        <v>687</v>
      </c>
      <c r="D96" s="757" t="s">
        <v>688</v>
      </c>
      <c r="E96" s="834">
        <v>0.2</v>
      </c>
      <c r="F96" s="821">
        <v>30</v>
      </c>
    </row>
    <row r="97" spans="1:6" s="817" customFormat="1" ht="36">
      <c r="A97" s="821">
        <v>37</v>
      </c>
      <c r="B97" s="3561"/>
      <c r="C97" s="821" t="s">
        <v>689</v>
      </c>
      <c r="D97" s="757" t="s">
        <v>690</v>
      </c>
      <c r="E97" s="834">
        <v>0.2</v>
      </c>
      <c r="F97" s="821">
        <v>30</v>
      </c>
    </row>
    <row r="98" spans="1:6" s="817" customFormat="1" ht="36">
      <c r="A98" s="821">
        <v>38</v>
      </c>
      <c r="B98" s="3561"/>
      <c r="C98" s="821" t="s">
        <v>691</v>
      </c>
      <c r="D98" s="757" t="s">
        <v>692</v>
      </c>
      <c r="E98" s="834">
        <v>0.2</v>
      </c>
      <c r="F98" s="821">
        <v>30</v>
      </c>
    </row>
    <row r="99" spans="1:6" s="817" customFormat="1" ht="36">
      <c r="A99" s="821">
        <v>39</v>
      </c>
      <c r="B99" s="3561" t="s">
        <v>693</v>
      </c>
      <c r="C99" s="821" t="s">
        <v>694</v>
      </c>
      <c r="D99" s="757" t="s">
        <v>695</v>
      </c>
      <c r="E99" s="834">
        <v>0.3</v>
      </c>
      <c r="F99" s="821">
        <v>50</v>
      </c>
    </row>
    <row r="100" spans="1:6" s="817" customFormat="1" ht="24">
      <c r="A100" s="821">
        <v>40</v>
      </c>
      <c r="B100" s="3561"/>
      <c r="C100" s="821" t="s">
        <v>696</v>
      </c>
      <c r="D100" s="757" t="s">
        <v>697</v>
      </c>
      <c r="E100" s="834">
        <v>0.2</v>
      </c>
      <c r="F100" s="821">
        <v>30</v>
      </c>
    </row>
    <row r="101" spans="1:6" s="817" customFormat="1" ht="36">
      <c r="A101" s="821">
        <v>41</v>
      </c>
      <c r="B101" s="356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1" t="s">
        <v>708</v>
      </c>
      <c r="C105" s="821" t="s">
        <v>709</v>
      </c>
      <c r="D105" s="757" t="s">
        <v>710</v>
      </c>
      <c r="E105" s="834">
        <v>0.2</v>
      </c>
      <c r="F105" s="821">
        <v>30</v>
      </c>
    </row>
    <row r="106" spans="1:6" s="817" customFormat="1" ht="36">
      <c r="A106" s="821">
        <v>46</v>
      </c>
      <c r="B106" s="3561"/>
      <c r="C106" s="821" t="s">
        <v>711</v>
      </c>
      <c r="D106" s="757" t="s">
        <v>712</v>
      </c>
      <c r="E106" s="834">
        <v>0.2</v>
      </c>
      <c r="F106" s="821">
        <v>30</v>
      </c>
    </row>
    <row r="107" spans="1:6" s="817" customFormat="1" ht="36">
      <c r="A107" s="821">
        <v>47</v>
      </c>
      <c r="B107" s="3561" t="s">
        <v>713</v>
      </c>
      <c r="C107" s="821" t="s">
        <v>714</v>
      </c>
      <c r="D107" s="757" t="s">
        <v>715</v>
      </c>
      <c r="E107" s="834">
        <v>0.3</v>
      </c>
      <c r="F107" s="821">
        <v>50</v>
      </c>
    </row>
    <row r="108" spans="1:6" s="817" customFormat="1" ht="36">
      <c r="A108" s="821">
        <v>48</v>
      </c>
      <c r="B108" s="356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1" t="s">
        <v>724</v>
      </c>
      <c r="C111" s="821" t="s">
        <v>725</v>
      </c>
      <c r="D111" s="757" t="s">
        <v>726</v>
      </c>
      <c r="E111" s="834">
        <v>0.2</v>
      </c>
      <c r="F111" s="821">
        <v>30</v>
      </c>
    </row>
    <row r="112" spans="1:6" s="817" customFormat="1" ht="24">
      <c r="A112" s="821">
        <v>52</v>
      </c>
      <c r="B112" s="3561"/>
      <c r="C112" s="821" t="s">
        <v>727</v>
      </c>
      <c r="D112" s="757" t="s">
        <v>728</v>
      </c>
      <c r="E112" s="834">
        <v>0.2</v>
      </c>
      <c r="F112" s="821">
        <v>30</v>
      </c>
    </row>
    <row r="113" spans="1:6" s="817" customFormat="1" ht="24">
      <c r="A113" s="821">
        <v>53</v>
      </c>
      <c r="B113" s="356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1" t="s">
        <v>737</v>
      </c>
      <c r="C116" s="821" t="s">
        <v>738</v>
      </c>
      <c r="D116" s="757" t="s">
        <v>739</v>
      </c>
      <c r="E116" s="834">
        <v>0.2</v>
      </c>
      <c r="F116" s="821">
        <v>30</v>
      </c>
    </row>
    <row r="117" spans="1:6" ht="36">
      <c r="A117" s="821">
        <v>57</v>
      </c>
      <c r="B117" s="356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67" t="s">
        <v>1058</v>
      </c>
      <c r="C1" s="3567"/>
      <c r="D1" s="3567"/>
      <c r="E1" s="3567"/>
      <c r="F1" s="3567"/>
      <c r="G1" s="3566" t="s">
        <v>1059</v>
      </c>
      <c r="H1" s="3566"/>
      <c r="I1" s="3566"/>
      <c r="J1" s="3566"/>
      <c r="K1" s="3566"/>
      <c r="L1" s="3566"/>
      <c r="N1" s="3566" t="s">
        <v>1060</v>
      </c>
      <c r="O1" s="3566"/>
      <c r="P1" s="3566"/>
      <c r="Q1" s="3566"/>
      <c r="S1" s="3566" t="s">
        <v>1061</v>
      </c>
      <c r="T1" s="3566"/>
      <c r="U1" s="3566"/>
      <c r="V1" s="3566"/>
      <c r="X1" s="3565" t="s">
        <v>1062</v>
      </c>
      <c r="Y1" s="3566"/>
      <c r="Z1" s="3566"/>
      <c r="AA1" s="3566"/>
      <c r="AB1" s="3566"/>
      <c r="AD1" s="3565" t="s">
        <v>1063</v>
      </c>
      <c r="AE1" s="3566"/>
      <c r="AF1" s="3566"/>
      <c r="AG1" s="3566"/>
      <c r="AH1" s="3566"/>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63">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63"/>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63"/>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2"/>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8">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63"/>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63"/>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2"/>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8">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63"/>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63"/>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64"/>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62">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63"/>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63"/>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64"/>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62">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63"/>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63"/>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64"/>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69">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0"/>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0"/>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1"/>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62">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63"/>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63"/>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64"/>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62">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63">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63">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64">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62">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63">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63">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64">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62">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63">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63">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64">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62">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63">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63">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64">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62">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63">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63">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64">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62">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63">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63">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64">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62">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63">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63">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64">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62">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63">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63">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64">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62">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63">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63">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64">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62">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63">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63">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64">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3135</v>
      </c>
      <c r="D1" s="1515" t="s">
        <v>70</v>
      </c>
      <c r="E1" s="1516" t="s">
        <v>1292</v>
      </c>
      <c r="F1" s="1192">
        <f ca="1">J53</f>
        <v>66.27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f ca="1">ROUND(D2/10000,0)</f>
        <v>30</v>
      </c>
      <c r="C2" s="1540" t="s">
        <v>1496</v>
      </c>
      <c r="D2" s="1624">
        <f ca="1">C40+J29+L46</f>
        <v>301484</v>
      </c>
      <c r="E2" s="1541" t="s">
        <v>1497</v>
      </c>
      <c r="F2" s="1542"/>
      <c r="G2" s="2903"/>
      <c r="H2" s="2892"/>
      <c r="I2" s="2892"/>
      <c r="J2" s="2892"/>
      <c r="K2" s="2893"/>
      <c r="L2" s="2892"/>
      <c r="M2" s="2892"/>
    </row>
    <row r="3" spans="1:37" ht="18" customHeight="1" thickBot="1">
      <c r="A3" s="1543" t="s">
        <v>1498</v>
      </c>
      <c r="B3" s="1544">
        <f ca="1">IF(ISERROR(D2/F43),0,ROUND(D2/F43,0))</f>
        <v>2503</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18383</v>
      </c>
      <c r="D5" s="1517" t="s">
        <v>1506</v>
      </c>
      <c r="E5" s="1202"/>
      <c r="F5" s="1203"/>
      <c r="G5" s="1537"/>
      <c r="H5" s="305">
        <v>1</v>
      </c>
      <c r="I5" s="306" t="s">
        <v>1505</v>
      </c>
      <c r="J5" s="1201">
        <f ca="1">J6+J10+J12</f>
        <v>0</v>
      </c>
      <c r="K5" s="1517" t="s">
        <v>1506</v>
      </c>
      <c r="L5" s="1202"/>
      <c r="M5" s="1203"/>
    </row>
    <row r="6" spans="1:37" ht="18" customHeight="1">
      <c r="A6" s="1200" t="s">
        <v>1003</v>
      </c>
      <c r="B6" s="3486" t="s">
        <v>1308</v>
      </c>
      <c r="C6" s="1205">
        <f ca="1">ROUND(F6*F8*F7*(1-F9),0)</f>
        <v>18360</v>
      </c>
      <c r="D6" s="160" t="s">
        <v>2786</v>
      </c>
      <c r="E6" s="308" t="s">
        <v>1310</v>
      </c>
      <c r="F6" s="309">
        <f ca="1">INDIRECT("'数据-取费表'!u"&amp;$G$1)</f>
        <v>1700</v>
      </c>
      <c r="G6" s="1537"/>
      <c r="H6" s="1200" t="s">
        <v>1003</v>
      </c>
      <c r="I6" s="3486" t="s">
        <v>1308</v>
      </c>
      <c r="J6" s="307">
        <f ca="1">ROUND(M6*M8*M7*(1-M9),0)</f>
        <v>0</v>
      </c>
      <c r="K6" s="1529" t="s">
        <v>2787</v>
      </c>
      <c r="L6" s="308" t="s">
        <v>1310</v>
      </c>
      <c r="M6" s="309">
        <f ca="1">INDIRECT("'数据-取费表'!z"&amp;$G$1)</f>
        <v>0</v>
      </c>
    </row>
    <row r="7" spans="1:37" ht="18" customHeight="1">
      <c r="A7" s="1204"/>
      <c r="B7" s="3487"/>
      <c r="C7" s="1206"/>
      <c r="D7" s="313"/>
      <c r="E7" s="1207" t="s">
        <v>1311</v>
      </c>
      <c r="F7" s="309">
        <f ca="1">IF(INDIRECT("'数据-取费表'!ah"&amp;$G$1)="",INDIRECT("'数据-取费表'!k"&amp;$G$1),INDIRECT("'数据-取费表'!ah"&amp;$G$1))</f>
        <v>1</v>
      </c>
      <c r="G7" s="1537"/>
      <c r="H7" s="310"/>
      <c r="I7" s="3487"/>
      <c r="J7" s="312"/>
      <c r="K7" s="313"/>
      <c r="L7" s="308" t="s">
        <v>1311</v>
      </c>
      <c r="M7" s="309">
        <f ca="1">F7</f>
        <v>1</v>
      </c>
    </row>
    <row r="8" spans="1:37" ht="18" customHeight="1">
      <c r="A8" s="310"/>
      <c r="B8" s="3487"/>
      <c r="C8" s="312"/>
      <c r="D8" s="313"/>
      <c r="E8" s="308" t="s">
        <v>1312</v>
      </c>
      <c r="F8" s="309">
        <f ca="1">INDIRECT("'数据-取费表'!ai"&amp;$G$1)</f>
        <v>12</v>
      </c>
      <c r="G8" s="1537"/>
      <c r="H8" s="310"/>
      <c r="I8" s="3487"/>
      <c r="J8" s="312"/>
      <c r="K8" s="313"/>
      <c r="L8" s="308" t="s">
        <v>1312</v>
      </c>
      <c r="M8" s="309">
        <f ca="1">INDIRECT("'数据-取费表'!ai"&amp;$G$1)</f>
        <v>12</v>
      </c>
    </row>
    <row r="9" spans="1:37" ht="18" customHeight="1">
      <c r="A9" s="310"/>
      <c r="B9" s="3488"/>
      <c r="C9" s="312"/>
      <c r="D9" s="313"/>
      <c r="E9" s="308" t="s">
        <v>1313</v>
      </c>
      <c r="F9" s="318">
        <f ca="1">INDIRECT("'数据-取费表'!w"&amp;$G$1)</f>
        <v>0.1</v>
      </c>
      <c r="G9" s="1537"/>
      <c r="H9" s="310"/>
      <c r="I9" s="3488"/>
      <c r="J9" s="312"/>
      <c r="K9" s="313"/>
      <c r="L9" s="319" t="s">
        <v>1313</v>
      </c>
      <c r="M9" s="320">
        <f ca="1">INDIRECT("'数据-取费表'!ab"&amp;$G$1)</f>
        <v>0</v>
      </c>
    </row>
    <row r="10" spans="1:37" ht="18" customHeight="1">
      <c r="A10" s="1200" t="s">
        <v>1007</v>
      </c>
      <c r="B10" s="1518" t="s">
        <v>1314</v>
      </c>
      <c r="C10" s="322">
        <f ca="1">ROUND(IF(F10="押一",C6/12*F11,IF(F10="押二",C6/12*2*F11,IF(F10="押三",C6/12*3*F11,C11*F11))),0)</f>
        <v>23</v>
      </c>
      <c r="D10" s="1519" t="s">
        <v>2796</v>
      </c>
      <c r="E10" s="319" t="s">
        <v>1315</v>
      </c>
      <c r="F10" s="1247" t="s">
        <v>3144</v>
      </c>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90"/>
      <c r="D11" s="313"/>
      <c r="E11" s="319" t="s">
        <v>1317</v>
      </c>
      <c r="F11" s="320">
        <f ca="1">'数据-取费表'!B39</f>
        <v>1.4999999999999999E-2</v>
      </c>
      <c r="G11" s="1537"/>
      <c r="H11" s="1208"/>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541994</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3" t="s">
        <v>1002</v>
      </c>
      <c r="B14" s="308" t="s">
        <v>1322</v>
      </c>
      <c r="C14" s="324">
        <f ca="1">ROUND(INDIRECT("'数据-取费表'!l"&amp;$G$1)*F43+'数据-取费表'!L14*INDIRECT("'数据-取费表'!S"&amp;$G$1),0)</f>
        <v>361380</v>
      </c>
      <c r="D14" s="1498" t="s">
        <v>1323</v>
      </c>
      <c r="E14" s="1495"/>
      <c r="F14" s="325"/>
      <c r="G14" s="1537"/>
      <c r="H14" s="1113" t="s">
        <v>1003</v>
      </c>
      <c r="I14" s="308" t="s">
        <v>1324</v>
      </c>
      <c r="J14" s="24">
        <f ca="1">C29</f>
        <v>553055</v>
      </c>
      <c r="K14" s="15"/>
      <c r="L14" s="916"/>
      <c r="M14" s="917"/>
    </row>
    <row r="15" spans="1:37" s="1550" customFormat="1" ht="18" customHeight="1" thickBot="1">
      <c r="A15" s="1113" t="s">
        <v>1004</v>
      </c>
      <c r="B15" s="308" t="s">
        <v>1325</v>
      </c>
      <c r="C15" s="24">
        <f ca="1">ROUND(C14*F15,0)</f>
        <v>10841</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18069</v>
      </c>
      <c r="D16" s="308" t="s">
        <v>1326</v>
      </c>
      <c r="E16" s="308" t="s">
        <v>1327</v>
      </c>
      <c r="F16" s="328">
        <f ca="1">IF(INDIRECT("'数据-取费表'!c"&amp;$G$1)="住宅",'数据-取费表'!B34,0)</f>
        <v>0.05</v>
      </c>
      <c r="G16" s="1537"/>
      <c r="H16" s="1210" t="s">
        <v>998</v>
      </c>
      <c r="I16" s="1211" t="s">
        <v>1329</v>
      </c>
      <c r="J16" s="316">
        <f ca="1">ROUND(J17+J22+J23+J24,0)</f>
        <v>7411</v>
      </c>
      <c r="K16" s="1218" t="s">
        <v>1330</v>
      </c>
      <c r="L16" s="1219"/>
      <c r="M16" s="1203"/>
    </row>
    <row r="17" spans="1:37" s="1550" customFormat="1" ht="18" customHeight="1">
      <c r="A17" s="1113" t="s">
        <v>1295</v>
      </c>
      <c r="B17" s="308" t="s">
        <v>1331</v>
      </c>
      <c r="C17" s="24">
        <f ca="1">ROUND(F17*(F43+INDIRECT("'数据-取费表'!S"&amp;$G$1)),0)</f>
        <v>24092</v>
      </c>
      <c r="D17" s="308" t="s">
        <v>1332</v>
      </c>
      <c r="E17" s="308" t="s">
        <v>1333</v>
      </c>
      <c r="F17" s="26">
        <f>'数据-取费表'!B35</f>
        <v>200</v>
      </c>
      <c r="G17" s="1549"/>
      <c r="H17" s="1113" t="s">
        <v>1003</v>
      </c>
      <c r="I17" s="308" t="s">
        <v>1334</v>
      </c>
      <c r="J17" s="2502">
        <f ca="1">ROUND(IF(AND(项目基本情况!B11="自然人",项目基本情况!B10="北京市"),J6*M17/(1+'数据-取费表'!C42),J18+J19+J20),0)</f>
        <v>4646</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5421</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419803</v>
      </c>
      <c r="D19" s="136" t="s">
        <v>1341</v>
      </c>
      <c r="E19" s="1513"/>
      <c r="F19" s="26"/>
      <c r="G19" s="1537"/>
      <c r="H19" s="1113" t="s">
        <v>1004</v>
      </c>
      <c r="I19" s="308" t="s">
        <v>1342</v>
      </c>
      <c r="J19" s="24">
        <f ca="1">IF(K19="按租金收入计税",ROUND(J6*M19/(1+'数据-取费表'!C42),0),ROUND(C29*M19*0.7,0))</f>
        <v>4646</v>
      </c>
      <c r="K19" s="1523" t="s">
        <v>1343</v>
      </c>
      <c r="L19" s="308" t="s">
        <v>1327</v>
      </c>
      <c r="M19" s="328">
        <f>IF(K19="按租金收入计税",'数据-取费表'!B51,'数据-取费表'!B50)</f>
        <v>1.2E-2</v>
      </c>
    </row>
    <row r="20" spans="1:37" s="1550" customFormat="1" ht="18" customHeight="1">
      <c r="A20" s="1113" t="s">
        <v>1007</v>
      </c>
      <c r="B20" s="308" t="s">
        <v>1344</v>
      </c>
      <c r="C20" s="24">
        <f ca="1">ROUND(C19*F20,0)</f>
        <v>8396</v>
      </c>
      <c r="D20" s="329" t="s">
        <v>1345</v>
      </c>
      <c r="E20" s="308" t="s">
        <v>1327</v>
      </c>
      <c r="F20" s="328">
        <f>'数据-取费表'!B37</f>
        <v>0.02</v>
      </c>
      <c r="G20" s="1549"/>
      <c r="H20" s="1113" t="s">
        <v>1294</v>
      </c>
      <c r="I20" s="160" t="s">
        <v>1346</v>
      </c>
      <c r="J20" s="25">
        <f ca="1">ROUND(M20*M21,0)</f>
        <v>0</v>
      </c>
      <c r="K20" s="330" t="s">
        <v>1347</v>
      </c>
      <c r="L20" s="308" t="s">
        <v>1348</v>
      </c>
      <c r="M20" s="331">
        <f>'数据-取费表'!B52</f>
        <v>0</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2765</v>
      </c>
      <c r="K22" s="1497" t="s">
        <v>1355</v>
      </c>
      <c r="L22" s="308" t="s">
        <v>1327</v>
      </c>
      <c r="M22" s="334">
        <f ca="1">INDIRECT("'数据-取费表'!Ak"&amp;$G$1)</f>
        <v>5.0000000000000001E-3</v>
      </c>
    </row>
    <row r="23" spans="1:37" s="1550" customFormat="1" ht="18" customHeight="1">
      <c r="A23" s="1113" t="s">
        <v>1002</v>
      </c>
      <c r="B23" s="308" t="s">
        <v>1356</v>
      </c>
      <c r="C23" s="24">
        <f ca="1">IF('数据-取费表'!B22&lt;=1,ROUND(C19*F24*F23/2,0)+ROUND(C20*F24*F23/2,0),ROUND(C19*(POWER((1+F24),F23/2)-1),0)+ROUND(C20*(POWER((1+F24),F23/2)-1),0))</f>
        <v>17985</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-7411</v>
      </c>
      <c r="K25" s="1226" t="s">
        <v>1369</v>
      </c>
      <c r="L25" s="1227"/>
      <c r="M25" s="1228"/>
    </row>
    <row r="26" spans="1:37" ht="18" customHeight="1">
      <c r="A26" s="1113" t="s">
        <v>1002</v>
      </c>
      <c r="B26" s="308" t="s">
        <v>1370</v>
      </c>
      <c r="C26" s="24">
        <f ca="1">ROUND((C19+C20)*F26,0)</f>
        <v>64230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553055</v>
      </c>
      <c r="D29" s="1223"/>
      <c r="E29" s="1221"/>
      <c r="F29" s="1224"/>
      <c r="G29" s="1549"/>
      <c r="H29" s="340" t="s">
        <v>1001</v>
      </c>
      <c r="I29" s="341" t="s">
        <v>1384</v>
      </c>
      <c r="J29" s="342">
        <f ca="1">ROUND(J26/(1+F40)^F41,0)</f>
        <v>0</v>
      </c>
      <c r="K29" s="343" t="s">
        <v>1385</v>
      </c>
      <c r="L29" s="344"/>
      <c r="M29" s="345">
        <f ca="1">INDIRECT("'数据-取费表'!k"&amp;$G$1)</f>
        <v>120.46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6568</v>
      </c>
      <c r="D30" s="1218" t="s">
        <v>1330</v>
      </c>
      <c r="E30" s="1219"/>
      <c r="F30" s="1203"/>
      <c r="G30" s="1537"/>
      <c r="H30" s="2894"/>
      <c r="I30" s="1551"/>
      <c r="J30" s="1552"/>
      <c r="K30" s="2669"/>
      <c r="L30" s="2895"/>
      <c r="M30" s="2896"/>
    </row>
    <row r="31" spans="1:37" ht="18" customHeight="1">
      <c r="A31" s="1113" t="s">
        <v>1003</v>
      </c>
      <c r="B31" s="308" t="s">
        <v>1334</v>
      </c>
      <c r="C31" s="2502">
        <f ca="1">ROUND(IF(AND(项目基本情况!B11="自然人",项目基本情况!B10="北京市"),C6*F31/(1+'数据-取费表'!C42),C32+C33+C34),0)</f>
        <v>3077</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3" t="s">
        <v>1002</v>
      </c>
      <c r="B32" s="308" t="s">
        <v>1338</v>
      </c>
      <c r="C32" s="24">
        <f ca="1">IF(项目基本情况!B11="自然人","——",ROUND(C6*F32/(1+'数据-取费表'!C42),0))</f>
        <v>979</v>
      </c>
      <c r="D32" s="1497" t="s">
        <v>1339</v>
      </c>
      <c r="E32" s="308" t="s">
        <v>1327</v>
      </c>
      <c r="F32" s="337">
        <f>'数据-取费表'!B41</f>
        <v>5.6000000000000001E-2</v>
      </c>
      <c r="G32" s="1537"/>
      <c r="H32" s="2894"/>
      <c r="I32" s="1551"/>
      <c r="J32" s="1552"/>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2098</v>
      </c>
      <c r="D33" s="1523" t="s">
        <v>3145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0</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2765</v>
      </c>
      <c r="D36" s="1497" t="s">
        <v>1387</v>
      </c>
      <c r="E36" s="308" t="s">
        <v>1327</v>
      </c>
      <c r="F36" s="334">
        <f ca="1">INDIRECT("'数据-取费表'!Ak"&amp;$G$1)</f>
        <v>5.0000000000000001E-3</v>
      </c>
      <c r="G36" s="1537"/>
      <c r="H36" s="2897"/>
      <c r="I36" s="1551"/>
      <c r="J36" s="1552"/>
      <c r="K36" s="2738"/>
      <c r="L36" s="2897"/>
      <c r="M36" s="2897"/>
    </row>
    <row r="37" spans="1:18" ht="18" customHeight="1">
      <c r="A37" s="1113" t="s">
        <v>1043</v>
      </c>
      <c r="B37" s="308" t="s">
        <v>1358</v>
      </c>
      <c r="C37" s="24">
        <f ca="1">ROUND(C13*F37,0)</f>
        <v>542</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183.8</v>
      </c>
      <c r="D38" s="1223" t="s">
        <v>1364</v>
      </c>
      <c r="E38" s="1221" t="s">
        <v>1360</v>
      </c>
      <c r="F38" s="1217">
        <f ca="1">INDIRECT("'数据-取费表'!Am"&amp;$G$1)</f>
        <v>0.01</v>
      </c>
      <c r="G38" s="1537"/>
      <c r="H38" s="2897"/>
      <c r="I38" s="1551"/>
      <c r="J38" s="1552"/>
      <c r="K38" s="2901"/>
      <c r="L38" s="2897"/>
      <c r="M38" s="2897"/>
    </row>
    <row r="39" spans="1:18" ht="24.6" customHeight="1" thickTop="1">
      <c r="A39" s="1210" t="s">
        <v>999</v>
      </c>
      <c r="B39" s="1225" t="s">
        <v>1388</v>
      </c>
      <c r="C39" s="316">
        <f ca="1">C5-C30</f>
        <v>11815</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301484</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66.27</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ROUND(C40/F43,0)</f>
        <v>2503</v>
      </c>
      <c r="D43" s="343" t="s">
        <v>1393</v>
      </c>
      <c r="E43" s="344" t="s">
        <v>1394</v>
      </c>
      <c r="F43" s="345">
        <f ca="1">INDIRECT("'数据-取费表'!k"&amp;$G$1)</f>
        <v>120.46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-1571314</v>
      </c>
      <c r="D45" s="1626" t="s">
        <v>1509</v>
      </c>
      <c r="E45" s="1553"/>
      <c r="F45" s="1553"/>
      <c r="O45" s="1556" t="s">
        <v>1424</v>
      </c>
      <c r="P45" s="1614"/>
      <c r="Q45" s="1614"/>
      <c r="R45" s="1614"/>
    </row>
    <row r="46" spans="1:18" s="1537" customFormat="1" ht="13.5" thickBot="1">
      <c r="A46" s="1557" t="s">
        <v>1425</v>
      </c>
      <c r="C46" s="1558">
        <f ca="1">ROUND(C45/10000,0)</f>
        <v>-157</v>
      </c>
      <c r="D46" s="1559" t="str">
        <f>C2</f>
        <v>万元</v>
      </c>
      <c r="I46" s="1560" t="s">
        <v>1426</v>
      </c>
      <c r="J46" s="1561"/>
      <c r="K46" s="1562"/>
      <c r="L46" s="1563">
        <f>IF(M47="住宅",0,IF(L48&gt;J51,L60,J60))</f>
        <v>0</v>
      </c>
      <c r="O46" s="1564" t="s">
        <v>1427</v>
      </c>
      <c r="P46" s="1565" t="s">
        <v>1428</v>
      </c>
      <c r="Q46" s="1566" t="s">
        <v>1429</v>
      </c>
      <c r="R46" s="1566" t="s">
        <v>1430</v>
      </c>
    </row>
    <row r="47" spans="1:18" s="1537" customFormat="1" ht="13.5" thickBot="1">
      <c r="A47" s="1077" t="s">
        <v>1301</v>
      </c>
      <c r="B47" s="1109" t="s">
        <v>1302</v>
      </c>
      <c r="C47" s="1109" t="s">
        <v>1303</v>
      </c>
      <c r="D47" s="1109" t="s">
        <v>1304</v>
      </c>
      <c r="E47" s="1188" t="s">
        <v>1305</v>
      </c>
      <c r="F47" s="1189"/>
      <c r="G47" s="731"/>
      <c r="I47" s="1567" t="s">
        <v>1431</v>
      </c>
      <c r="J47" s="1568" t="s">
        <v>3146</v>
      </c>
      <c r="K47" s="1569" t="s">
        <v>1432</v>
      </c>
      <c r="L47" s="1570">
        <f ca="1">INDIRECT("'数据-取费表'!d"&amp;$G$1)</f>
        <v>70</v>
      </c>
      <c r="M47" s="1533" t="str">
        <f>IF(ISNUMBER(FIND("住宅",C1)),"住宅","非住宅")</f>
        <v>住宅</v>
      </c>
      <c r="O47" s="1571" t="s">
        <v>1008</v>
      </c>
      <c r="P47" s="1572" t="s">
        <v>1433</v>
      </c>
      <c r="Q47" s="1573">
        <f ca="1">C40+J29</f>
        <v>301484</v>
      </c>
      <c r="R47" s="1573" t="s">
        <v>1434</v>
      </c>
    </row>
    <row r="48" spans="1:18" s="1537" customFormat="1" ht="28.5" thickBot="1">
      <c r="A48" s="1241" t="s">
        <v>1044</v>
      </c>
      <c r="B48" s="306" t="s">
        <v>1306</v>
      </c>
      <c r="C48" s="1512">
        <f ca="1">C49+C53+C55</f>
        <v>0</v>
      </c>
      <c r="D48" s="1243"/>
      <c r="E48" s="1244"/>
      <c r="F48" s="1093"/>
      <c r="G48" s="731"/>
      <c r="H48" s="732"/>
      <c r="I48" s="1574" t="s">
        <v>1435</v>
      </c>
      <c r="J48" s="1575" t="s">
        <v>3147</v>
      </c>
      <c r="K48" s="1576" t="s">
        <v>1436</v>
      </c>
      <c r="L48" s="1577">
        <f ca="1">INDIRECT("'数据-取费表'!f"&amp;$G$1)</f>
        <v>66.27</v>
      </c>
      <c r="O48" s="1571" t="s">
        <v>1009</v>
      </c>
      <c r="P48" s="1572" t="s">
        <v>1437</v>
      </c>
      <c r="Q48" s="1573" t="str">
        <f ca="1">J60</f>
        <v>0</v>
      </c>
      <c r="R48" s="1573" t="s">
        <v>1438</v>
      </c>
    </row>
    <row r="49" spans="1:18" s="1537" customFormat="1" ht="13.5" thickBot="1">
      <c r="A49" s="1106" t="s">
        <v>1045</v>
      </c>
      <c r="B49" s="1524" t="s">
        <v>1395</v>
      </c>
      <c r="C49" s="1245">
        <f ca="1">ROUND(F49*F51*F50*(1-F52),0)</f>
        <v>0</v>
      </c>
      <c r="D49" s="1185" t="s">
        <v>1309</v>
      </c>
      <c r="E49" s="1525" t="s">
        <v>1396</v>
      </c>
      <c r="F49" s="1190"/>
      <c r="G49" s="1578"/>
      <c r="H49" s="732"/>
      <c r="I49" s="1574" t="s">
        <v>1439</v>
      </c>
      <c r="J49" s="1579">
        <v>2021</v>
      </c>
      <c r="K49" s="1576" t="s">
        <v>1440</v>
      </c>
      <c r="L49" s="1580"/>
      <c r="O49" s="1581" t="s">
        <v>1010</v>
      </c>
      <c r="P49" s="1572" t="s">
        <v>1441</v>
      </c>
      <c r="Q49" s="1573">
        <f ca="1">C29</f>
        <v>553055</v>
      </c>
      <c r="R49" s="1573" t="s">
        <v>1434</v>
      </c>
    </row>
    <row r="50" spans="1:18" s="1537" customFormat="1" ht="13.5" thickBot="1">
      <c r="A50" s="1107"/>
      <c r="B50" s="1110"/>
      <c r="C50" s="1111"/>
      <c r="D50" s="1084"/>
      <c r="E50" s="1186" t="s">
        <v>1311</v>
      </c>
      <c r="F50" s="1187">
        <f ca="1">F7</f>
        <v>1</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12</v>
      </c>
      <c r="I51" s="1585" t="s">
        <v>1445</v>
      </c>
      <c r="J51" s="1586">
        <f>IF(J49="",J50,J49+J50-YEAR('数据-取费表'!B2))</f>
        <v>59</v>
      </c>
      <c r="K51" s="1587" t="s">
        <v>1446</v>
      </c>
      <c r="L51" s="1588">
        <f ca="1">ROUND(-PV(INDIRECT("'数据-取费表'!h"&amp;$G$1),J51,(C39-C13*C76),0),0)</f>
        <v>-493121</v>
      </c>
      <c r="M51" s="1589"/>
      <c r="O51" s="1581" t="s">
        <v>1012</v>
      </c>
      <c r="P51" s="1572" t="s">
        <v>1447</v>
      </c>
      <c r="Q51" s="1584">
        <f>J52</f>
        <v>7.4999999999999997E-2</v>
      </c>
      <c r="R51" s="1573"/>
    </row>
    <row r="52" spans="1:18" s="1537" customFormat="1" ht="13.5" thickBot="1">
      <c r="A52" s="1108"/>
      <c r="B52" s="1110"/>
      <c r="C52" s="1111"/>
      <c r="D52" s="1084"/>
      <c r="E52" s="1112" t="s">
        <v>1313</v>
      </c>
      <c r="F52" s="1184"/>
      <c r="I52" s="1590" t="s">
        <v>1448</v>
      </c>
      <c r="J52" s="1591">
        <v>7.4999999999999997E-2</v>
      </c>
      <c r="K52" s="1590" t="s">
        <v>1449</v>
      </c>
      <c r="L52" s="1591"/>
      <c r="O52" s="1581" t="s">
        <v>1013</v>
      </c>
      <c r="P52" s="1572" t="s">
        <v>1450</v>
      </c>
      <c r="Q52" s="1573">
        <f ca="1">J53</f>
        <v>66.27</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66.27</v>
      </c>
      <c r="K53" s="3484" t="s">
        <v>1453</v>
      </c>
      <c r="L53" s="3485"/>
      <c r="O53" s="1571" t="s">
        <v>1014</v>
      </c>
      <c r="P53" s="1572" t="s">
        <v>1454</v>
      </c>
      <c r="Q53" s="1573">
        <f ca="1">Q47+Q48</f>
        <v>301484</v>
      </c>
      <c r="R53" s="1573" t="s">
        <v>1015</v>
      </c>
    </row>
    <row r="54" spans="1:18" s="1537" customFormat="1" ht="13.5" thickBot="1">
      <c r="A54" s="1106"/>
      <c r="B54" s="1627" t="s">
        <v>1508</v>
      </c>
      <c r="C54" s="1090"/>
      <c r="D54" s="1519"/>
      <c r="E54" s="1527"/>
      <c r="F54" s="1593"/>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541994</v>
      </c>
      <c r="D56" s="1600"/>
      <c r="E56" s="1601"/>
      <c r="F56" s="1593"/>
      <c r="I56" s="1602" t="s">
        <v>1459</v>
      </c>
      <c r="J56" s="1603" t="s">
        <v>3148</v>
      </c>
      <c r="K56" s="1574" t="s">
        <v>1460</v>
      </c>
      <c r="L56" s="1577">
        <f ca="1">IF(L48&lt;J51,"——",L48-J51)</f>
        <v>7.269999999999996</v>
      </c>
      <c r="O56" s="1571" t="s">
        <v>1008</v>
      </c>
      <c r="P56" s="1572" t="s">
        <v>1433</v>
      </c>
      <c r="Q56" s="1573">
        <f ca="1">C40+J29</f>
        <v>301484</v>
      </c>
      <c r="R56" s="1573" t="s">
        <v>1434</v>
      </c>
    </row>
    <row r="57" spans="1:18" s="1537" customFormat="1" ht="24.75" thickBot="1">
      <c r="A57" s="1604"/>
      <c r="B57" s="1081" t="s">
        <v>1383</v>
      </c>
      <c r="C57" s="244">
        <f ca="1">C29</f>
        <v>553055</v>
      </c>
      <c r="D57" s="1605"/>
      <c r="E57" s="1606"/>
      <c r="F57" s="1607"/>
      <c r="I57" s="1608" t="s">
        <v>1461</v>
      </c>
      <c r="J57" s="1609" t="str">
        <f ca="1">IF(OR(M47="住宅",J51&lt;L48,J56="是"),"——",J51-L48)</f>
        <v>——</v>
      </c>
      <c r="K57" s="1574" t="s">
        <v>1510</v>
      </c>
      <c r="L57" s="1577">
        <f ca="1">IF(L48&lt;J51,"——",IF(L55="比较法",L49,IF(L55="基准地价",L50,L51)))</f>
        <v>-493121</v>
      </c>
      <c r="O57" s="1571" t="s">
        <v>1009</v>
      </c>
      <c r="P57" s="1572" t="s">
        <v>1511</v>
      </c>
      <c r="Q57" s="1573">
        <f ca="1">L60</f>
        <v>0</v>
      </c>
      <c r="R57" s="1573" t="s">
        <v>1512</v>
      </c>
    </row>
    <row r="58" spans="1:18" s="1537" customFormat="1" ht="24.75" thickBot="1">
      <c r="A58" s="321" t="s">
        <v>998</v>
      </c>
      <c r="B58" s="1089" t="s">
        <v>1329</v>
      </c>
      <c r="C58" s="322">
        <f ca="1">ROUND(C59+C64+C65+C66,0)</f>
        <v>49764</v>
      </c>
      <c r="D58" s="1091" t="s">
        <v>1330</v>
      </c>
      <c r="E58" s="1092"/>
      <c r="F58" s="1093"/>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2">
        <f ca="1">ROUND(IF(AND(项目基本情况!B11="自然人",项目基本情况!B10="北京市"),C49*F59/(1+'数据-取费表'!C42),C60+C61+C62),0)</f>
        <v>46457</v>
      </c>
      <c r="D59" s="1094" t="s">
        <v>1335</v>
      </c>
      <c r="E59" s="1095" t="s">
        <v>1336</v>
      </c>
      <c r="F59" s="2501"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46457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0</v>
      </c>
      <c r="I62" s="1615" t="s">
        <v>1475</v>
      </c>
      <c r="J62" s="1616" t="s">
        <v>1476</v>
      </c>
      <c r="K62" s="1616" t="s">
        <v>1477</v>
      </c>
      <c r="L62" s="1616" t="s">
        <v>1478</v>
      </c>
      <c r="M62" s="1617" t="s">
        <v>1479</v>
      </c>
      <c r="O62" s="1571" t="s">
        <v>1014</v>
      </c>
      <c r="P62" s="1572" t="s">
        <v>1480</v>
      </c>
      <c r="Q62" s="1573">
        <f ca="1">Q56+Q57</f>
        <v>301484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2765</v>
      </c>
      <c r="D64" s="1095" t="s">
        <v>1407</v>
      </c>
      <c r="E64" s="1081" t="s">
        <v>1399</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542</v>
      </c>
      <c r="D65" s="1095" t="s">
        <v>1359</v>
      </c>
      <c r="E65" s="1081" t="s">
        <v>1360</v>
      </c>
      <c r="F65" s="336">
        <f t="shared" ca="1" si="0"/>
        <v>1E-3</v>
      </c>
      <c r="I65" s="1615" t="s">
        <v>1484</v>
      </c>
      <c r="J65" s="1616">
        <v>40</v>
      </c>
      <c r="K65" s="1616">
        <v>30</v>
      </c>
      <c r="L65" s="1616">
        <v>50</v>
      </c>
      <c r="M65" s="1618">
        <v>0.02</v>
      </c>
      <c r="O65" s="1571" t="s">
        <v>1008</v>
      </c>
      <c r="P65" s="1572" t="s">
        <v>1485</v>
      </c>
      <c r="Q65" s="1573">
        <f ca="1">C40+J29</f>
        <v>301484</v>
      </c>
      <c r="R65" s="1573" t="s">
        <v>1434</v>
      </c>
    </row>
    <row r="66" spans="1:18" s="1537" customFormat="1" ht="16.5" thickBot="1">
      <c r="A66" s="1113" t="s">
        <v>1409</v>
      </c>
      <c r="B66" s="1081" t="s">
        <v>1344</v>
      </c>
      <c r="C66" s="24">
        <f ca="1">ROUND(C48*F66,0)</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-49764</v>
      </c>
      <c r="D67" s="1094" t="s">
        <v>1369</v>
      </c>
      <c r="E67" s="1099"/>
      <c r="F67" s="1100"/>
      <c r="O67" s="1581" t="s">
        <v>1010</v>
      </c>
      <c r="P67" s="1572" t="s">
        <v>1467</v>
      </c>
      <c r="Q67" s="1619">
        <f ca="1">L51</f>
        <v>-493121</v>
      </c>
      <c r="R67" s="1573" t="s">
        <v>1487</v>
      </c>
    </row>
    <row r="68" spans="1:18" s="1537" customFormat="1" ht="16.5" thickBot="1">
      <c r="A68" s="1078" t="s">
        <v>1000</v>
      </c>
      <c r="B68" s="1079" t="s">
        <v>1390</v>
      </c>
      <c r="C68" s="307">
        <f ca="1">ROUND(C67*(1-((1+F70)/(1+F68))^F69)/(F68-F70),0)</f>
        <v>-1269830</v>
      </c>
      <c r="D68" s="1096" t="s">
        <v>1374</v>
      </c>
      <c r="E68" s="1081" t="s">
        <v>1375</v>
      </c>
      <c r="F68" s="318">
        <f ca="1">F40</f>
        <v>5.5E-2</v>
      </c>
      <c r="O68" s="1581" t="s">
        <v>1011</v>
      </c>
      <c r="P68" s="1620" t="s">
        <v>1488</v>
      </c>
      <c r="Q68" s="1573">
        <f ca="1">ROUND(Q69-Q70*Q71,0)</f>
        <v>-26125</v>
      </c>
      <c r="R68" s="1573" t="s">
        <v>1019</v>
      </c>
    </row>
    <row r="69" spans="1:18" s="1537" customFormat="1" ht="13.5" thickBot="1">
      <c r="A69" s="1082"/>
      <c r="B69" s="1083"/>
      <c r="C69" s="312"/>
      <c r="D69" s="1101" t="s">
        <v>1378</v>
      </c>
      <c r="E69" s="1081" t="s">
        <v>1379</v>
      </c>
      <c r="F69" s="339">
        <f ca="1">F41</f>
        <v>66.27</v>
      </c>
      <c r="O69" s="1581" t="s">
        <v>1016</v>
      </c>
      <c r="P69" s="1620" t="s">
        <v>1489</v>
      </c>
      <c r="Q69" s="1573">
        <f ca="1">C39</f>
        <v>11815</v>
      </c>
      <c r="R69" s="1573" t="s">
        <v>1434</v>
      </c>
    </row>
    <row r="70" spans="1:18" s="1537" customFormat="1" ht="13.5" thickBot="1">
      <c r="A70" s="1085"/>
      <c r="B70" s="1086"/>
      <c r="C70" s="316"/>
      <c r="D70" s="1097"/>
      <c r="E70" s="1081" t="s">
        <v>1382</v>
      </c>
      <c r="F70" s="1184">
        <f ca="1">F42</f>
        <v>0.02</v>
      </c>
      <c r="O70" s="1581" t="s">
        <v>1017</v>
      </c>
      <c r="P70" s="1620" t="s">
        <v>1490</v>
      </c>
      <c r="Q70" s="1573">
        <f ca="1">C13</f>
        <v>541994</v>
      </c>
      <c r="R70" s="1573" t="s">
        <v>1434</v>
      </c>
    </row>
    <row r="71" spans="1:18" s="1537" customFormat="1" ht="13.5" thickBot="1">
      <c r="A71" s="1102" t="s">
        <v>1001</v>
      </c>
      <c r="B71" s="1103" t="s">
        <v>1392</v>
      </c>
      <c r="C71" s="342">
        <f ca="1">ROUND(C68/F71,0)</f>
        <v>-10542</v>
      </c>
      <c r="D71" s="1104" t="s">
        <v>1393</v>
      </c>
      <c r="E71" s="1105" t="s">
        <v>1394</v>
      </c>
      <c r="F71" s="345">
        <f ca="1">F43</f>
        <v>120.46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37940</v>
      </c>
      <c r="D75" s="1537"/>
      <c r="E75" s="1537"/>
      <c r="F75" s="1537"/>
      <c r="K75" s="1555"/>
      <c r="L75" s="1537"/>
      <c r="O75" s="1571" t="s">
        <v>1014</v>
      </c>
      <c r="P75" s="1572" t="s">
        <v>1454</v>
      </c>
      <c r="Q75" s="1573">
        <f ca="1">Q65+Q66</f>
        <v>301484</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-2.2109999999999999</v>
      </c>
    </row>
    <row r="80" spans="1:18">
      <c r="B80" s="346" t="s">
        <v>1416</v>
      </c>
      <c r="C80" s="280">
        <f ca="1">ROUND(C75/C39,3)</f>
        <v>3.2109999999999999</v>
      </c>
    </row>
    <row r="81" spans="2:3">
      <c r="B81" s="276" t="s">
        <v>1417</v>
      </c>
      <c r="C81" s="244"/>
    </row>
    <row r="82" spans="2:3">
      <c r="B82" s="279" t="s">
        <v>1418</v>
      </c>
      <c r="C82" s="281">
        <f ca="1">1-C83</f>
        <v>-0.79800000000000004</v>
      </c>
    </row>
    <row r="83" spans="2:3">
      <c r="B83" s="279" t="s">
        <v>1419</v>
      </c>
      <c r="C83" s="280">
        <f ca="1">ROUND(C13/C40,3)</f>
        <v>1.798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3" sqref="A23:S33"/>
    </sheetView>
  </sheetViews>
  <sheetFormatPr defaultColWidth="9" defaultRowHeight="12.75"/>
  <cols>
    <col min="1" max="1" width="41.75" style="135" customWidth="1"/>
    <col min="2" max="2" width="9.25" style="27" customWidth="1"/>
    <col min="3" max="3" width="5" style="27" hidden="1"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4"/>
    <col min="46" max="16384" width="9" style="135"/>
  </cols>
  <sheetData>
    <row r="1" spans="1:45" ht="14.25" customHeight="1" thickBot="1">
      <c r="A1" s="151"/>
      <c r="B1" s="1114" t="s">
        <v>2765</v>
      </c>
      <c r="C1" s="3576" t="s">
        <v>2766</v>
      </c>
      <c r="D1" s="3577"/>
      <c r="E1" s="3577"/>
      <c r="F1" s="3577"/>
      <c r="G1" s="3577"/>
      <c r="H1" s="3577"/>
      <c r="I1" s="3577"/>
      <c r="J1" s="3577"/>
      <c r="K1" s="3577"/>
      <c r="L1" s="3577"/>
      <c r="M1" s="3577"/>
      <c r="N1" s="3577"/>
      <c r="O1" s="3577"/>
      <c r="P1" s="3577"/>
      <c r="Q1" s="3577"/>
      <c r="R1" s="3577"/>
      <c r="S1" s="3578"/>
      <c r="T1" s="1114" t="s">
        <v>2767</v>
      </c>
    </row>
    <row r="2" spans="1:45" s="663" customFormat="1" ht="25.5">
      <c r="A2" s="1115"/>
      <c r="B2" s="659" t="s">
        <v>2768</v>
      </c>
      <c r="C2" s="660" t="str">
        <f t="shared" ref="C2:L2" si="0">C3&amp;"(含)"&amp;"-"&amp;D3</f>
        <v>0(含)-50</v>
      </c>
      <c r="D2" s="661" t="str">
        <f t="shared" si="0"/>
        <v>50(含)-90</v>
      </c>
      <c r="E2" s="661" t="str">
        <f t="shared" si="0"/>
        <v>90(含)-120</v>
      </c>
      <c r="F2" s="661" t="str">
        <f t="shared" si="0"/>
        <v>120(含)-150</v>
      </c>
      <c r="G2" s="661" t="str">
        <f t="shared" si="0"/>
        <v>150(含)-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90</v>
      </c>
      <c r="F3" s="1444">
        <v>120</v>
      </c>
      <c r="G3" s="1444">
        <v>150</v>
      </c>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98</v>
      </c>
      <c r="E4" s="1121">
        <v>96</v>
      </c>
      <c r="F4" s="1448">
        <v>94</v>
      </c>
      <c r="G4" s="1448">
        <v>92</v>
      </c>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41" t="s">
        <v>3190</v>
      </c>
      <c r="C5" s="3242" t="s">
        <v>3191</v>
      </c>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2769</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2770</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3239" t="s">
        <v>3187</v>
      </c>
      <c r="D17" s="3240" t="s">
        <v>3188</v>
      </c>
      <c r="E17" s="3240" t="s">
        <v>3189</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f>'比较法-住宅'!C91</f>
        <v>100</v>
      </c>
      <c r="D18" s="1152">
        <f>'比较法-住宅'!D91</f>
        <v>98</v>
      </c>
      <c r="E18" s="1152">
        <f>'比较法-住宅'!E91</f>
        <v>96</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2776</v>
      </c>
      <c r="E19" s="1493"/>
      <c r="F19" s="1493"/>
      <c r="G19" s="1493"/>
      <c r="H19" s="1189"/>
      <c r="I19" s="164"/>
      <c r="J19" s="164"/>
      <c r="K19" s="164"/>
      <c r="L19" s="164"/>
      <c r="M19" s="164"/>
      <c r="N19" s="164"/>
      <c r="O19" s="164"/>
      <c r="P19" s="164"/>
      <c r="Q19" s="164"/>
      <c r="R19" s="727"/>
      <c r="S19" s="134"/>
    </row>
    <row r="20" spans="1:45" ht="16.5" thickBot="1">
      <c r="A20" s="671" t="s">
        <v>2777</v>
      </c>
      <c r="B20" s="300">
        <f ca="1">IF(D20="——",S22,S22-F20)</f>
        <v>1070</v>
      </c>
      <c r="C20" s="164"/>
      <c r="D20" s="2335" t="s">
        <v>70</v>
      </c>
      <c r="E20" s="1494"/>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f ca="1">ROUND(B20*10000/B22,0)</f>
        <v>8883</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1204.6000000000001</v>
      </c>
      <c r="C22" s="3573" t="s">
        <v>33</v>
      </c>
      <c r="D22" s="3574"/>
      <c r="E22" s="3574"/>
      <c r="F22" s="3574"/>
      <c r="G22" s="3574"/>
      <c r="H22" s="3574"/>
      <c r="I22" s="3574"/>
      <c r="J22" s="3574"/>
      <c r="K22" s="3574"/>
      <c r="L22" s="3574"/>
      <c r="M22" s="3574"/>
      <c r="N22" s="3574"/>
      <c r="O22" s="3574"/>
      <c r="P22" s="3574"/>
      <c r="Q22" s="3575"/>
      <c r="R22" s="672">
        <f ca="1">ROUND(S22*10000/B22,0)</f>
        <v>8883</v>
      </c>
      <c r="S22" s="24">
        <f ca="1">SUM(S24:S10000)</f>
        <v>1070</v>
      </c>
    </row>
    <row r="23" spans="1:45" s="12" customFormat="1" ht="24">
      <c r="A23" s="11" t="s">
        <v>2781</v>
      </c>
      <c r="B23" s="11" t="s">
        <v>2782</v>
      </c>
      <c r="C23" s="11" t="s">
        <v>2783</v>
      </c>
      <c r="D23" s="11" t="str">
        <f>B5</f>
        <v>朝向</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面积清单!E2</f>
        <v>天津市北辰区大张庄镇永进道北侧诗雅苑1号楼-1-201</v>
      </c>
      <c r="B24" s="3238">
        <f>面积清单!F2</f>
        <v>120.46</v>
      </c>
      <c r="C24" s="3009">
        <v>1</v>
      </c>
      <c r="D24" s="3243" t="s">
        <v>3192</v>
      </c>
      <c r="E24" s="3009">
        <v>1</v>
      </c>
      <c r="F24" s="3010"/>
      <c r="G24" s="3009">
        <v>1</v>
      </c>
      <c r="H24" s="3010"/>
      <c r="I24" s="3009">
        <v>1</v>
      </c>
      <c r="J24" s="3010"/>
      <c r="K24" s="3009">
        <v>1</v>
      </c>
      <c r="L24" s="3010"/>
      <c r="M24" s="3009">
        <v>1</v>
      </c>
      <c r="N24" s="3010"/>
      <c r="O24" s="3009">
        <v>1</v>
      </c>
      <c r="P24" s="3243" t="s">
        <v>3193</v>
      </c>
      <c r="Q24" s="3009">
        <v>1</v>
      </c>
      <c r="R24" s="677">
        <f ca="1">结果表!G20</f>
        <v>8746</v>
      </c>
      <c r="S24" s="675">
        <f t="shared" ref="S24:S54" ca="1" si="11">ROUND(R24*B24/10000,0)</f>
        <v>105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面积清单!E3</f>
        <v>天津市北辰区大张庄镇永进道北侧诗雅苑1号楼-3-801</v>
      </c>
      <c r="B25" s="3238">
        <f>面积清单!F3</f>
        <v>120.46</v>
      </c>
      <c r="C25" s="24">
        <f>IF(B25="",1,(LOOKUP(B25,$3:$3,$4:$4)-LOOKUP($B$24,$3:$3,$4:$4)+100)/100)</f>
        <v>1</v>
      </c>
      <c r="D25" s="3244" t="s">
        <v>3192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244" t="s">
        <v>3202</v>
      </c>
      <c r="Q25" s="24">
        <f>(SUMIF($17:$17,P25,$18:$18)-SUMIF($17:$17,$P$24,$18:$18)+100)/100</f>
        <v>1.04</v>
      </c>
      <c r="R25" s="672">
        <f ca="1">IF(B25="",0,ROUND($R$24*C25*E25*G25*I25*K25*M25*O25*Q25,0))</f>
        <v>9096</v>
      </c>
      <c r="S25" s="322">
        <f t="shared" ca="1" si="11"/>
        <v>110</v>
      </c>
    </row>
    <row r="26" spans="1:45">
      <c r="A26" s="674" t="str">
        <f>面积清单!E4</f>
        <v>天津市北辰区大张庄镇永进道北侧诗雅苑1号楼-3-802</v>
      </c>
      <c r="B26" s="3238">
        <f>面积清单!F4</f>
        <v>120.46</v>
      </c>
      <c r="C26" s="24">
        <f t="shared" ref="C26:C89" si="12">IF(B26="",1,(LOOKUP(B26,$3:$3,$4:$4)-LOOKUP($B$24,$3:$3,$4:$4)+100)/100)</f>
        <v>1</v>
      </c>
      <c r="D26" s="3244" t="s">
        <v>3191</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244" t="s">
        <v>3187</v>
      </c>
      <c r="Q26" s="24">
        <f t="shared" ref="Q26:Q89" si="19">(SUMIF($17:$17,P26,$18:$18)-SUMIF($17:$17,$P$24,$18:$18)+100)/100</f>
        <v>1.04</v>
      </c>
      <c r="R26" s="672">
        <f t="shared" ref="R26:R89" ca="1" si="20">IF(B26="",0,ROUND($R$24*C26*E26*G26*I26*K26*M26*O26*Q26,0))</f>
        <v>9096</v>
      </c>
      <c r="S26" s="322">
        <f t="shared" ca="1" si="11"/>
        <v>110</v>
      </c>
    </row>
    <row r="27" spans="1:45">
      <c r="A27" s="674" t="str">
        <f>面积清单!E5</f>
        <v>天津市北辰区大张庄镇永进道北侧诗雅苑1号楼-1-802</v>
      </c>
      <c r="B27" s="3238">
        <f>面积清单!F5</f>
        <v>120.46</v>
      </c>
      <c r="C27" s="24">
        <f t="shared" si="12"/>
        <v>1</v>
      </c>
      <c r="D27" s="3244" t="s">
        <v>3192</v>
      </c>
      <c r="E27" s="24">
        <f t="shared" si="13"/>
        <v>1</v>
      </c>
      <c r="F27" s="676"/>
      <c r="G27" s="24">
        <f t="shared" si="14"/>
        <v>1</v>
      </c>
      <c r="H27" s="676"/>
      <c r="I27" s="24">
        <f t="shared" si="15"/>
        <v>1</v>
      </c>
      <c r="J27" s="676"/>
      <c r="K27" s="24">
        <f t="shared" si="16"/>
        <v>1</v>
      </c>
      <c r="L27" s="676"/>
      <c r="M27" s="24">
        <f t="shared" si="17"/>
        <v>1</v>
      </c>
      <c r="N27" s="676"/>
      <c r="O27" s="24">
        <f t="shared" si="18"/>
        <v>1</v>
      </c>
      <c r="P27" s="3244" t="s">
        <v>3202</v>
      </c>
      <c r="Q27" s="24">
        <f t="shared" si="19"/>
        <v>1.04</v>
      </c>
      <c r="R27" s="672">
        <f t="shared" ca="1" si="20"/>
        <v>9096</v>
      </c>
      <c r="S27" s="322">
        <f t="shared" ca="1" si="11"/>
        <v>110</v>
      </c>
    </row>
    <row r="28" spans="1:45">
      <c r="A28" s="674" t="str">
        <f>面积清单!E6</f>
        <v>天津市北辰区大张庄镇永进道北侧诗雅苑1号楼-1-801</v>
      </c>
      <c r="B28" s="3238">
        <f>面积清单!F6</f>
        <v>120.46</v>
      </c>
      <c r="C28" s="24">
        <f t="shared" si="12"/>
        <v>1</v>
      </c>
      <c r="D28" s="3244" t="s">
        <v>3191</v>
      </c>
      <c r="E28" s="24">
        <f t="shared" si="13"/>
        <v>1</v>
      </c>
      <c r="F28" s="676"/>
      <c r="G28" s="24">
        <f t="shared" si="14"/>
        <v>1</v>
      </c>
      <c r="H28" s="676"/>
      <c r="I28" s="24">
        <f t="shared" si="15"/>
        <v>1</v>
      </c>
      <c r="J28" s="676"/>
      <c r="K28" s="24">
        <f t="shared" si="16"/>
        <v>1</v>
      </c>
      <c r="L28" s="676"/>
      <c r="M28" s="24">
        <f t="shared" si="17"/>
        <v>1</v>
      </c>
      <c r="N28" s="676"/>
      <c r="O28" s="24">
        <f t="shared" si="18"/>
        <v>1</v>
      </c>
      <c r="P28" s="3244" t="s">
        <v>3187</v>
      </c>
      <c r="Q28" s="24">
        <f t="shared" si="19"/>
        <v>1.04</v>
      </c>
      <c r="R28" s="672">
        <f t="shared" ca="1" si="20"/>
        <v>9096</v>
      </c>
      <c r="S28" s="322">
        <f t="shared" ca="1" si="11"/>
        <v>110</v>
      </c>
    </row>
    <row r="29" spans="1:45">
      <c r="A29" s="674" t="str">
        <f>面积清单!E7</f>
        <v>天津市北辰区大张庄镇永进道北侧诗雅苑1号楼-3-201</v>
      </c>
      <c r="B29" s="3238">
        <f>面积清单!F7</f>
        <v>120.46</v>
      </c>
      <c r="C29" s="24">
        <f t="shared" si="12"/>
        <v>1</v>
      </c>
      <c r="D29" s="3244" t="s">
        <v>3192</v>
      </c>
      <c r="E29" s="24">
        <f t="shared" si="13"/>
        <v>1</v>
      </c>
      <c r="F29" s="676"/>
      <c r="G29" s="24">
        <f t="shared" si="14"/>
        <v>1</v>
      </c>
      <c r="H29" s="676"/>
      <c r="I29" s="24">
        <f t="shared" si="15"/>
        <v>1</v>
      </c>
      <c r="J29" s="676"/>
      <c r="K29" s="24">
        <f t="shared" si="16"/>
        <v>1</v>
      </c>
      <c r="L29" s="676"/>
      <c r="M29" s="24">
        <f t="shared" si="17"/>
        <v>1</v>
      </c>
      <c r="N29" s="676"/>
      <c r="O29" s="24">
        <f t="shared" si="18"/>
        <v>1</v>
      </c>
      <c r="P29" s="3244" t="s">
        <v>3203</v>
      </c>
      <c r="Q29" s="24">
        <f t="shared" si="19"/>
        <v>1</v>
      </c>
      <c r="R29" s="672">
        <f t="shared" ca="1" si="20"/>
        <v>8746</v>
      </c>
      <c r="S29" s="322">
        <f t="shared" ca="1" si="11"/>
        <v>105</v>
      </c>
    </row>
    <row r="30" spans="1:45">
      <c r="A30" s="674" t="str">
        <f>面积清单!E8</f>
        <v>天津市北辰区大张庄镇永进道北侧诗雅苑1号楼-3-202</v>
      </c>
      <c r="B30" s="3238">
        <f>面积清单!F8</f>
        <v>120.46</v>
      </c>
      <c r="C30" s="24">
        <f t="shared" si="12"/>
        <v>1</v>
      </c>
      <c r="D30" s="3244" t="s">
        <v>3191</v>
      </c>
      <c r="E30" s="24">
        <f t="shared" si="13"/>
        <v>1</v>
      </c>
      <c r="F30" s="676"/>
      <c r="G30" s="24">
        <f t="shared" si="14"/>
        <v>1</v>
      </c>
      <c r="H30" s="676"/>
      <c r="I30" s="24">
        <f t="shared" si="15"/>
        <v>1</v>
      </c>
      <c r="J30" s="676"/>
      <c r="K30" s="24">
        <f t="shared" si="16"/>
        <v>1</v>
      </c>
      <c r="L30" s="676"/>
      <c r="M30" s="24">
        <f t="shared" si="17"/>
        <v>1</v>
      </c>
      <c r="N30" s="676"/>
      <c r="O30" s="24">
        <f t="shared" si="18"/>
        <v>1</v>
      </c>
      <c r="P30" s="3244" t="s">
        <v>3189</v>
      </c>
      <c r="Q30" s="24">
        <f t="shared" si="19"/>
        <v>1</v>
      </c>
      <c r="R30" s="672">
        <f t="shared" ca="1" si="20"/>
        <v>8746</v>
      </c>
      <c r="S30" s="322">
        <f t="shared" ca="1" si="11"/>
        <v>105</v>
      </c>
    </row>
    <row r="31" spans="1:45">
      <c r="A31" s="674" t="str">
        <f>面积清单!E9</f>
        <v>天津市北辰区大张庄镇永进道北侧诗雅苑1号楼-3-301</v>
      </c>
      <c r="B31" s="3238">
        <f>面积清单!F9</f>
        <v>120.46</v>
      </c>
      <c r="C31" s="24">
        <f t="shared" si="12"/>
        <v>1</v>
      </c>
      <c r="D31" s="3244" t="s">
        <v>3192</v>
      </c>
      <c r="E31" s="24">
        <f t="shared" si="13"/>
        <v>1</v>
      </c>
      <c r="F31" s="676"/>
      <c r="G31" s="24">
        <f t="shared" si="14"/>
        <v>1</v>
      </c>
      <c r="H31" s="676"/>
      <c r="I31" s="24">
        <f t="shared" si="15"/>
        <v>1</v>
      </c>
      <c r="J31" s="676"/>
      <c r="K31" s="24">
        <f t="shared" si="16"/>
        <v>1</v>
      </c>
      <c r="L31" s="676"/>
      <c r="M31" s="24">
        <f t="shared" si="17"/>
        <v>1</v>
      </c>
      <c r="N31" s="676"/>
      <c r="O31" s="24">
        <f t="shared" si="18"/>
        <v>1</v>
      </c>
      <c r="P31" s="3244" t="s">
        <v>3189</v>
      </c>
      <c r="Q31" s="24">
        <f t="shared" si="19"/>
        <v>1</v>
      </c>
      <c r="R31" s="672">
        <f t="shared" ca="1" si="20"/>
        <v>8746</v>
      </c>
      <c r="S31" s="322">
        <f t="shared" ca="1" si="11"/>
        <v>105</v>
      </c>
    </row>
    <row r="32" spans="1:45">
      <c r="A32" s="674" t="str">
        <f>面积清单!E10</f>
        <v>天津市北辰区大张庄镇永进道北侧诗雅苑1号楼-1-202</v>
      </c>
      <c r="B32" s="3238">
        <f>面积清单!F10</f>
        <v>120.46</v>
      </c>
      <c r="C32" s="24">
        <f t="shared" si="12"/>
        <v>1</v>
      </c>
      <c r="D32" s="3244" t="s">
        <v>3191</v>
      </c>
      <c r="E32" s="24">
        <f t="shared" si="13"/>
        <v>1</v>
      </c>
      <c r="F32" s="676"/>
      <c r="G32" s="24">
        <f t="shared" si="14"/>
        <v>1</v>
      </c>
      <c r="H32" s="676"/>
      <c r="I32" s="24">
        <f t="shared" si="15"/>
        <v>1</v>
      </c>
      <c r="J32" s="676"/>
      <c r="K32" s="24">
        <f t="shared" si="16"/>
        <v>1</v>
      </c>
      <c r="L32" s="676"/>
      <c r="M32" s="24">
        <f t="shared" si="17"/>
        <v>1</v>
      </c>
      <c r="N32" s="676"/>
      <c r="O32" s="24">
        <f t="shared" si="18"/>
        <v>1</v>
      </c>
      <c r="P32" s="3244" t="s">
        <v>3189</v>
      </c>
      <c r="Q32" s="24">
        <f t="shared" si="19"/>
        <v>1</v>
      </c>
      <c r="R32" s="672">
        <f t="shared" ca="1" si="20"/>
        <v>8746</v>
      </c>
      <c r="S32" s="322">
        <f t="shared" ca="1" si="11"/>
        <v>105</v>
      </c>
    </row>
    <row r="33" spans="1:19">
      <c r="A33" s="674" t="str">
        <f>面积清单!E11</f>
        <v>天津市北辰区大张庄镇永进道北侧诗雅苑1号楼-3-302</v>
      </c>
      <c r="B33" s="3238">
        <f>面积清单!F11</f>
        <v>120.46</v>
      </c>
      <c r="C33" s="24">
        <f t="shared" si="12"/>
        <v>1</v>
      </c>
      <c r="D33" s="3244" t="s">
        <v>3192</v>
      </c>
      <c r="E33" s="24">
        <f t="shared" si="13"/>
        <v>1</v>
      </c>
      <c r="F33" s="676"/>
      <c r="G33" s="24">
        <f t="shared" si="14"/>
        <v>1</v>
      </c>
      <c r="H33" s="676"/>
      <c r="I33" s="24">
        <f t="shared" si="15"/>
        <v>1</v>
      </c>
      <c r="J33" s="676"/>
      <c r="K33" s="24">
        <f t="shared" si="16"/>
        <v>1</v>
      </c>
      <c r="L33" s="676"/>
      <c r="M33" s="24">
        <f t="shared" si="17"/>
        <v>1</v>
      </c>
      <c r="N33" s="676"/>
      <c r="O33" s="24">
        <f t="shared" si="18"/>
        <v>1</v>
      </c>
      <c r="P33" s="3244" t="s">
        <v>3204</v>
      </c>
      <c r="Q33" s="24">
        <f t="shared" si="19"/>
        <v>1</v>
      </c>
      <c r="R33" s="672">
        <f t="shared" ca="1" si="20"/>
        <v>8746</v>
      </c>
      <c r="S33" s="322">
        <f t="shared" ca="1" si="11"/>
        <v>105</v>
      </c>
    </row>
    <row r="34" spans="1:19">
      <c r="A34" s="674"/>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0.04</v>
      </c>
      <c r="R34" s="672">
        <f t="shared" si="20"/>
        <v>0</v>
      </c>
      <c r="S34" s="322">
        <f t="shared" si="11"/>
        <v>0</v>
      </c>
    </row>
    <row r="35" spans="1:19">
      <c r="A35" s="674"/>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0.04</v>
      </c>
      <c r="R35" s="672">
        <f t="shared" si="20"/>
        <v>0</v>
      </c>
      <c r="S35" s="322">
        <f t="shared" si="11"/>
        <v>0</v>
      </c>
    </row>
    <row r="36" spans="1:19">
      <c r="A36" s="674"/>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0.04</v>
      </c>
      <c r="R36" s="672">
        <f t="shared" si="20"/>
        <v>0</v>
      </c>
      <c r="S36" s="322">
        <f t="shared" si="11"/>
        <v>0</v>
      </c>
    </row>
    <row r="37" spans="1:19">
      <c r="A37" s="674"/>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0.04</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0.04</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0.04</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0.04</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0.04</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0.04</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0.04</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0.04</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0.04</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0.04</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0.04</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0.04</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0.04</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0.04</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0.04</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0.04</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0.04</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0.04</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0.04</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0.04</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0.04</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0.04</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0.04</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0.04</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0.04</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0.04</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0.04</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0.04</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0.04</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0.04</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0.04</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0.04</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0.04</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0.04</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0.04</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0.04</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0.04</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0.04</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0.04</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0.04</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0.04</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0.04</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0.04</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0.04</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0.04</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0.04</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0.04</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0.04</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0.04</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0.04</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0.04</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0.04</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0.04</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0.04</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0.04</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0.04</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0.04</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0.04</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0.04</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0.04</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0.04</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0.04</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0.04</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0.04</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0.04</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0.04</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0.04</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0.04</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0.04</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0.04</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0.04</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0.04</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0.04</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0.04</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0.04</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0.04</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0.04</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0.04</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0.04</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0.04</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0.04</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0.04</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0.04</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0.04</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0.04</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0.04</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0.04</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0.04</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0.04</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0.04</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0.04</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0.04</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0.04</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0.04</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0.04</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0.04</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0.04</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0.04</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0.04</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0.04</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0.04</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0.04</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0.04</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0.04</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0.04</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0.04</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0.04</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0.04</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0.04</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0.04</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0.04</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0.04</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0.04</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0.04</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0.04</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0.04</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0.04</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0.04</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0.04</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0.04</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0.04</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0.04</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0.04</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0.04</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0.04</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0.04</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0.04</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0.04</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0.04</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0.04</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0.04</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0.04</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0.04</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0.04</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0.04</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0.04</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0.04</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0.04</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0.04</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0.04</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0.04</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0.04</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0.04</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0.04</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0.04</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0.04</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0.04</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0.04</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0.04</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0.04</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0.04</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0.04</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0.04</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0.04</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0.04</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0.04</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0.04</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0.04</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0.04</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0.04</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0.04</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0.04</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0.04</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0.04</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0.04</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0.04</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0.04</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0.04</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0.04</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0.04</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0.04</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0.04</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0.04</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0.04</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0.04</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0.04</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0.04</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0.04</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0.04</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0.04</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0.04</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0.04</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0.04</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0.04</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0.04</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0.04</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0.04</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0.04</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0.04</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0.04</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0.04</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0.04</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0.04</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0.04</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0.04</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0.04</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0.04</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0.04</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0.04</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0.04</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0.04</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0.04</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0.04</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0.04</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0.04</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0.04</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0.04</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0.04</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0.04</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0.04</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0.04</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0.04</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0.04</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0.04</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0.04</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0.04</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0.04</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0.04</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0.04</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0.04</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0.04</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0.04</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0.04</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0.04</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0.04</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0.04</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0.04</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0.04</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0.04</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0.04</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0.04</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0.04</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0.04</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0.04</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0.04</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0.04</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0.04</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0.04</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0.04</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0.04</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0.04</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0.04</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0.04</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0.04</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0.04</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0.04</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0.04</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0.04</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0.04</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0.04</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0.04</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0.04</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0.04</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0.04</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0.04</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0.04</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0.04</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0.04</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0.04</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0.04</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0.04</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0.04</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0.04</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0.04</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0.04</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0.04</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0.04</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0.04</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0.04</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0.04</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0.04</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0.04</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0.04</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0.04</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0.04</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0.04</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0.04</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0.04</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0.04</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0.04</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0.04</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0.04</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0.04</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0.04</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0.04</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0.04</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0.04</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0.04</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0.04</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0.04</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0.04</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0.04</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0.04</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0.04</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0.04</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0.04</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0.04</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0.04</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0.04</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0.04</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0.04</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0.04</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0.04</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0.04</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0.04</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0.04</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0.04</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0.04</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0.04</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0.04</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0.04</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0.04</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0.04</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0.04</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0.04</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0.04</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0.04</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0.04</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0.04</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0.04</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0.04</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0.04</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0.04</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0.04</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0.04</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0.04</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0.04</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0.04</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0.04</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0.04</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0.04</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0.04</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0.04</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0.04</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0.04</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0.04</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0.04</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0.04</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0.04</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0.04</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0.04</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0.04</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0.04</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0.04</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0.04</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0.04</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0.04</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0.04</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0.04</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0.04</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0.04</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0.04</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0.04</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0.04</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0.04</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0.04</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0.04</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0.04</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0.04</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0.04</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0.04</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0.04</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0.04</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0.04</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0.04</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0.04</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0.04</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0.04</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0.04</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0.04</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0.04</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0.04</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0.04</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0.04</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0.04</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0.04</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0.04</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0.04</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0.04</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0.04</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0.04</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0.04</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0.04</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0.04</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0.04</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0.04</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0.04</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0.04</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0.04</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0.04</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0.04</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0.04</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0.04</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0.04</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0.04</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0.04</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0.04</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0.04</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0.04</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0.04</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0.04</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0.04</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0.04</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0.04</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0.04</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0.04</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0.04</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0.04</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0.04</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0.04</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0.04</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0.04</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0.04</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0.04</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0.04</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0.04</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0.04</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0.04</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0.04</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0.04</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0.04</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0.04</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0.04</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0.04</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0.04</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0.04</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0.04</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0.04</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0.04</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0.04</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0.04</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0.04</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0.04</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0.04</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0.04</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0.04</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0.04</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0.04</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0.04</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0.04</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0.04</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0.04</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0.04</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0.04</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0.04</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0.04</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0.04</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0.04</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0.04</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0.04</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0.04</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0.04</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0.04</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0.04</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0.04</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0.04</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0.04</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0.04</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0.04</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0.04</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0.04</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0.04</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0.04</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0.04</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0.04</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0.04</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0.04</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0.04</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0.04</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0.04</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0.04</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0.04</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0.04</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0.04</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0.04</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0.04</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0.04</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0.04</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0.04</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0.04</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0.04</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0.04</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0.04</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0.04</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0.04</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0.04</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0.04</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0.04</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9.5" thickBot="1">
      <c r="A4" s="1647"/>
      <c r="B4" s="3250" t="s">
        <v>1535</v>
      </c>
      <c r="C4" s="3250"/>
      <c r="D4" s="3250"/>
      <c r="E4" s="1647"/>
    </row>
    <row r="5" spans="1:5" ht="16.5" thickTop="1">
      <c r="A5" s="1645"/>
      <c r="B5" s="3248" t="s">
        <v>1527</v>
      </c>
      <c r="C5" s="1648" t="s">
        <v>1528</v>
      </c>
      <c r="D5" s="959">
        <f ca="1">结果表!H101</f>
        <v>105</v>
      </c>
      <c r="E5" s="1645"/>
    </row>
    <row r="6" spans="1:5" ht="15.75">
      <c r="A6" s="1645"/>
      <c r="B6" s="3248"/>
      <c r="C6" s="1648" t="s">
        <v>1529</v>
      </c>
      <c r="D6" s="959" t="str">
        <f ca="1">NUMBERSTRING(INT(D5*10000),2)&amp;"元整"</f>
        <v>壹佰零伍万元整</v>
      </c>
      <c r="E6" s="1645"/>
    </row>
    <row r="7" spans="1:5" ht="15.75">
      <c r="A7" s="1645"/>
      <c r="B7" s="3253"/>
      <c r="C7" s="1649" t="s">
        <v>1530</v>
      </c>
      <c r="D7" s="960">
        <f ca="1">结果表!H102</f>
        <v>8717</v>
      </c>
      <c r="E7" s="1645"/>
    </row>
    <row r="8" spans="1:5" ht="15.75">
      <c r="A8" s="1645"/>
      <c r="B8" s="3254" t="str">
        <f>结果表!E103</f>
        <v>2.估价师知悉的法定优先受偿款</v>
      </c>
      <c r="C8" s="1650" t="s">
        <v>1531</v>
      </c>
      <c r="D8" s="960">
        <f>结果表!H103</f>
        <v>0</v>
      </c>
      <c r="E8" s="1645"/>
    </row>
    <row r="9" spans="1:5" ht="15.75">
      <c r="A9" s="1645"/>
      <c r="B9" s="3256"/>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47" t="str">
        <f>结果表!E107</f>
        <v>3.房地产抵押价值</v>
      </c>
      <c r="C13" s="1653" t="s">
        <v>1528</v>
      </c>
      <c r="D13" s="962">
        <f ca="1">结果表!H107</f>
        <v>105</v>
      </c>
      <c r="E13" s="1645"/>
    </row>
    <row r="14" spans="1:5" ht="15.75">
      <c r="A14" s="1645"/>
      <c r="B14" s="3248"/>
      <c r="C14" s="1648" t="s">
        <v>1529</v>
      </c>
      <c r="D14" s="959" t="str">
        <f ca="1">NUMBERSTRING(INT(D13*10000),2)&amp;"元整"</f>
        <v>壹佰零伍万元整</v>
      </c>
      <c r="E14" s="1645"/>
    </row>
    <row r="15" spans="1:5" ht="15">
      <c r="A15" s="1645"/>
      <c r="B15" s="3253"/>
      <c r="C15" s="1649" t="s">
        <v>1539</v>
      </c>
      <c r="D15" s="968">
        <f ca="1">结果表!H108</f>
        <v>8717</v>
      </c>
      <c r="E15" s="1645"/>
    </row>
    <row r="16" spans="1:5" ht="15">
      <c r="A16" s="1645"/>
      <c r="B16" s="3254" t="str">
        <f>结果表!E109</f>
        <v>——</v>
      </c>
      <c r="C16" s="1653" t="s">
        <v>1540</v>
      </c>
      <c r="D16" s="1654" t="str">
        <f>结果表!H109</f>
        <v>——</v>
      </c>
      <c r="E16" s="1645"/>
    </row>
    <row r="17" spans="1:5" ht="15.75">
      <c r="A17" s="1645"/>
      <c r="B17" s="3255"/>
      <c r="C17" s="1648" t="s">
        <v>1541</v>
      </c>
      <c r="D17" s="959" t="e">
        <f>NUMBERSTRING(INT(D16*10000),2)&amp;"元整"</f>
        <v>#VALUE!</v>
      </c>
      <c r="E17" s="1645"/>
    </row>
    <row r="18" spans="1:5" ht="15">
      <c r="A18" s="1645"/>
      <c r="B18" s="3256"/>
      <c r="C18" s="1649" t="s">
        <v>1530</v>
      </c>
      <c r="D18" s="968" t="str">
        <f>结果表!H110</f>
        <v>——</v>
      </c>
      <c r="E18" s="1645"/>
    </row>
    <row r="19" spans="1:5" ht="15.75">
      <c r="A19" s="1645"/>
      <c r="B19" s="3247" t="str">
        <f>结果表!E111</f>
        <v>——</v>
      </c>
      <c r="C19" s="1653" t="s">
        <v>1528</v>
      </c>
      <c r="D19" s="960" t="str">
        <f>结果表!H111</f>
        <v>——</v>
      </c>
      <c r="E19" s="1645"/>
    </row>
    <row r="20" spans="1:5" ht="15.75">
      <c r="A20" s="1645"/>
      <c r="B20" s="3248"/>
      <c r="C20" s="1648" t="s">
        <v>1541</v>
      </c>
      <c r="D20" s="959" t="e">
        <f>NUMBERSTRING(INT(D19*10000),2)&amp;"元整"</f>
        <v>#VALUE!</v>
      </c>
      <c r="E20" s="1645"/>
    </row>
    <row r="21" spans="1:5" ht="15.75" thickBot="1">
      <c r="A21" s="1645"/>
      <c r="B21" s="3249"/>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28187</v>
      </c>
      <c r="C2" s="2" t="s">
        <v>133</v>
      </c>
      <c r="D2" s="205"/>
      <c r="E2" s="205"/>
      <c r="F2" s="205"/>
      <c r="G2" s="205"/>
    </row>
    <row r="3" spans="1:7" s="206" customFormat="1" ht="18" customHeight="1" thickBot="1">
      <c r="A3" s="209" t="s">
        <v>85</v>
      </c>
      <c r="B3" s="210">
        <f ca="1">ROUND(B2*10000/'数据-汇总表'!E3,0)</f>
        <v>2339947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120.46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120.46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 ca="1">ROUND(SUM(C23:C25),0)</f>
        <v>1785</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8" t="s">
        <v>794</v>
      </c>
      <c r="B23" s="221" t="s">
        <v>1029</v>
      </c>
      <c r="C23" s="1236">
        <f ca="1">ROUND(IF('数据-取费表'!B22&lt;=1,C5*F22*'数据-取费表'!B23,C5*(POWER((1+F22),'数据-取费表'!B23)-1)),0)</f>
        <v>1768</v>
      </c>
      <c r="D23" s="244"/>
      <c r="E23" s="244"/>
      <c r="F23" s="245"/>
      <c r="G23" s="246" t="s">
        <v>108</v>
      </c>
    </row>
    <row r="24" spans="1:7" s="220" customFormat="1" ht="13.5" customHeight="1">
      <c r="A24" s="888" t="s">
        <v>792</v>
      </c>
      <c r="B24" s="221" t="s">
        <v>1024</v>
      </c>
      <c r="C24" s="1236">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6">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120.46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435" t="s">
        <v>121</v>
      </c>
    </row>
    <row r="43" spans="1:7" ht="13.5" customHeight="1">
      <c r="A43" s="888" t="s">
        <v>792</v>
      </c>
      <c r="B43" s="221" t="s">
        <v>1032</v>
      </c>
      <c r="C43" s="244">
        <f ca="1">ROUND(IF('数据-取费表'!B22&lt;=1,C39*F22*'数据-取费表'!B21/2,C39*(POWER((1+F22),'数据-取费表'!B21/2)-1)),0)</f>
        <v>0</v>
      </c>
      <c r="D43" s="244"/>
      <c r="E43" s="244"/>
      <c r="F43" s="245"/>
      <c r="G43" s="3436"/>
    </row>
    <row r="44" spans="1:7" ht="13.5" customHeight="1">
      <c r="A44" s="888" t="s">
        <v>793</v>
      </c>
      <c r="B44" s="221" t="s">
        <v>1034</v>
      </c>
      <c r="C44" s="244">
        <f ca="1">ROUND(IF('数据-取费表'!B22&lt;=1,C40*F22*'数据-取费表'!B21/2,C40*(POWER((1+F22),'数据-取费表'!B21/2)-1)),4)</f>
        <v>8.0000000000000004E-4</v>
      </c>
      <c r="D44" s="244"/>
      <c r="E44" s="244"/>
      <c r="F44" s="245"/>
      <c r="G44" s="3437"/>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54</v>
      </c>
      <c r="D51" s="238"/>
      <c r="E51" s="238"/>
      <c r="F51" s="270"/>
      <c r="G51" s="240" t="s">
        <v>64</v>
      </c>
    </row>
    <row r="52" spans="1:7" s="214" customFormat="1" ht="16.5" thickBot="1">
      <c r="A52" s="271" t="s">
        <v>65</v>
      </c>
      <c r="B52" s="272"/>
      <c r="C52" s="273">
        <f ca="1">C31+C51</f>
        <v>28187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839</v>
      </c>
      <c r="B1" s="357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44615</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tabSelected="1" topLeftCell="E1" workbookViewId="0">
      <selection sqref="A1:G11"/>
    </sheetView>
  </sheetViews>
  <sheetFormatPr defaultRowHeight="13.5"/>
  <cols>
    <col min="1" max="1" width="5.75" customWidth="1"/>
    <col min="2" max="2" width="18.625" customWidth="1"/>
    <col min="4" max="4" width="22.5" customWidth="1"/>
    <col min="5" max="5" width="29.625" customWidth="1"/>
    <col min="6" max="6" width="12.75" customWidth="1"/>
    <col min="7" max="7" width="13.5" customWidth="1"/>
    <col min="8" max="8" width="13.125" customWidth="1"/>
  </cols>
  <sheetData>
    <row r="1" spans="1:8" s="3210" customFormat="1" ht="24">
      <c r="A1" s="3206" t="s">
        <v>3149</v>
      </c>
      <c r="B1" s="3206" t="s">
        <v>3150</v>
      </c>
      <c r="C1" s="3206" t="s">
        <v>3151</v>
      </c>
      <c r="D1" s="3207" t="s">
        <v>3152</v>
      </c>
      <c r="E1" s="3207" t="s">
        <v>3153</v>
      </c>
      <c r="F1" s="3208" t="s">
        <v>3154</v>
      </c>
      <c r="G1" s="3209" t="s">
        <v>3155</v>
      </c>
      <c r="H1" s="3209" t="s">
        <v>3156</v>
      </c>
    </row>
    <row r="2" spans="1:8" s="3210" customFormat="1" ht="24">
      <c r="A2" s="3211">
        <v>1</v>
      </c>
      <c r="B2" s="3212" t="s">
        <v>3157</v>
      </c>
      <c r="C2" s="3213" t="s">
        <v>3162</v>
      </c>
      <c r="D2" s="3214" t="s">
        <v>3173</v>
      </c>
      <c r="E2" s="3214" t="s">
        <v>3207</v>
      </c>
      <c r="F2" s="3215">
        <v>120.46</v>
      </c>
      <c r="G2" s="3216" t="s">
        <v>3170</v>
      </c>
      <c r="H2" s="3211" t="s">
        <v>3171</v>
      </c>
    </row>
    <row r="3" spans="1:8" s="3210" customFormat="1" ht="24">
      <c r="A3" s="3211">
        <v>2</v>
      </c>
      <c r="B3" s="3212" t="s">
        <v>3157</v>
      </c>
      <c r="C3" s="3213" t="s">
        <v>3162</v>
      </c>
      <c r="D3" s="3214" t="s">
        <v>3164</v>
      </c>
      <c r="E3" s="3214" t="s">
        <v>3208</v>
      </c>
      <c r="F3" s="3215">
        <v>120.46</v>
      </c>
      <c r="G3" s="3216" t="s">
        <v>3160</v>
      </c>
      <c r="H3" s="3211" t="s">
        <v>3161</v>
      </c>
    </row>
    <row r="4" spans="1:8" s="3210" customFormat="1" ht="24">
      <c r="A4" s="3211">
        <v>3</v>
      </c>
      <c r="B4" s="3212" t="s">
        <v>3172</v>
      </c>
      <c r="C4" s="3213" t="s">
        <v>3162</v>
      </c>
      <c r="D4" s="3214" t="s">
        <v>3174</v>
      </c>
      <c r="E4" s="3214" t="s">
        <v>3209</v>
      </c>
      <c r="F4" s="3215">
        <v>120.46</v>
      </c>
      <c r="G4" s="3216" t="s">
        <v>3170</v>
      </c>
      <c r="H4" s="3211" t="s">
        <v>3171</v>
      </c>
    </row>
    <row r="5" spans="1:8" s="3210" customFormat="1" ht="24">
      <c r="A5" s="3211">
        <v>4</v>
      </c>
      <c r="B5" s="3212" t="s">
        <v>3157</v>
      </c>
      <c r="C5" s="3213" t="s">
        <v>3162</v>
      </c>
      <c r="D5" s="3214" t="s">
        <v>3166</v>
      </c>
      <c r="E5" s="3214" t="s">
        <v>3210</v>
      </c>
      <c r="F5" s="3215">
        <v>120.46</v>
      </c>
      <c r="G5" s="3216" t="s">
        <v>3160</v>
      </c>
      <c r="H5" s="3211" t="s">
        <v>3161</v>
      </c>
    </row>
    <row r="6" spans="1:8" s="3210" customFormat="1" ht="24">
      <c r="A6" s="3211">
        <v>5</v>
      </c>
      <c r="B6" s="3212" t="s">
        <v>3157</v>
      </c>
      <c r="C6" s="3213" t="s">
        <v>3162</v>
      </c>
      <c r="D6" s="3214" t="s">
        <v>3167</v>
      </c>
      <c r="E6" s="3214" t="s">
        <v>3211</v>
      </c>
      <c r="F6" s="3215">
        <v>120.46</v>
      </c>
      <c r="G6" s="3216" t="s">
        <v>3160</v>
      </c>
      <c r="H6" s="3211" t="s">
        <v>3161</v>
      </c>
    </row>
    <row r="7" spans="1:8" s="3210" customFormat="1" ht="24">
      <c r="A7" s="3211">
        <v>6</v>
      </c>
      <c r="B7" s="3212" t="s">
        <v>3157</v>
      </c>
      <c r="C7" s="3213" t="s">
        <v>3158</v>
      </c>
      <c r="D7" s="3214" t="s">
        <v>3159</v>
      </c>
      <c r="E7" s="3214" t="s">
        <v>3212</v>
      </c>
      <c r="F7" s="3215">
        <v>120.46</v>
      </c>
      <c r="G7" s="3216" t="s">
        <v>3160</v>
      </c>
      <c r="H7" s="3211" t="s">
        <v>3161</v>
      </c>
    </row>
    <row r="8" spans="1:8" s="3210" customFormat="1" ht="24">
      <c r="A8" s="3211">
        <v>7</v>
      </c>
      <c r="B8" s="3212" t="s">
        <v>3157</v>
      </c>
      <c r="C8" s="3213" t="s">
        <v>3162</v>
      </c>
      <c r="D8" s="3214" t="s">
        <v>3169</v>
      </c>
      <c r="E8" s="3214" t="s">
        <v>3213</v>
      </c>
      <c r="F8" s="3215">
        <v>120.46</v>
      </c>
      <c r="G8" s="3216" t="s">
        <v>3170</v>
      </c>
      <c r="H8" s="3211" t="s">
        <v>3171</v>
      </c>
    </row>
    <row r="9" spans="1:8" s="3210" customFormat="1" ht="24">
      <c r="A9" s="3211">
        <v>8</v>
      </c>
      <c r="B9" s="3212" t="s">
        <v>3157</v>
      </c>
      <c r="C9" s="3213" t="s">
        <v>3162</v>
      </c>
      <c r="D9" s="3214" t="s">
        <v>3168</v>
      </c>
      <c r="E9" s="3214" t="s">
        <v>3214</v>
      </c>
      <c r="F9" s="3215">
        <v>120.46</v>
      </c>
      <c r="G9" s="3216" t="s">
        <v>3160</v>
      </c>
      <c r="H9" s="3211" t="s">
        <v>3161</v>
      </c>
    </row>
    <row r="10" spans="1:8" s="3210" customFormat="1" ht="24">
      <c r="A10" s="3211">
        <v>9</v>
      </c>
      <c r="B10" s="3212" t="s">
        <v>3157</v>
      </c>
      <c r="C10" s="3213" t="s">
        <v>3162</v>
      </c>
      <c r="D10" s="3214" t="s">
        <v>3163</v>
      </c>
      <c r="E10" s="3214" t="s">
        <v>3215</v>
      </c>
      <c r="F10" s="3215">
        <v>120.46</v>
      </c>
      <c r="G10" s="3216" t="s">
        <v>3160</v>
      </c>
      <c r="H10" s="3211" t="s">
        <v>3161</v>
      </c>
    </row>
    <row r="11" spans="1:8" s="3210" customFormat="1" ht="24">
      <c r="A11" s="3211">
        <v>10</v>
      </c>
      <c r="B11" s="3212" t="s">
        <v>3157</v>
      </c>
      <c r="C11" s="3213" t="s">
        <v>3162</v>
      </c>
      <c r="D11" s="3214" t="s">
        <v>3165</v>
      </c>
      <c r="E11" s="3214" t="s">
        <v>3216</v>
      </c>
      <c r="F11" s="3215">
        <v>120.46</v>
      </c>
      <c r="G11" s="3216" t="s">
        <v>3160</v>
      </c>
      <c r="H11" s="3211" t="s">
        <v>3161</v>
      </c>
    </row>
  </sheetData>
  <sortState ref="A2:H11">
    <sortCondition ref="D2"/>
  </sortState>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G50" sqref="G50"/>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117" sqref="A117"/>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6" t="str">
        <f>IF(项目基本情况!B9="房地产市场价值","估价结果一览表","结果表-2")</f>
        <v>结果表-2</v>
      </c>
      <c r="B1" s="3266"/>
      <c r="C1" s="3266"/>
      <c r="D1" s="3266"/>
      <c r="E1" s="3266"/>
      <c r="F1" s="3266"/>
      <c r="G1" s="3266"/>
      <c r="H1" s="3266"/>
      <c r="I1" s="3266"/>
    </row>
    <row r="2" spans="1:9" ht="30" customHeight="1" thickTop="1">
      <c r="A2" s="3267" t="s">
        <v>1546</v>
      </c>
      <c r="B2" s="3267" t="s">
        <v>1547</v>
      </c>
      <c r="C2" s="3267" t="s">
        <v>1548</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
      <c r="A3" s="3261"/>
      <c r="B3" s="3261"/>
      <c r="C3" s="3261"/>
      <c r="D3" s="963" t="s">
        <v>1543</v>
      </c>
      <c r="E3" s="963" t="s">
        <v>1549</v>
      </c>
      <c r="F3" s="963" t="s">
        <v>1543</v>
      </c>
      <c r="G3" s="963" t="s">
        <v>1544</v>
      </c>
      <c r="H3" s="963" t="s">
        <v>1543</v>
      </c>
      <c r="I3" s="963" t="s">
        <v>1544</v>
      </c>
    </row>
    <row r="4" spans="1:9" ht="15">
      <c r="A4" s="1659" t="str">
        <f>项目基本情况!S2</f>
        <v>房地产</v>
      </c>
      <c r="B4" s="963">
        <f>项目基本情况!C17</f>
        <v>120.46</v>
      </c>
      <c r="C4" s="963">
        <f>项目基本情况!C18</f>
        <v>0</v>
      </c>
      <c r="D4" s="963" t="e">
        <f ca="1">结果表!D118</f>
        <v>#REF!</v>
      </c>
      <c r="E4" s="963" t="e">
        <f ca="1">结果表!E118</f>
        <v>#REF!</v>
      </c>
      <c r="F4" s="963" t="e">
        <f ca="1">结果表!F118</f>
        <v>#REF!</v>
      </c>
      <c r="G4" s="963" t="e">
        <f ca="1">结果表!G118</f>
        <v>#REF!</v>
      </c>
      <c r="H4" s="963">
        <f ca="1">结果表!H118</f>
        <v>105</v>
      </c>
      <c r="I4" s="963">
        <f ca="1">结果表!I118</f>
        <v>8717</v>
      </c>
    </row>
    <row r="5" spans="1:9" ht="30" customHeight="1">
      <c r="A5" s="3261" t="s">
        <v>1545</v>
      </c>
      <c r="B5" s="3261"/>
      <c r="C5" s="3261"/>
      <c r="D5" s="3262" t="e">
        <f ca="1">结果表!D119</f>
        <v>#REF!</v>
      </c>
      <c r="E5" s="3262"/>
      <c r="F5" s="3262" t="e">
        <f ca="1">结果表!F119</f>
        <v>#REF!</v>
      </c>
      <c r="G5" s="3262"/>
      <c r="H5" s="3262" t="str">
        <f ca="1">结果表!H119</f>
        <v>壹佰零伍万元整</v>
      </c>
      <c r="I5" s="3262"/>
    </row>
    <row r="6" spans="1:9" ht="15.75">
      <c r="A6" s="3260" t="str">
        <f>结果表!A120</f>
        <v>估价师知悉的法定优先受偿款</v>
      </c>
      <c r="B6" s="3260"/>
      <c r="C6" s="3260"/>
      <c r="D6" s="3260">
        <f>结果表!D120</f>
        <v>0</v>
      </c>
      <c r="E6" s="3260"/>
      <c r="F6" s="3260"/>
      <c r="G6" s="3260"/>
      <c r="H6" s="3260"/>
      <c r="I6" s="3260"/>
    </row>
    <row r="7" spans="1:9" ht="15">
      <c r="A7" s="3261" t="s">
        <v>1545</v>
      </c>
      <c r="B7" s="3261"/>
      <c r="C7" s="3261"/>
      <c r="D7" s="3263" t="str">
        <f>结果表!D121</f>
        <v>零元整</v>
      </c>
      <c r="E7" s="3264"/>
      <c r="F7" s="3264"/>
      <c r="G7" s="3264"/>
      <c r="H7" s="3264"/>
      <c r="I7" s="3265"/>
    </row>
    <row r="8" spans="1:9" ht="15.75">
      <c r="A8" s="3260" t="str">
        <f>结果表!A122</f>
        <v>房地产抵押价值</v>
      </c>
      <c r="B8" s="3260"/>
      <c r="C8" s="3260"/>
      <c r="D8" s="3260">
        <f ca="1">结果表!D122</f>
        <v>105</v>
      </c>
      <c r="E8" s="3260"/>
      <c r="F8" s="3260"/>
      <c r="G8" s="3260"/>
      <c r="H8" s="3260"/>
      <c r="I8" s="3260"/>
    </row>
    <row r="9" spans="1:9" ht="15">
      <c r="A9" s="3261" t="s">
        <v>1545</v>
      </c>
      <c r="B9" s="3261"/>
      <c r="C9" s="3261"/>
      <c r="D9" s="3262" t="str">
        <f ca="1">结果表!D123</f>
        <v>壹佰零伍万元整</v>
      </c>
      <c r="E9" s="3262"/>
      <c r="F9" s="3262"/>
      <c r="G9" s="3262"/>
      <c r="H9" s="3262"/>
      <c r="I9" s="3262"/>
    </row>
    <row r="10" spans="1:9" ht="15.75">
      <c r="A10" s="3260" t="str">
        <f>结果表!A124</f>
        <v/>
      </c>
      <c r="B10" s="3260"/>
      <c r="C10" s="3260"/>
      <c r="D10" s="3260" t="str">
        <f>结果表!D124</f>
        <v>——</v>
      </c>
      <c r="E10" s="3260"/>
      <c r="F10" s="3260"/>
      <c r="G10" s="3260"/>
      <c r="H10" s="3260"/>
      <c r="I10" s="3260"/>
    </row>
    <row r="11" spans="1:9" ht="15">
      <c r="A11" s="3261" t="s">
        <v>1545</v>
      </c>
      <c r="B11" s="3261"/>
      <c r="C11" s="3261"/>
      <c r="D11" s="3262" t="e">
        <f>结果表!D125</f>
        <v>#VALUE!</v>
      </c>
      <c r="E11" s="3262"/>
      <c r="F11" s="3262"/>
      <c r="G11" s="3262"/>
      <c r="H11" s="3262"/>
      <c r="I11" s="3262"/>
    </row>
    <row r="12" spans="1:9" ht="15.75">
      <c r="A12" s="3260" t="str">
        <f>结果表!A126</f>
        <v/>
      </c>
      <c r="B12" s="3260"/>
      <c r="C12" s="3260"/>
      <c r="D12" s="3260" t="str">
        <f>结果表!D126</f>
        <v>——</v>
      </c>
      <c r="E12" s="3260"/>
      <c r="F12" s="3260"/>
      <c r="G12" s="3260"/>
      <c r="H12" s="3260"/>
      <c r="I12" s="3260"/>
    </row>
    <row r="13" spans="1:9" ht="15.75" thickBot="1">
      <c r="A13" s="3257" t="s">
        <v>1545</v>
      </c>
      <c r="B13" s="3257"/>
      <c r="C13" s="3257"/>
      <c r="D13" s="3258" t="e">
        <f>结果表!D127</f>
        <v>#VALUE!</v>
      </c>
      <c r="E13" s="3258"/>
      <c r="F13" s="3258"/>
      <c r="G13" s="3258"/>
      <c r="H13" s="3258"/>
      <c r="I13" s="3258"/>
    </row>
    <row r="14" spans="1:9" ht="15" thickTop="1">
      <c r="A14" s="3259" t="s">
        <v>1550</v>
      </c>
      <c r="B14" s="3259"/>
      <c r="C14" s="3259"/>
      <c r="D14" s="3259"/>
      <c r="E14" s="3259"/>
      <c r="F14" s="3259"/>
      <c r="G14" s="3259"/>
      <c r="H14" s="3259"/>
      <c r="I14" s="325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4" t="s">
        <v>1567</v>
      </c>
      <c r="B1" s="3274"/>
      <c r="C1" s="3274"/>
      <c r="D1" s="3274"/>
    </row>
    <row r="2" spans="1:4" ht="18">
      <c r="A2" s="3275" t="s">
        <v>1551</v>
      </c>
      <c r="B2" s="3275"/>
      <c r="C2" s="3275"/>
      <c r="D2" s="3275"/>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75" t="s">
        <v>1557</v>
      </c>
      <c r="B6" s="3275"/>
      <c r="C6" s="3275"/>
      <c r="D6" s="327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76" t="s">
        <v>1560</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68" t="str">
        <f>IF(项目基本情况!B8="抵押","4.本次评估估价师所知悉的法定优先受偿款情况说明如下：","——")</f>
        <v>4.本次评估估价师所知悉的法定优先受偿款情况说明如下：</v>
      </c>
      <c r="B14" s="3273"/>
      <c r="C14" s="3273"/>
      <c r="D14" s="3273"/>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0" t="s">
        <v>1561</v>
      </c>
      <c r="B16" s="3270"/>
      <c r="C16" s="3270"/>
      <c r="D16" s="3270"/>
    </row>
    <row r="17" spans="1:4" ht="144" customHeight="1">
      <c r="A17" s="3270" t="s">
        <v>1562</v>
      </c>
      <c r="B17" s="3270"/>
      <c r="C17" s="3270"/>
      <c r="D17" s="3270"/>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1563</v>
      </c>
      <c r="B22" s="3272"/>
      <c r="C22" s="3272"/>
      <c r="D22" s="327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9">
        <v>42551</v>
      </c>
      <c r="D31" s="32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2" t="s">
        <v>1574</v>
      </c>
      <c r="B15" s="3277" t="s">
        <v>136</v>
      </c>
      <c r="C15" s="3278"/>
    </row>
    <row r="16" spans="1:7" ht="13.5">
      <c r="A16" s="3283"/>
      <c r="B16" s="3277" t="s">
        <v>69</v>
      </c>
      <c r="C16" s="3278"/>
    </row>
    <row r="17" spans="1:3" ht="13.5">
      <c r="A17" s="3283"/>
      <c r="B17" s="3280" t="s">
        <v>1575</v>
      </c>
      <c r="C17" s="1686" t="s">
        <v>1574</v>
      </c>
    </row>
    <row r="18" spans="1:3" ht="13.5">
      <c r="A18" s="3283"/>
      <c r="B18" s="3280"/>
      <c r="C18" s="1686" t="s">
        <v>1576</v>
      </c>
    </row>
    <row r="19" spans="1:3" ht="13.5">
      <c r="A19" s="3283"/>
      <c r="B19" s="3280"/>
      <c r="C19" s="1686" t="s">
        <v>1577</v>
      </c>
    </row>
    <row r="20" spans="1:3" ht="13.5">
      <c r="A20" s="3284"/>
      <c r="B20" s="3279" t="s">
        <v>1578</v>
      </c>
      <c r="C20" s="3278"/>
    </row>
    <row r="21" spans="1:3" ht="13.5">
      <c r="A21" s="1687" t="s">
        <v>1579</v>
      </c>
      <c r="B21" s="1688"/>
      <c r="C21" s="1689"/>
    </row>
    <row r="22" spans="1:3" ht="13.5">
      <c r="A22" s="3281" t="s">
        <v>1580</v>
      </c>
      <c r="B22" s="3279" t="s">
        <v>1581</v>
      </c>
      <c r="C22" s="3278"/>
    </row>
    <row r="23" spans="1:3" ht="13.5">
      <c r="A23" s="3281"/>
      <c r="B23" s="3279" t="s">
        <v>1582</v>
      </c>
      <c r="C23" s="3278"/>
    </row>
    <row r="24" spans="1:3" ht="13.5">
      <c r="A24" s="3281"/>
      <c r="B24" s="3279" t="s">
        <v>1583</v>
      </c>
      <c r="C24" s="3278"/>
    </row>
    <row r="25" spans="1:3" ht="13.5">
      <c r="A25" s="3281"/>
      <c r="B25" s="3280" t="s">
        <v>1584</v>
      </c>
      <c r="C25" s="1686" t="s">
        <v>1585</v>
      </c>
    </row>
    <row r="26" spans="1:3" ht="13.5">
      <c r="A26" s="3281"/>
      <c r="B26" s="3280"/>
      <c r="C26" s="1686" t="s">
        <v>1586</v>
      </c>
    </row>
    <row r="27" spans="1:3" ht="13.5">
      <c r="A27" s="3281"/>
      <c r="B27" s="3280"/>
      <c r="C27" s="1686" t="s">
        <v>1587</v>
      </c>
    </row>
    <row r="28" spans="1:3" ht="13.5">
      <c r="A28" s="3281"/>
      <c r="B28" s="3280"/>
      <c r="C28" s="1686" t="s">
        <v>1588</v>
      </c>
    </row>
    <row r="29" spans="1:3" ht="13.5">
      <c r="A29" s="3281"/>
      <c r="B29" s="3280"/>
      <c r="C29" s="1686" t="s">
        <v>1589</v>
      </c>
    </row>
    <row r="30" spans="1:3" ht="13.5">
      <c r="A30" s="3281"/>
      <c r="B30" s="3280"/>
      <c r="C30" s="1686" t="s">
        <v>1590</v>
      </c>
    </row>
    <row r="31" spans="1:3" ht="13.5">
      <c r="A31" s="3281"/>
      <c r="B31" s="3280"/>
      <c r="C31" s="1686" t="s">
        <v>1591</v>
      </c>
    </row>
    <row r="32" spans="1:3" ht="13.5">
      <c r="A32" s="3281"/>
      <c r="B32" s="3280"/>
      <c r="C32" s="1686" t="s">
        <v>1592</v>
      </c>
    </row>
    <row r="33" spans="1:3" ht="13.5">
      <c r="A33" s="3281"/>
      <c r="B33" s="3280"/>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44663</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85" t="s">
        <v>2841</v>
      </c>
      <c r="B17" s="3285"/>
      <c r="C17" s="3285"/>
      <c r="D17" s="3285"/>
      <c r="E17" s="3285"/>
      <c r="F17" s="3285"/>
      <c r="G17" s="3285"/>
      <c r="H17" s="3285"/>
    </row>
    <row r="18" spans="1:8" ht="24" customHeight="1">
      <c r="A18" s="3286" t="s">
        <v>2842</v>
      </c>
      <c r="B18" s="3286"/>
      <c r="C18" s="3286"/>
      <c r="D18" s="2534"/>
      <c r="E18" s="3287" t="s">
        <v>2843</v>
      </c>
      <c r="F18" s="3286"/>
      <c r="G18" s="3286"/>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面积清单</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2022-04-12T08:35:57Z</dcterms:modified>
</cp:coreProperties>
</file>