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20" windowWidth="10755" windowHeight="1101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43" l="1"/>
  <c r="D33" i="43"/>
  <c r="G19" i="6"/>
  <c r="F19" i="6"/>
  <c r="K13" i="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C28"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12" i="9"/>
  <c r="D21" i="53" s="1"/>
  <c r="B39" i="72" s="1"/>
  <c r="H111" i="9"/>
  <c r="D126" i="9"/>
  <c r="I14" i="74" s="1"/>
  <c r="B8" i="74" s="1"/>
  <c r="D19" i="53"/>
  <c r="B38" i="72"/>
  <c r="D20" i="53"/>
  <c r="B40" i="7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B67" i="71"/>
  <c r="O68" i="71"/>
  <c r="M32" i="43"/>
  <c r="N32" i="43"/>
  <c r="O32" i="43"/>
  <c r="P32" i="43"/>
  <c r="C24" i="43"/>
  <c r="O67" i="71"/>
  <c r="O66" i="71"/>
  <c r="J26" i="43"/>
  <c r="B11" i="76"/>
  <c r="M8" i="15"/>
  <c r="F13" i="67"/>
  <c r="C76" i="15"/>
  <c r="F42" i="15"/>
  <c r="E11" i="76"/>
  <c r="F40" i="67"/>
  <c r="AO11" i="1"/>
  <c r="F4" i="73"/>
  <c r="B9" i="76"/>
  <c r="M23" i="67"/>
  <c r="M22" i="15"/>
  <c r="E13" i="76"/>
  <c r="F5" i="73"/>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AO7" i="1"/>
  <c r="F13" i="15"/>
  <c r="D34" i="9"/>
  <c r="M9" i="15"/>
  <c r="D2" i="34"/>
  <c r="AO12" i="1"/>
  <c r="L48" i="15"/>
  <c r="E7" i="76"/>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D26" i="43" l="1"/>
  <c r="D123" i="43"/>
  <c r="E123" i="43" s="1"/>
  <c r="F123" i="43" s="1"/>
  <c r="G123" i="43" s="1"/>
  <c r="H123" i="43" s="1"/>
  <c r="G29" i="6"/>
  <c r="E29" i="6" s="1"/>
  <c r="K15" i="1" s="1"/>
  <c r="F28" i="6"/>
  <c r="F30" i="6" s="1"/>
  <c r="E56" i="39"/>
  <c r="D12" i="52"/>
  <c r="D127" i="9"/>
  <c r="D13" i="52" s="1"/>
  <c r="C48" i="68"/>
  <c r="C28" i="67"/>
  <c r="C48" i="69"/>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E28" i="6"/>
  <c r="E12" i="6"/>
  <c r="E11" i="6"/>
  <c r="E15" i="6"/>
  <c r="E13" i="6"/>
  <c r="E10" i="6"/>
  <c r="E14" i="6"/>
  <c r="E64" i="39" s="1"/>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G30" i="6" l="1"/>
  <c r="G31" i="6" s="1"/>
  <c r="E16" i="6"/>
  <c r="G16" i="1"/>
  <c r="F10" i="39" s="1"/>
  <c r="AA10" i="39" s="1"/>
  <c r="J7" i="35"/>
  <c r="H7" i="21"/>
  <c r="E59" i="40"/>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F10" i="40" l="1"/>
  <c r="AA10" i="40" s="1"/>
  <c r="S10" i="39"/>
  <c r="S7" i="33"/>
  <c r="C18" i="67"/>
  <c r="C15" i="67"/>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S10" i="40" l="1"/>
  <c r="C19" i="67"/>
  <c r="C20" i="67" s="1"/>
  <c r="C26" i="67" s="1"/>
  <c r="C18" i="15"/>
  <c r="C15" i="15"/>
  <c r="AC10" i="39"/>
  <c r="AB10" i="39"/>
  <c r="U10" i="39"/>
  <c r="T12" i="43"/>
  <c r="V12" i="43" s="1"/>
  <c r="K27" i="6"/>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31" i="43" s="1"/>
  <c r="C19" i="15"/>
  <c r="C20" i="15" s="1"/>
  <c r="C23" i="15" s="1"/>
  <c r="B2" i="34"/>
  <c r="B3" i="34" s="1"/>
  <c r="S19" i="6"/>
  <c r="S27" i="6" s="1"/>
  <c r="I27" i="6"/>
  <c r="C8" i="74"/>
  <c r="D10" i="68"/>
  <c r="D20" i="12"/>
  <c r="C20" i="12" s="1"/>
  <c r="C18" i="12" s="1"/>
  <c r="D10" i="69"/>
  <c r="D10" i="11"/>
  <c r="C10" i="11" s="1"/>
  <c r="F50" i="68"/>
  <c r="F50" i="11"/>
  <c r="F50" i="69"/>
  <c r="C34" i="68"/>
  <c r="L16" i="1"/>
  <c r="C34" i="11"/>
  <c r="P14" i="1"/>
  <c r="P16" i="1" s="1"/>
  <c r="C11" i="12" s="1"/>
  <c r="D17" i="12"/>
  <c r="C17" i="12" s="1"/>
  <c r="C14" i="12"/>
  <c r="C20" i="11"/>
  <c r="C25" i="11" s="1"/>
  <c r="C22" i="11" s="1"/>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E6" i="76"/>
  <c r="B6" i="76"/>
  <c r="C26" i="15" l="1"/>
  <c r="C29" i="15" s="1"/>
  <c r="C38" i="11"/>
  <c r="C35" i="11"/>
  <c r="C38" i="68"/>
  <c r="C35" i="68"/>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C23" i="69"/>
  <c r="C19" i="68"/>
  <c r="D37" i="68"/>
  <c r="C37" i="68" s="1"/>
  <c r="C33" i="68" s="1"/>
  <c r="C19" i="69"/>
  <c r="C24" i="69" s="1"/>
  <c r="D37" i="69"/>
  <c r="C37" i="69" s="1"/>
  <c r="C33" i="69" s="1"/>
  <c r="C42" i="11"/>
  <c r="B3" i="76"/>
  <c r="J63" i="40"/>
  <c r="I65" i="40"/>
  <c r="K52" i="37"/>
  <c r="J68" i="39"/>
  <c r="I70" i="39"/>
  <c r="E9" i="71"/>
  <c r="B8" i="71"/>
  <c r="C18" i="71"/>
  <c r="D19" i="71"/>
  <c r="F35" i="67"/>
  <c r="M21" i="67"/>
  <c r="M21" i="15"/>
  <c r="F35" i="15"/>
  <c r="C64" i="15" l="1"/>
  <c r="C37" i="15"/>
  <c r="Q70" i="15"/>
  <c r="C56" i="15"/>
  <c r="C65" i="15" s="1"/>
  <c r="J13" i="15"/>
  <c r="J23" i="15" s="1"/>
  <c r="Q48" i="15"/>
  <c r="F63" i="15"/>
  <c r="C62" i="15" s="1"/>
  <c r="C59" i="15" s="1"/>
  <c r="C34" i="15"/>
  <c r="C31" i="15" s="1"/>
  <c r="C30" i="15" s="1"/>
  <c r="C39" i="15" s="1"/>
  <c r="C40" i="15" s="1"/>
  <c r="J20" i="15"/>
  <c r="J17" i="15" s="1"/>
  <c r="J16" i="15" s="1"/>
  <c r="J25" i="15" s="1"/>
  <c r="J20" i="67"/>
  <c r="J17" i="67" s="1"/>
  <c r="J16" i="67" s="1"/>
  <c r="J25" i="67" s="1"/>
  <c r="C34" i="67"/>
  <c r="C31" i="67" s="1"/>
  <c r="C30" i="67" s="1"/>
  <c r="C39" i="67" s="1"/>
  <c r="F63" i="67"/>
  <c r="C62" i="67" s="1"/>
  <c r="C59" i="67" s="1"/>
  <c r="C58" i="67" s="1"/>
  <c r="C67" i="67" s="1"/>
  <c r="C68" i="67" s="1"/>
  <c r="C71" i="67" s="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L57" i="67"/>
  <c r="L60" i="67" s="1"/>
  <c r="Q57" i="67" s="1"/>
  <c r="Q67" i="67"/>
  <c r="Q69" i="15"/>
  <c r="Q68" i="15" s="1"/>
  <c r="C80" i="15"/>
  <c r="C79" i="15" s="1"/>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Q56" i="15"/>
  <c r="B2" i="15"/>
  <c r="B3" i="15" s="1"/>
  <c r="Q47" i="15"/>
  <c r="Q53" i="15" s="1"/>
  <c r="Q65" i="15"/>
  <c r="C43" i="15"/>
  <c r="C83" i="15"/>
  <c r="C82" i="15" s="1"/>
  <c r="L51" i="15"/>
  <c r="C46" i="15" l="1"/>
  <c r="Q67" i="15"/>
  <c r="L57" i="15"/>
  <c r="L60" i="15" s="1"/>
  <c r="Q66" i="15" s="1"/>
  <c r="Q75"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H109" i="9" l="1"/>
  <c r="H110" i="9" s="1"/>
  <c r="D18" i="53" s="1"/>
  <c r="B35" i="72" s="1"/>
  <c r="D124" i="9"/>
  <c r="D125" i="9" s="1"/>
  <c r="D11" i="52" s="1"/>
  <c r="H14" i="74" l="1"/>
  <c r="B7" i="74" s="1"/>
  <c r="D16" i="53"/>
  <c r="D10" i="52"/>
  <c r="B34" i="72" l="1"/>
  <c r="D17" i="53"/>
  <c r="B36" i="72" s="1"/>
  <c r="C7" i="74"/>
  <c r="K5" i="3"/>
  <c r="I5" i="3"/>
  <c r="I13" i="3"/>
  <c r="H13" i="3"/>
  <c r="H5" i="3" s="1"/>
  <c r="I4" i="6" l="1"/>
  <c r="G13" i="3"/>
  <c r="G5" i="3" l="1"/>
  <c r="B3" i="3" s="1"/>
  <c r="E280" i="3" l="1"/>
  <c r="E501" i="3"/>
  <c r="E97" i="3"/>
  <c r="E196" i="3"/>
  <c r="E390" i="3"/>
  <c r="E282" i="3"/>
  <c r="E385" i="3"/>
  <c r="E269" i="3"/>
  <c r="E567" i="3"/>
  <c r="E116" i="3"/>
  <c r="E528" i="3"/>
  <c r="E231" i="3"/>
  <c r="E555" i="3"/>
  <c r="E434" i="3"/>
  <c r="E17" i="3"/>
  <c r="E134" i="3"/>
  <c r="E431" i="3"/>
  <c r="E350" i="3"/>
  <c r="M6" i="3"/>
  <c r="E221" i="3"/>
  <c r="T6" i="3"/>
  <c r="AA6" i="3"/>
  <c r="E319" i="3"/>
  <c r="E285" i="3"/>
  <c r="E244" i="3"/>
  <c r="E246" i="3"/>
  <c r="E553" i="3"/>
  <c r="E151" i="3"/>
  <c r="E245" i="3"/>
  <c r="E227" i="3"/>
  <c r="E238" i="3"/>
  <c r="E486" i="3"/>
  <c r="E439" i="3"/>
  <c r="E388" i="3"/>
  <c r="AK6" i="3"/>
  <c r="E565" i="3"/>
  <c r="E298" i="3"/>
  <c r="E579" i="3"/>
  <c r="E402" i="3"/>
  <c r="E387" i="3"/>
  <c r="E69" i="3"/>
  <c r="E534" i="3"/>
  <c r="E503" i="3"/>
  <c r="E53" i="3"/>
  <c r="E359" i="3"/>
  <c r="E368" i="3"/>
  <c r="X6" i="3"/>
  <c r="E366" i="3"/>
  <c r="E229" i="3"/>
  <c r="E263" i="3"/>
  <c r="E311" i="3"/>
  <c r="E85" i="3"/>
  <c r="E427" i="3"/>
  <c r="E561" i="3"/>
  <c r="E508" i="3"/>
  <c r="E16" i="3"/>
  <c r="E237" i="3"/>
  <c r="E338" i="3"/>
  <c r="E509" i="3"/>
  <c r="E586" i="3"/>
  <c r="E215" i="3"/>
  <c r="E563" i="3"/>
  <c r="E525" i="3"/>
  <c r="E183" i="3"/>
  <c r="E216" i="3"/>
  <c r="E574" i="3"/>
  <c r="E453" i="3"/>
  <c r="E302" i="3"/>
  <c r="E125" i="3"/>
  <c r="E396" i="3"/>
  <c r="E382" i="3"/>
  <c r="E570" i="3"/>
  <c r="E180" i="3"/>
  <c r="E543" i="3"/>
  <c r="E533" i="3"/>
  <c r="E305" i="3"/>
  <c r="E568" i="3"/>
  <c r="E188" i="3"/>
  <c r="E506" i="3"/>
  <c r="AJ6" i="3"/>
  <c r="AN6" i="3"/>
  <c r="E191" i="3"/>
  <c r="E445" i="3"/>
  <c r="E369" i="3"/>
  <c r="E440" i="3"/>
  <c r="E261" i="3"/>
  <c r="E380" i="3"/>
  <c r="O6" i="3"/>
  <c r="E549" i="3"/>
  <c r="E213" i="3"/>
  <c r="E169" i="3"/>
  <c r="E569" i="3"/>
  <c r="E423" i="3"/>
  <c r="AB6" i="3"/>
  <c r="E254" i="3"/>
  <c r="E564" i="3"/>
  <c r="E124" i="3"/>
  <c r="E343" i="3"/>
  <c r="E397" i="3"/>
  <c r="E136" i="3"/>
  <c r="S6" i="3"/>
  <c r="E322" i="3"/>
  <c r="E495" i="3"/>
  <c r="E148" i="3"/>
  <c r="E539" i="3"/>
  <c r="E173" i="3"/>
  <c r="E507" i="3"/>
  <c r="E538" i="3"/>
  <c r="E328" i="3"/>
  <c r="E536" i="3"/>
  <c r="E304" i="3"/>
  <c r="E321" i="3"/>
  <c r="E516" i="3"/>
  <c r="E578" i="3"/>
  <c r="E335" i="3"/>
  <c r="E278" i="3"/>
  <c r="E493" i="3"/>
  <c r="E399" i="3"/>
  <c r="E530" i="3"/>
  <c r="E143" i="3"/>
  <c r="E262" i="3"/>
  <c r="E293" i="3"/>
  <c r="E268" i="3"/>
  <c r="E353" i="3"/>
  <c r="E159" i="3"/>
  <c r="E461" i="3"/>
  <c r="E197" i="3"/>
  <c r="E469" i="3"/>
  <c r="AR6" i="3"/>
  <c r="E426" i="3"/>
  <c r="E511" i="3"/>
  <c r="E99" i="3"/>
  <c r="E418" i="3"/>
  <c r="E239" i="3"/>
  <c r="AI6" i="3"/>
  <c r="E189" i="3"/>
  <c r="E172" i="3"/>
  <c r="E393" i="3"/>
  <c r="E347" i="3"/>
  <c r="E175" i="3"/>
  <c r="E337" i="3"/>
  <c r="E296" i="3"/>
  <c r="E336" i="3"/>
  <c r="E526" i="3"/>
  <c r="E201" i="3"/>
  <c r="E301" i="3"/>
  <c r="E165" i="3"/>
  <c r="E223" i="3"/>
  <c r="E456" i="3"/>
  <c r="E270" i="3"/>
  <c r="E153" i="3"/>
  <c r="E314" i="3"/>
  <c r="E228" i="3"/>
  <c r="E523" i="3"/>
  <c r="N6" i="3"/>
  <c r="E518" i="3"/>
  <c r="E236" i="3"/>
  <c r="E535" i="3"/>
  <c r="E105" i="3"/>
  <c r="E361" i="3"/>
  <c r="E185" i="3"/>
  <c r="E410" i="3"/>
  <c r="E306" i="3"/>
  <c r="E583" i="3"/>
  <c r="E217" i="3"/>
  <c r="E247" i="3"/>
  <c r="E303" i="3"/>
  <c r="E514" i="3"/>
  <c r="E140" i="3"/>
  <c r="E405" i="3"/>
  <c r="E450" i="3"/>
  <c r="E443" i="3"/>
  <c r="E550" i="3"/>
  <c r="E438" i="3"/>
  <c r="E505" i="3"/>
  <c r="E166" i="3"/>
  <c r="E30" i="3"/>
  <c r="E249" i="3"/>
  <c r="E81" i="3"/>
  <c r="E41" i="3"/>
  <c r="E360" i="3"/>
  <c r="E327" i="3"/>
  <c r="E491" i="3"/>
  <c r="E193" i="3"/>
  <c r="E452" i="3"/>
  <c r="E71" i="3"/>
  <c r="E291" i="3"/>
  <c r="E425" i="3"/>
  <c r="E67" i="3"/>
  <c r="E541" i="3"/>
  <c r="E332" i="3"/>
  <c r="AH6" i="3"/>
  <c r="AG6" i="3"/>
  <c r="E320" i="3"/>
  <c r="E532" i="3"/>
  <c r="E107" i="3"/>
  <c r="E70" i="3"/>
  <c r="E377" i="3"/>
  <c r="E46" i="3"/>
  <c r="E184" i="3"/>
  <c r="E554" i="3"/>
  <c r="E512" i="3"/>
  <c r="E468" i="3"/>
  <c r="E345" i="3"/>
  <c r="E395" i="3"/>
  <c r="E457" i="3"/>
  <c r="AS6" i="3"/>
  <c r="E186" i="3"/>
  <c r="E44" i="3"/>
  <c r="E300" i="3"/>
  <c r="E135" i="3"/>
  <c r="E115" i="3"/>
  <c r="J6" i="3"/>
  <c r="E448" i="3"/>
  <c r="E559" i="3"/>
  <c r="E529" i="3"/>
  <c r="E515" i="3"/>
  <c r="E121" i="3"/>
  <c r="E334" i="3"/>
  <c r="E160" i="3"/>
  <c r="E355" i="3"/>
  <c r="E470" i="3"/>
  <c r="E408" i="3"/>
  <c r="E89" i="3"/>
  <c r="E557" i="3"/>
  <c r="E91" i="3"/>
  <c r="E562" i="3"/>
  <c r="E546" i="3"/>
  <c r="E272" i="3"/>
  <c r="E29" i="3"/>
  <c r="E310" i="3"/>
  <c r="E199" i="3"/>
  <c r="E139" i="3"/>
  <c r="E490" i="3"/>
  <c r="E164" i="3"/>
  <c r="E444" i="3"/>
  <c r="E224" i="3"/>
  <c r="E494" i="3"/>
  <c r="E28" i="3"/>
  <c r="E273" i="3"/>
  <c r="E484" i="3"/>
  <c r="E84" i="3"/>
  <c r="E442" i="3"/>
  <c r="E243" i="3"/>
  <c r="E577" i="3"/>
  <c r="E485" i="3"/>
  <c r="E128" i="3"/>
  <c r="E458" i="3"/>
  <c r="E478" i="3"/>
  <c r="E162" i="3"/>
  <c r="E384" i="3"/>
  <c r="E142" i="3"/>
  <c r="E381" i="3"/>
  <c r="E420" i="3"/>
  <c r="AL6" i="3"/>
  <c r="E376" i="3"/>
  <c r="E576" i="3"/>
  <c r="E520" i="3"/>
  <c r="E313" i="3"/>
  <c r="E122" i="3"/>
  <c r="E88" i="3"/>
  <c r="E316" i="3"/>
  <c r="E467" i="3"/>
  <c r="E33" i="3"/>
  <c r="E449" i="3"/>
  <c r="E391" i="3"/>
  <c r="E429" i="3"/>
  <c r="E400" i="3"/>
  <c r="E545" i="3"/>
  <c r="E527" i="3"/>
  <c r="E477" i="3"/>
  <c r="E126" i="3"/>
  <c r="AM6" i="3"/>
  <c r="E267" i="3"/>
  <c r="E63" i="3"/>
  <c r="E104" i="3"/>
  <c r="E422" i="3"/>
  <c r="E290" i="3"/>
  <c r="E558" i="3"/>
  <c r="E114" i="3"/>
  <c r="E288" i="3"/>
  <c r="E476" i="3"/>
  <c r="E211" i="3"/>
  <c r="E109" i="3"/>
  <c r="E371" i="3"/>
  <c r="E77" i="3"/>
  <c r="E198" i="3"/>
  <c r="E556" i="3"/>
  <c r="Z6" i="3"/>
  <c r="E230" i="3"/>
  <c r="E519" i="3"/>
  <c r="E271" i="3"/>
  <c r="E27" i="3"/>
  <c r="E331" i="3"/>
  <c r="E64" i="3"/>
  <c r="E144" i="3"/>
  <c r="I3" i="6"/>
  <c r="E356" i="3"/>
  <c r="E252" i="3"/>
  <c r="E581" i="3"/>
  <c r="E117" i="3"/>
  <c r="W6" i="3"/>
  <c r="E404" i="3"/>
  <c r="E295" i="3"/>
  <c r="E480" i="3"/>
  <c r="E492" i="3"/>
  <c r="E575" i="3"/>
  <c r="E225" i="3"/>
  <c r="E497" i="3"/>
  <c r="AO6" i="3"/>
  <c r="V6" i="3"/>
  <c r="E573" i="3"/>
  <c r="E585" i="3"/>
  <c r="E92" i="3"/>
  <c r="E317" i="3"/>
  <c r="E103" i="3"/>
  <c r="E233" i="3"/>
  <c r="E435" i="3"/>
  <c r="E42" i="3"/>
  <c r="E537" i="3"/>
  <c r="P6" i="3"/>
  <c r="E352" i="3"/>
  <c r="E474" i="3"/>
  <c r="E414" i="3"/>
  <c r="E182" i="3"/>
  <c r="E572" i="3"/>
  <c r="E200" i="3"/>
  <c r="E68" i="3"/>
  <c r="E26" i="3"/>
  <c r="E451" i="3"/>
  <c r="E204" i="3"/>
  <c r="E531" i="3"/>
  <c r="E45" i="3"/>
  <c r="E571" i="3"/>
  <c r="E447" i="3"/>
  <c r="E210" i="3"/>
  <c r="E441" i="3"/>
  <c r="E23" i="3"/>
  <c r="R6" i="3"/>
  <c r="E281" i="3"/>
  <c r="E383" i="3"/>
  <c r="E552" i="3"/>
  <c r="E82" i="3"/>
  <c r="E205" i="3"/>
  <c r="E367" i="3"/>
  <c r="E544" i="3"/>
  <c r="E19" i="3"/>
  <c r="E96" i="3"/>
  <c r="E54" i="3"/>
  <c r="E137" i="3"/>
  <c r="E130" i="3"/>
  <c r="E207" i="3"/>
  <c r="E348" i="3"/>
  <c r="E87" i="3"/>
  <c r="E190" i="3"/>
  <c r="E181" i="3"/>
  <c r="E203" i="3"/>
  <c r="E145" i="3"/>
  <c r="E363" i="3"/>
  <c r="E127" i="3"/>
  <c r="E372" i="3"/>
  <c r="E500" i="3"/>
  <c r="E15" i="3"/>
  <c r="E83" i="3"/>
  <c r="E344" i="3"/>
  <c r="E240" i="3"/>
  <c r="E386" i="3"/>
  <c r="E119" i="3"/>
  <c r="E167" i="3"/>
  <c r="E31" i="3"/>
  <c r="E62" i="3"/>
  <c r="E21" i="3"/>
  <c r="E50" i="3"/>
  <c r="E208" i="3"/>
  <c r="E488" i="3"/>
  <c r="E102" i="3"/>
  <c r="E460" i="3"/>
  <c r="E560" i="3"/>
  <c r="E95" i="3"/>
  <c r="E138" i="3"/>
  <c r="E483" i="3"/>
  <c r="E118" i="3"/>
  <c r="E315" i="3"/>
  <c r="E123" i="3"/>
  <c r="E120" i="3"/>
  <c r="E436" i="3"/>
  <c r="E540" i="3"/>
  <c r="E499" i="3"/>
  <c r="E49" i="3"/>
  <c r="E459" i="3"/>
  <c r="E161" i="3"/>
  <c r="E479" i="3"/>
  <c r="E462" i="3"/>
  <c r="E502" i="3"/>
  <c r="E35" i="3"/>
  <c r="E256" i="3"/>
  <c r="E325" i="3"/>
  <c r="E510" i="3"/>
  <c r="E432" i="3"/>
  <c r="E504" i="3"/>
  <c r="E51" i="3"/>
  <c r="E412" i="3"/>
  <c r="E72" i="3"/>
  <c r="E170" i="3"/>
  <c r="E101" i="3"/>
  <c r="E257" i="3"/>
  <c r="E43" i="3"/>
  <c r="E38" i="3"/>
  <c r="E232" i="3"/>
  <c r="E146" i="3"/>
  <c r="E61" i="3"/>
  <c r="E292" i="3"/>
  <c r="E48" i="3"/>
  <c r="E346" i="3"/>
  <c r="E416" i="3"/>
  <c r="E409" i="3"/>
  <c r="E326" i="3"/>
  <c r="E424" i="3"/>
  <c r="E155" i="3"/>
  <c r="E266" i="3"/>
  <c r="E94" i="3"/>
  <c r="E222" i="3"/>
  <c r="E55" i="3"/>
  <c r="E465" i="3"/>
  <c r="E192" i="3"/>
  <c r="E307" i="3"/>
  <c r="E178" i="3"/>
  <c r="E149" i="3"/>
  <c r="E580" i="3"/>
  <c r="E20" i="3"/>
  <c r="Q6" i="3"/>
  <c r="E57" i="3"/>
  <c r="E65" i="3"/>
  <c r="E517" i="3"/>
  <c r="E80" i="3"/>
  <c r="E351" i="3"/>
  <c r="E112" i="3"/>
  <c r="E129" i="3"/>
  <c r="E194" i="3"/>
  <c r="E542" i="3"/>
  <c r="E158" i="3"/>
  <c r="E86" i="3"/>
  <c r="E398" i="3"/>
  <c r="E415" i="3"/>
  <c r="E417" i="3"/>
  <c r="E59" i="3"/>
  <c r="E286" i="3"/>
  <c r="E324" i="3"/>
  <c r="E171" i="3"/>
  <c r="E299" i="3"/>
  <c r="E358" i="3"/>
  <c r="E411" i="3"/>
  <c r="E375" i="3"/>
  <c r="E341" i="3"/>
  <c r="E235" i="3"/>
  <c r="E141" i="3"/>
  <c r="E551" i="3"/>
  <c r="E548" i="3"/>
  <c r="E389" i="3"/>
  <c r="Y6" i="3"/>
  <c r="E428" i="3"/>
  <c r="E475" i="3"/>
  <c r="E100" i="3"/>
  <c r="E524" i="3"/>
  <c r="E419" i="3"/>
  <c r="E259" i="3"/>
  <c r="E24" i="3"/>
  <c r="E276" i="3"/>
  <c r="E487" i="3"/>
  <c r="E75" i="3"/>
  <c r="E308" i="3"/>
  <c r="E374" i="3"/>
  <c r="E22" i="3"/>
  <c r="E357" i="3"/>
  <c r="E179" i="3"/>
  <c r="E78" i="3"/>
  <c r="E454" i="3"/>
  <c r="E406" i="3"/>
  <c r="E132" i="3"/>
  <c r="E209" i="3"/>
  <c r="E25" i="3"/>
  <c r="E513" i="3"/>
  <c r="E362" i="3"/>
  <c r="E364" i="3"/>
  <c r="E330" i="3"/>
  <c r="E90" i="3"/>
  <c r="E47" i="3"/>
  <c r="E255" i="3"/>
  <c r="E370" i="3"/>
  <c r="E582" i="3"/>
  <c r="E133" i="3"/>
  <c r="E37" i="3"/>
  <c r="E98" i="3"/>
  <c r="AP6" i="3"/>
  <c r="AF6" i="3"/>
  <c r="E274" i="3"/>
  <c r="E36" i="3"/>
  <c r="E156" i="3"/>
  <c r="E489" i="3"/>
  <c r="E110" i="3"/>
  <c r="E253" i="3"/>
  <c r="E275" i="3"/>
  <c r="E150" i="3"/>
  <c r="E219" i="3"/>
  <c r="E108" i="3"/>
  <c r="E14" i="3"/>
  <c r="E342" i="3"/>
  <c r="E339" i="3"/>
  <c r="E220" i="3"/>
  <c r="E212" i="3"/>
  <c r="E294" i="3"/>
  <c r="U6" i="3"/>
  <c r="E349" i="3"/>
  <c r="E284" i="3"/>
  <c r="E60" i="3"/>
  <c r="E471" i="3"/>
  <c r="E79" i="3"/>
  <c r="E265" i="3"/>
  <c r="AE6" i="3"/>
  <c r="E297" i="3"/>
  <c r="E584" i="3"/>
  <c r="E18" i="3"/>
  <c r="E373" i="3"/>
  <c r="E73" i="3"/>
  <c r="E498" i="3"/>
  <c r="E241" i="3"/>
  <c r="E66" i="3"/>
  <c r="E226" i="3"/>
  <c r="E421" i="3"/>
  <c r="E32" i="3"/>
  <c r="E287" i="3"/>
  <c r="E481" i="3"/>
  <c r="E187" i="3"/>
  <c r="E248" i="3"/>
  <c r="E40" i="3"/>
  <c r="E309" i="3"/>
  <c r="E318" i="3"/>
  <c r="E340" i="3"/>
  <c r="E251" i="3"/>
  <c r="E52" i="3"/>
  <c r="E433" i="3"/>
  <c r="E365" i="3"/>
  <c r="E566" i="3"/>
  <c r="E277" i="3"/>
  <c r="E56" i="3"/>
  <c r="E446" i="3"/>
  <c r="E430" i="3"/>
  <c r="E206" i="3"/>
  <c r="E214" i="3"/>
  <c r="AQ6" i="3"/>
  <c r="E260" i="3"/>
  <c r="E547" i="3"/>
  <c r="E58" i="3"/>
  <c r="E154" i="3"/>
  <c r="E522" i="3"/>
  <c r="E464" i="3"/>
  <c r="E329" i="3"/>
  <c r="E403" i="3"/>
  <c r="E76" i="3"/>
  <c r="E157" i="3"/>
  <c r="E174" i="3"/>
  <c r="E168" i="3"/>
  <c r="E234" i="3"/>
  <c r="E407" i="3"/>
  <c r="E379" i="3"/>
  <c r="E378" i="3"/>
  <c r="E250" i="3"/>
  <c r="L6" i="3"/>
  <c r="E413" i="3"/>
  <c r="E455" i="3"/>
  <c r="E218" i="3"/>
  <c r="E111" i="3"/>
  <c r="E242" i="3"/>
  <c r="E93" i="3"/>
  <c r="E482" i="3"/>
  <c r="E323" i="3"/>
  <c r="E106" i="3"/>
  <c r="E587" i="3"/>
  <c r="E258" i="3"/>
  <c r="E354" i="3"/>
  <c r="E202" i="3"/>
  <c r="E312" i="3"/>
  <c r="E74" i="3"/>
  <c r="E176" i="3"/>
  <c r="E437" i="3"/>
  <c r="E131" i="3"/>
  <c r="E195" i="3"/>
  <c r="E401" i="3"/>
  <c r="E113" i="3"/>
  <c r="E496" i="3"/>
  <c r="E472" i="3"/>
  <c r="E152" i="3"/>
  <c r="E163" i="3"/>
  <c r="E463" i="3"/>
  <c r="E283" i="3"/>
  <c r="E394" i="3"/>
  <c r="E289" i="3"/>
  <c r="E177" i="3"/>
  <c r="E39" i="3"/>
  <c r="E521" i="3"/>
  <c r="E466" i="3"/>
  <c r="E34" i="3"/>
  <c r="E279" i="3"/>
  <c r="E392" i="3"/>
  <c r="E333" i="3"/>
  <c r="E473" i="3"/>
  <c r="E264" i="3"/>
  <c r="E147" i="3"/>
  <c r="AD6" i="3"/>
  <c r="AC6" i="3" s="1"/>
  <c r="AY6" i="3"/>
  <c r="K6" i="3"/>
  <c r="I6" i="3"/>
  <c r="E13" i="3"/>
  <c r="H6" i="3" l="1"/>
  <c r="E6" i="3" s="1"/>
  <c r="AY183" i="3"/>
  <c r="AY20" i="3"/>
  <c r="AY480" i="3"/>
  <c r="AY302" i="3"/>
  <c r="AY116" i="3"/>
  <c r="AY147" i="3"/>
  <c r="AY206" i="3"/>
  <c r="AY67" i="3"/>
  <c r="AY540" i="3"/>
  <c r="AY29" i="3"/>
  <c r="AY268" i="3"/>
  <c r="AY318" i="3"/>
  <c r="AY43" i="3"/>
  <c r="AY181" i="3"/>
  <c r="AY355" i="3"/>
  <c r="AY371" i="3"/>
  <c r="AY585" i="3"/>
  <c r="AY358" i="3"/>
  <c r="AY573" i="3"/>
  <c r="AY562" i="3"/>
  <c r="AY324" i="3"/>
  <c r="AY501" i="3"/>
  <c r="AY173" i="3"/>
  <c r="AY481" i="3"/>
  <c r="AY384" i="3"/>
  <c r="AY454" i="3"/>
  <c r="AY325" i="3"/>
  <c r="AY471" i="3"/>
  <c r="AY55" i="3"/>
  <c r="AY88" i="3"/>
  <c r="AY131" i="3"/>
  <c r="AY581" i="3"/>
  <c r="AY412" i="3"/>
  <c r="AY238" i="3"/>
  <c r="AY132" i="3"/>
  <c r="AY340" i="3"/>
  <c r="AY212" i="3"/>
  <c r="AY507" i="3"/>
  <c r="AY350" i="3"/>
  <c r="AY176" i="3"/>
  <c r="AY373" i="3"/>
  <c r="AY435" i="3"/>
  <c r="AY457" i="3"/>
  <c r="AY489" i="3"/>
  <c r="AY478" i="3"/>
  <c r="AY244" i="3"/>
  <c r="AY161" i="3"/>
  <c r="AY534" i="3"/>
  <c r="AY141" i="3"/>
  <c r="AY503" i="3"/>
  <c r="AY93" i="3"/>
  <c r="AY299" i="3"/>
  <c r="AY85" i="3"/>
  <c r="AY103" i="3"/>
  <c r="AY275" i="3"/>
  <c r="AY289" i="3"/>
  <c r="AY395" i="3"/>
  <c r="AY379" i="3"/>
  <c r="BS6" i="3"/>
  <c r="AY139" i="3"/>
  <c r="AY292" i="3"/>
  <c r="AY114" i="3"/>
  <c r="AY584" i="3"/>
  <c r="AY192" i="3"/>
  <c r="AY343" i="3"/>
  <c r="AY425" i="3"/>
  <c r="AY149" i="3"/>
  <c r="AY196" i="3"/>
  <c r="AY105" i="3"/>
  <c r="AY370" i="3"/>
  <c r="AY53" i="3"/>
  <c r="AY41" i="3"/>
  <c r="AY186" i="3"/>
  <c r="AY158" i="3"/>
  <c r="AY378" i="3"/>
  <c r="AY473" i="3"/>
  <c r="BN6" i="3"/>
  <c r="AY269" i="3"/>
  <c r="AY427" i="3"/>
  <c r="BA6" i="3"/>
  <c r="AY416" i="3"/>
  <c r="AY385" i="3"/>
  <c r="AY505" i="3"/>
  <c r="AY202" i="3"/>
  <c r="AY225" i="3"/>
  <c r="AY560" i="3"/>
  <c r="AY298" i="3"/>
  <c r="AY80" i="3"/>
  <c r="AY529" i="3"/>
  <c r="AY500" i="3"/>
  <c r="AY21" i="3"/>
  <c r="AY574" i="3"/>
  <c r="AY46" i="3"/>
  <c r="AY353" i="3"/>
  <c r="AY294" i="3"/>
  <c r="AY497" i="3"/>
  <c r="AY31" i="3"/>
  <c r="AY134" i="3"/>
  <c r="AY274" i="3"/>
  <c r="AY198" i="3"/>
  <c r="AY449" i="3"/>
  <c r="AY239" i="3"/>
  <c r="AY60" i="3"/>
  <c r="AY526" i="3"/>
  <c r="AY446" i="3"/>
  <c r="AY578" i="3"/>
  <c r="AY455" i="3"/>
  <c r="AY191" i="3"/>
  <c r="AY77" i="3"/>
  <c r="AY334" i="3"/>
  <c r="AY557" i="3"/>
  <c r="AY121" i="3"/>
  <c r="AY404" i="3"/>
  <c r="AY428" i="3"/>
  <c r="AY571" i="3"/>
  <c r="AY541" i="3"/>
  <c r="AY458" i="3"/>
  <c r="AY184" i="3"/>
  <c r="AY190" i="3"/>
  <c r="AY450" i="3"/>
  <c r="AY308" i="3"/>
  <c r="AY282" i="3"/>
  <c r="AY314" i="3"/>
  <c r="AY300" i="3"/>
  <c r="AY288" i="3"/>
  <c r="AY568" i="3"/>
  <c r="AY399" i="3"/>
  <c r="AY194" i="3"/>
  <c r="AY366" i="3"/>
  <c r="AY444" i="3"/>
  <c r="AY35" i="3"/>
  <c r="AY564" i="3"/>
  <c r="AY472" i="3"/>
  <c r="AY493" i="3"/>
  <c r="AY381" i="3"/>
  <c r="AY224" i="3"/>
  <c r="AY563" i="3"/>
  <c r="AY313" i="3"/>
  <c r="AY319" i="3"/>
  <c r="AY155" i="3"/>
  <c r="AY84" i="3"/>
  <c r="BJ6" i="3"/>
  <c r="AY284" i="3"/>
  <c r="AY417" i="3"/>
  <c r="AY69" i="3"/>
  <c r="AY182" i="3"/>
  <c r="AY171" i="3"/>
  <c r="AY287" i="3"/>
  <c r="AY346" i="3"/>
  <c r="AY193" i="3"/>
  <c r="AY222" i="3"/>
  <c r="AY197" i="3"/>
  <c r="AY204" i="3"/>
  <c r="AY162" i="3"/>
  <c r="AY406" i="3"/>
  <c r="AY389" i="3"/>
  <c r="AY170" i="3"/>
  <c r="AY447" i="3"/>
  <c r="BF6" i="3"/>
  <c r="AY63" i="3"/>
  <c r="AY51" i="3"/>
  <c r="AY242" i="3"/>
  <c r="AY440" i="3"/>
  <c r="AY138" i="3"/>
  <c r="AY423" i="3"/>
  <c r="AY119" i="3"/>
  <c r="AY388" i="3"/>
  <c r="AY174" i="3"/>
  <c r="AY463" i="3"/>
  <c r="AY390" i="3"/>
  <c r="AY99" i="3"/>
  <c r="AY295" i="3"/>
  <c r="AY28" i="3"/>
  <c r="AY213" i="3"/>
  <c r="AY361" i="3"/>
  <c r="AY432" i="3"/>
  <c r="AY293" i="3"/>
  <c r="AY312" i="3"/>
  <c r="AY97" i="3"/>
  <c r="AY57" i="3"/>
  <c r="AY160" i="3"/>
  <c r="AY341" i="3"/>
  <c r="AY209" i="3"/>
  <c r="AY569" i="3"/>
  <c r="AY436" i="3"/>
  <c r="AY258" i="3"/>
  <c r="BO6" i="3"/>
  <c r="AY245" i="3"/>
  <c r="BG6" i="3"/>
  <c r="AY201" i="3"/>
  <c r="AY439" i="3"/>
  <c r="AY50" i="3"/>
  <c r="AY215" i="3"/>
  <c r="AY106" i="3"/>
  <c r="AY495" i="3"/>
  <c r="AY229" i="3"/>
  <c r="AY368" i="3"/>
  <c r="AY220" i="3"/>
  <c r="AY525" i="3"/>
  <c r="AY377" i="3"/>
  <c r="AY403" i="3"/>
  <c r="AY234" i="3"/>
  <c r="AY456" i="3"/>
  <c r="AY372" i="3"/>
  <c r="AY112" i="3"/>
  <c r="AY68" i="3"/>
  <c r="AY514" i="3"/>
  <c r="AY187" i="3"/>
  <c r="AY95" i="3"/>
  <c r="AY548" i="3"/>
  <c r="AY79" i="3"/>
  <c r="AY411" i="3"/>
  <c r="AY118" i="3"/>
  <c r="AY277" i="3"/>
  <c r="AY575" i="3"/>
  <c r="AY369" i="3"/>
  <c r="AY125" i="3"/>
  <c r="AY443" i="3"/>
  <c r="AY337" i="3"/>
  <c r="AY243" i="3"/>
  <c r="AY362" i="3"/>
  <c r="AY527" i="3"/>
  <c r="AY561" i="3"/>
  <c r="AY87" i="3"/>
  <c r="AY522" i="3"/>
  <c r="BT6" i="3"/>
  <c r="AY477" i="3"/>
  <c r="BQ6" i="3"/>
  <c r="AY349" i="3"/>
  <c r="AY306" i="3"/>
  <c r="AY445" i="3"/>
  <c r="AY464" i="3"/>
  <c r="AY556" i="3"/>
  <c r="AY253" i="3"/>
  <c r="AY496" i="3"/>
  <c r="AY570" i="3"/>
  <c r="BK6" i="3"/>
  <c r="AY532" i="3"/>
  <c r="AY391" i="3"/>
  <c r="AY47" i="3"/>
  <c r="AY328" i="3"/>
  <c r="AY342" i="3"/>
  <c r="AY494" i="3"/>
  <c r="AY231" i="3"/>
  <c r="AY506" i="3"/>
  <c r="AY241" i="3"/>
  <c r="AY247" i="3"/>
  <c r="AY530" i="3"/>
  <c r="AY297" i="3"/>
  <c r="AY345" i="3"/>
  <c r="AY517" i="3"/>
  <c r="BE6" i="3"/>
  <c r="AY413" i="3"/>
  <c r="AY257" i="3"/>
  <c r="AY216" i="3"/>
  <c r="AY329" i="3"/>
  <c r="AY549" i="3"/>
  <c r="AY254" i="3"/>
  <c r="AY331" i="3"/>
  <c r="AY175" i="3"/>
  <c r="AY461" i="3"/>
  <c r="AY248" i="3"/>
  <c r="AY510" i="3"/>
  <c r="AY207" i="3"/>
  <c r="AY13" i="3"/>
  <c r="AY579" i="3"/>
  <c r="AY227" i="3"/>
  <c r="AY467" i="3"/>
  <c r="AY40" i="3"/>
  <c r="AY252" i="3"/>
  <c r="BB6" i="3"/>
  <c r="AY486" i="3"/>
  <c r="AY59" i="3"/>
  <c r="AY491" i="3"/>
  <c r="AY276" i="3"/>
  <c r="AY364" i="3"/>
  <c r="AY558" i="3"/>
  <c r="AY270" i="3"/>
  <c r="AY356" i="3"/>
  <c r="AY317" i="3"/>
  <c r="AY363" i="3"/>
  <c r="AY291" i="3"/>
  <c r="AY23" i="3"/>
  <c r="AY150" i="3"/>
  <c r="AY246" i="3"/>
  <c r="AY157" i="3"/>
  <c r="AY101" i="3"/>
  <c r="AY135" i="3"/>
  <c r="AY281" i="3"/>
  <c r="AY462" i="3"/>
  <c r="AY90" i="3"/>
  <c r="AY24" i="3"/>
  <c r="AY502" i="3"/>
  <c r="AY367" i="3"/>
  <c r="AY536" i="3"/>
  <c r="AY305" i="3"/>
  <c r="AY165" i="3"/>
  <c r="BI6" i="3"/>
  <c r="AY232" i="3"/>
  <c r="AY516" i="3"/>
  <c r="AY488" i="3"/>
  <c r="AY144" i="3"/>
  <c r="BP6" i="3"/>
  <c r="AY520" i="3"/>
  <c r="AY400" i="3"/>
  <c r="AY14" i="3"/>
  <c r="AY230" i="3"/>
  <c r="AY335" i="3"/>
  <c r="AY512" i="3"/>
  <c r="AY286" i="3"/>
  <c r="AY279" i="3"/>
  <c r="AY146" i="3"/>
  <c r="AY123" i="3"/>
  <c r="AY419" i="3"/>
  <c r="AY263" i="3"/>
  <c r="AY309" i="3"/>
  <c r="AY513" i="3"/>
  <c r="AY104" i="3"/>
  <c r="AY524" i="3"/>
  <c r="AY261" i="3"/>
  <c r="AY438" i="3"/>
  <c r="AY452" i="3"/>
  <c r="AY98" i="3"/>
  <c r="AY326" i="3"/>
  <c r="AY72" i="3"/>
  <c r="AY199" i="3"/>
  <c r="AY58" i="3"/>
  <c r="AY414" i="3"/>
  <c r="AY470" i="3"/>
  <c r="AY344" i="3"/>
  <c r="BL6" i="3"/>
  <c r="AY533" i="3"/>
  <c r="AY218" i="3"/>
  <c r="AY365" i="3"/>
  <c r="AY37" i="3"/>
  <c r="AY264" i="3"/>
  <c r="AY382" i="3"/>
  <c r="AY421" i="3"/>
  <c r="AY394" i="3"/>
  <c r="AY205" i="3"/>
  <c r="BM6" i="3"/>
  <c r="AY429" i="3"/>
  <c r="AY330" i="3"/>
  <c r="AY410" i="3"/>
  <c r="AY580" i="3"/>
  <c r="AY33" i="3"/>
  <c r="AY415" i="3"/>
  <c r="AY180" i="3"/>
  <c r="AY91" i="3"/>
  <c r="AY352" i="3"/>
  <c r="AY189" i="3"/>
  <c r="AY100" i="3"/>
  <c r="AY36" i="3"/>
  <c r="AY83" i="3"/>
  <c r="AY163" i="3"/>
  <c r="AY255" i="3"/>
  <c r="AY82" i="3"/>
  <c r="AY226" i="3"/>
  <c r="AY357" i="3"/>
  <c r="AY211" i="3"/>
  <c r="AY48" i="3"/>
  <c r="AY249" i="3"/>
  <c r="AY539" i="3"/>
  <c r="AY89" i="3"/>
  <c r="AY392" i="3"/>
  <c r="AY74" i="3"/>
  <c r="AY52" i="3"/>
  <c r="AY483" i="3"/>
  <c r="AY126" i="3"/>
  <c r="AY553" i="3"/>
  <c r="AY237" i="3"/>
  <c r="AY210" i="3"/>
  <c r="AY542" i="3"/>
  <c r="AY338" i="3"/>
  <c r="AY109" i="3"/>
  <c r="AY120" i="3"/>
  <c r="AY465" i="3"/>
  <c r="AY484" i="3"/>
  <c r="AY70" i="3"/>
  <c r="AY262" i="3"/>
  <c r="AY552" i="3"/>
  <c r="AY550" i="3"/>
  <c r="AY195" i="3"/>
  <c r="AY407" i="3"/>
  <c r="AY283" i="3"/>
  <c r="AY188" i="3"/>
  <c r="AY86" i="3"/>
  <c r="AY567" i="3"/>
  <c r="AY39" i="3"/>
  <c r="AY547" i="3"/>
  <c r="AY137" i="3"/>
  <c r="AY441" i="3"/>
  <c r="AY311" i="3"/>
  <c r="AY94" i="3"/>
  <c r="AY304" i="3"/>
  <c r="AY259" i="3"/>
  <c r="AY545" i="3"/>
  <c r="AY236" i="3"/>
  <c r="AY387" i="3"/>
  <c r="BR6" i="3"/>
  <c r="AY49" i="3"/>
  <c r="AY219" i="3"/>
  <c r="AY469" i="3"/>
  <c r="AY16" i="3"/>
  <c r="AY265" i="3"/>
  <c r="AY511" i="3"/>
  <c r="AY56" i="3"/>
  <c r="AY27" i="3"/>
  <c r="AY543" i="3"/>
  <c r="AY397" i="3"/>
  <c r="AY409" i="3"/>
  <c r="AY587" i="3"/>
  <c r="AY583" i="3"/>
  <c r="AY316" i="3"/>
  <c r="AY434" i="3"/>
  <c r="AY383" i="3"/>
  <c r="AY73" i="3"/>
  <c r="AY565" i="3"/>
  <c r="AY64" i="3"/>
  <c r="AY310" i="3"/>
  <c r="AY136" i="3"/>
  <c r="AY130" i="3"/>
  <c r="AY22" i="3"/>
  <c r="AY433" i="3"/>
  <c r="AY492" i="3"/>
  <c r="AY401" i="3"/>
  <c r="AY267" i="3"/>
  <c r="AY285" i="3"/>
  <c r="AY290" i="3"/>
  <c r="AY479" i="3"/>
  <c r="AY240" i="3"/>
  <c r="AY102" i="3"/>
  <c r="AY301" i="3"/>
  <c r="AY117" i="3"/>
  <c r="AY296" i="3"/>
  <c r="AY354" i="3"/>
  <c r="AY498" i="3"/>
  <c r="AY32" i="3"/>
  <c r="AY320" i="3"/>
  <c r="AY214" i="3"/>
  <c r="AY250" i="3"/>
  <c r="AY582" i="3"/>
  <c r="AY18" i="3"/>
  <c r="AY122" i="3"/>
  <c r="AY515" i="3"/>
  <c r="AY148" i="3"/>
  <c r="AY266" i="3"/>
  <c r="AY71" i="3"/>
  <c r="AY572" i="3"/>
  <c r="AY15" i="3"/>
  <c r="AY482" i="3"/>
  <c r="AY408" i="3"/>
  <c r="AY133" i="3"/>
  <c r="AY66" i="3"/>
  <c r="AY424" i="3"/>
  <c r="AY339" i="3"/>
  <c r="AY110" i="3"/>
  <c r="AY260" i="3"/>
  <c r="AY280" i="3"/>
  <c r="AY577" i="3"/>
  <c r="AY332" i="3"/>
  <c r="AY233" i="3"/>
  <c r="AY374" i="3"/>
  <c r="AY62" i="3"/>
  <c r="AY559" i="3"/>
  <c r="AY546" i="3"/>
  <c r="AY34" i="3"/>
  <c r="AY551" i="3"/>
  <c r="AY113" i="3"/>
  <c r="AY164" i="3"/>
  <c r="AY108" i="3"/>
  <c r="AY523" i="3"/>
  <c r="AY360" i="3"/>
  <c r="AY375" i="3"/>
  <c r="AY178" i="3"/>
  <c r="AY107" i="3"/>
  <c r="AY169" i="3"/>
  <c r="AY451" i="3"/>
  <c r="AY468" i="3"/>
  <c r="AY393" i="3"/>
  <c r="AY474" i="3"/>
  <c r="AY485" i="3"/>
  <c r="AY168" i="3"/>
  <c r="AY509" i="3"/>
  <c r="AY278" i="3"/>
  <c r="BD6" i="3"/>
  <c r="AY315" i="3"/>
  <c r="AY586" i="3"/>
  <c r="AY96" i="3"/>
  <c r="AY151" i="3"/>
  <c r="AY203" i="3"/>
  <c r="AY476" i="3"/>
  <c r="AY519" i="3"/>
  <c r="AY124" i="3"/>
  <c r="AY499" i="3"/>
  <c r="AY92" i="3"/>
  <c r="AY156" i="3"/>
  <c r="AY554" i="3"/>
  <c r="AY402" i="3"/>
  <c r="AY351" i="3"/>
  <c r="AY154" i="3"/>
  <c r="AY466" i="3"/>
  <c r="AY537" i="3"/>
  <c r="D3" i="6"/>
  <c r="AY185" i="3"/>
  <c r="AY307" i="3"/>
  <c r="AY544" i="3"/>
  <c r="AY448" i="3"/>
  <c r="AY442" i="3"/>
  <c r="AY504" i="3"/>
  <c r="AY228" i="3"/>
  <c r="AY54" i="3"/>
  <c r="AY167" i="3"/>
  <c r="AY61" i="3"/>
  <c r="AY376" i="3"/>
  <c r="AY333" i="3"/>
  <c r="AY38" i="3"/>
  <c r="AY129" i="3"/>
  <c r="AY143" i="3"/>
  <c r="AY271" i="3"/>
  <c r="AY398" i="3"/>
  <c r="AY323" i="3"/>
  <c r="AY521" i="3"/>
  <c r="AY221" i="3"/>
  <c r="AY235" i="3"/>
  <c r="AY420" i="3"/>
  <c r="AY127" i="3"/>
  <c r="AY518" i="3"/>
  <c r="AY487" i="3"/>
  <c r="AY115" i="3"/>
  <c r="AY152" i="3"/>
  <c r="AY348" i="3"/>
  <c r="AY256" i="3"/>
  <c r="AY321" i="3"/>
  <c r="AY42" i="3"/>
  <c r="AY531" i="3"/>
  <c r="BH6" i="3"/>
  <c r="AY45" i="3"/>
  <c r="AY431" i="3"/>
  <c r="AY217" i="3"/>
  <c r="AY153" i="3"/>
  <c r="AY76" i="3"/>
  <c r="AY386" i="3"/>
  <c r="AY396" i="3"/>
  <c r="AY128" i="3"/>
  <c r="AY17" i="3"/>
  <c r="AY223" i="3"/>
  <c r="AY327" i="3"/>
  <c r="AY200" i="3"/>
  <c r="AY251" i="3"/>
  <c r="AY555" i="3"/>
  <c r="AY347" i="3"/>
  <c r="AY172" i="3"/>
  <c r="AY490" i="3"/>
  <c r="AY453" i="3"/>
  <c r="BC6" i="3"/>
  <c r="AY26" i="3"/>
  <c r="AY535" i="3"/>
  <c r="AY78" i="3"/>
  <c r="AY418" i="3"/>
  <c r="AY273" i="3"/>
  <c r="AY322" i="3"/>
  <c r="AY166" i="3"/>
  <c r="AY179" i="3"/>
  <c r="AY272" i="3"/>
  <c r="AY159" i="3"/>
  <c r="AY380" i="3"/>
  <c r="AY30" i="3"/>
  <c r="AY336" i="3"/>
  <c r="AY460" i="3"/>
  <c r="AY528" i="3"/>
  <c r="AY44" i="3"/>
  <c r="AY405" i="3"/>
  <c r="AY140" i="3"/>
  <c r="AY65" i="3"/>
  <c r="AY75" i="3"/>
  <c r="AY508" i="3"/>
  <c r="AY538" i="3"/>
  <c r="AY303" i="3"/>
  <c r="AY81" i="3"/>
  <c r="AY142" i="3"/>
  <c r="AY111" i="3"/>
  <c r="AY177" i="3"/>
  <c r="AY145" i="3"/>
  <c r="AY437" i="3"/>
  <c r="AY19" i="3"/>
  <c r="AY576" i="3"/>
  <c r="AY430" i="3"/>
  <c r="AY25" i="3"/>
  <c r="AY475" i="3"/>
  <c r="AY459" i="3"/>
  <c r="AY566" i="3"/>
  <c r="AY426" i="3"/>
  <c r="AY422" i="3"/>
  <c r="AY208" i="3"/>
  <c r="AY359" i="3"/>
  <c r="H23" i="6" l="1"/>
  <c r="H26" i="6"/>
  <c r="D13" i="6"/>
  <c r="H24" i="6"/>
  <c r="D15" i="6"/>
  <c r="H21" i="6"/>
  <c r="D29" i="6"/>
  <c r="D9" i="6"/>
  <c r="L19" i="9"/>
  <c r="D23" i="6"/>
  <c r="R23" i="6" s="1"/>
  <c r="M19" i="9"/>
  <c r="C118" i="9" s="1"/>
  <c r="C14" i="74" s="1"/>
  <c r="B2" i="74" s="1"/>
  <c r="D24" i="6"/>
  <c r="R24" i="6" s="1"/>
  <c r="D21" i="6"/>
  <c r="R21" i="6" s="1"/>
  <c r="D8" i="6"/>
  <c r="D19" i="6"/>
  <c r="D26" i="6"/>
  <c r="R26" i="6" s="1"/>
  <c r="D28" i="6"/>
  <c r="D30" i="6" s="1"/>
  <c r="D14" i="6"/>
  <c r="D12" i="6"/>
  <c r="D11" i="6"/>
  <c r="D10" i="6"/>
  <c r="H25" i="6"/>
  <c r="H22" i="6"/>
  <c r="D6" i="6"/>
  <c r="D5" i="6"/>
  <c r="H20" i="6"/>
  <c r="D22" i="6"/>
  <c r="R22" i="6" s="1"/>
  <c r="H19" i="6"/>
  <c r="D25" i="6"/>
  <c r="R25" i="6" s="1"/>
  <c r="D20" i="6"/>
  <c r="R20" i="6" s="1"/>
  <c r="C18" i="4"/>
  <c r="E61" i="40"/>
  <c r="F61" i="40" s="1"/>
  <c r="B2" i="40" s="1"/>
  <c r="B3" i="40" s="1"/>
  <c r="H27" i="6" l="1"/>
  <c r="D16" i="6"/>
  <c r="A10" i="51"/>
  <c r="B9" i="72" s="1"/>
  <c r="C4" i="52"/>
  <c r="B45" i="72" s="1"/>
  <c r="A7" i="51"/>
  <c r="B7" i="72" s="1"/>
  <c r="D27" i="6"/>
  <c r="D31" i="6" s="1"/>
  <c r="R19" i="6"/>
  <c r="D7" i="74"/>
  <c r="D8" i="74"/>
  <c r="G21" i="9"/>
  <c r="C21" i="9"/>
  <c r="D21" i="9"/>
  <c r="R27" i="6" l="1"/>
  <c r="R6" i="1"/>
  <c r="R16" i="1" s="1"/>
  <c r="I5" i="6"/>
  <c r="I6" i="6"/>
  <c r="D53" i="9"/>
  <c r="D52" i="9"/>
  <c r="M68" i="9"/>
  <c r="C105" i="9"/>
  <c r="I4" i="52"/>
  <c r="F14" i="74"/>
  <c r="E14" i="74"/>
  <c r="D6" i="74"/>
  <c r="C6" i="74"/>
  <c r="H4" i="52"/>
  <c r="C104" i="9"/>
  <c r="P57" i="9"/>
  <c r="N58" i="9"/>
  <c r="D5" i="74"/>
  <c r="D14" i="74"/>
  <c r="B5" i="74"/>
  <c r="C5" i="74"/>
  <c r="N61" i="9"/>
  <c r="N60" i="9"/>
  <c r="N59" i="9"/>
  <c r="L68" i="9"/>
  <c r="D8" i="52"/>
  <c r="B22" i="72"/>
  <c r="B49" i="72"/>
  <c r="N57" i="9"/>
  <c r="E81" i="9"/>
  <c r="L65" i="9"/>
  <c r="M65" i="9"/>
  <c r="B53" i="72"/>
  <c r="C78" i="9"/>
  <c r="C73" i="9"/>
  <c r="B30" i="72"/>
  <c r="G14" i="74"/>
  <c r="B6" i="74"/>
  <c r="M48" i="9"/>
  <c r="M54" i="9"/>
  <c r="E4" i="52"/>
  <c r="B48" i="72"/>
  <c r="D122" i="9"/>
  <c r="D123" i="9"/>
  <c r="D9" i="52"/>
  <c r="D13" i="53"/>
  <c r="D14" i="53"/>
  <c r="B32" i="72"/>
  <c r="G4" i="52"/>
  <c r="B52" i="72"/>
  <c r="C81" i="9"/>
  <c r="H108" i="9"/>
  <c r="D15" i="53"/>
  <c r="B31" i="72"/>
  <c r="D59" i="9"/>
  <c r="M55" i="9"/>
  <c r="C96" i="9"/>
  <c r="E96" i="9"/>
  <c r="E97" i="9"/>
  <c r="L64" i="9"/>
  <c r="M64" i="9"/>
  <c r="L63" i="9"/>
  <c r="M63" i="9"/>
  <c r="M69" i="9"/>
  <c r="N69" i="9"/>
  <c r="C93" i="9"/>
  <c r="C86" i="9"/>
  <c r="H102" i="9"/>
  <c r="D7" i="53"/>
  <c r="B21" i="72"/>
  <c r="D4" i="52"/>
  <c r="B47" i="72"/>
  <c r="F119" i="9"/>
  <c r="F5" i="52"/>
  <c r="E118" i="9"/>
  <c r="D118" i="9"/>
  <c r="D119" i="9"/>
  <c r="D5" i="52"/>
  <c r="L67" i="9"/>
  <c r="M67" i="9"/>
  <c r="H119" i="9"/>
  <c r="H5" i="52"/>
  <c r="C64" i="9"/>
  <c r="C63" i="9"/>
  <c r="C67" i="9"/>
  <c r="C68" i="9"/>
  <c r="D54" i="9"/>
  <c r="H107" i="9"/>
  <c r="M49" i="9"/>
  <c r="L66" i="9"/>
  <c r="M66" i="9"/>
  <c r="D55" i="9"/>
  <c r="M53" i="9"/>
  <c r="C72" i="9"/>
  <c r="C79" i="9"/>
  <c r="C80" i="9"/>
  <c r="E80" i="9"/>
  <c r="D56" i="9"/>
  <c r="D6" i="53"/>
  <c r="D5" i="53"/>
  <c r="B20" i="72"/>
  <c r="G118" i="9"/>
  <c r="F118" i="9"/>
  <c r="F4" i="52"/>
  <c r="B5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<sst xmlns="http://schemas.openxmlformats.org/spreadsheetml/2006/main" count="7730" uniqueCount="3110">
  <si>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</si>
  <si>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</si>
  <si>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</si>
  <si>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</si>
  <si>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</si>
  <si>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</si>
  <si>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</si>
  <si>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</si>
  <si>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</si>
  <si>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</si>
  <si>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</si>
  <si>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</si>
  <si>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</si>
  <si>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</si>
  <si>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</si>
  <si>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</si>
  <si>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</si>
  <si>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</si>
  <si>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</si>
  <si>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</si>
  <si>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</si>
  <si>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</si>
  <si>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</si>
  <si>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</si>
  <si>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</si>
  <si>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</si>
  <si>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</si>
  <si>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</si>
  <si>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</si>
  <si>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</si>
  <si>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</si>
  <si>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</si>
  <si>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</si>
  <si>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</si>
  <si>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</si>
  <si>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</si>
  <si>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</si>
  <si>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</si>
  <si>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</si>
  <si>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</si>
  <si>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</si>
  <si>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</si>
  <si>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</si>
  <si>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</si>
  <si>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</si>
  <si>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</si>
  <si>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</si>
  <si>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</si>
  <si>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</si>
  <si>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</si>
  <si>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</si>
  <si>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</si>
  <si>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</si>
  <si>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</si>
  <si>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</si>
  <si>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</si>
  <si>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</si>
  <si>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</si>
  <si>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</si>
  <si>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</si>
  <si>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</si>
  <si>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</si>
  <si>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</si>
  <si>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</si>
  <si>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</si>
  <si>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</si>
  <si>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</si>
  <si>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</si>
  <si>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</si>
  <si>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</si>
  <si>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</si>
  <si>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</si>
  <si>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</si>
  <si>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</si>
  <si>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</si>
  <si>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</si>
  <si>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</si>
  <si>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</si>
  <si>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</si>
  <si>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</si>
  <si>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</si>
  <si>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</si>
  <si>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</si>
  <si>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</si>
  <si>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</si>
  <si>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</si>
  <si>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</si>
  <si>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</si>
  <si>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</si>
  <si>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</si>
  <si>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</si>
  <si>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</si>
  <si>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</si>
  <si>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</si>
  <si>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</si>
  <si>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</si>
  <si>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</si>
  <si>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</si>
  <si>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</si>
  <si>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</si>
  <si>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</si>
  <si>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</si>
  <si>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</si>
  <si>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</si>
  <si>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</si>
  <si>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</si>
  <si>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</si>
  <si>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</si>
  <si>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</si>
  <si>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</si>
  <si>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</si>
  <si>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</si>
  <si>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</si>
  <si>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</si>
  <si>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</si>
  <si>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</si>
  <si>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</si>
  <si>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</si>
  <si>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</si>
  <si>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</si>
  <si>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</si>
  <si>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</si>
  <si>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</si>
  <si>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</si>
  <si>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</si>
  <si>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</si>
  <si>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</si>
  <si>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</si>
  <si>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</si>
  <si>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</si>
  <si>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</si>
  <si>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</si>
  <si>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</si>
  <si>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</si>
  <si>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</si>
  <si>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</si>
  <si>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</si>
  <si>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</si>
  <si>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</si>
  <si>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</si>
  <si>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</si>
  <si>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</si>
  <si>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</si>
  <si>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</si>
  <si>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</si>
  <si>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</si>
  <si>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</si>
  <si>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</si>
  <si>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</si>
  <si>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</si>
  <si>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</si>
  <si>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</si>
  <si>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</si>
  <si>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</si>
  <si>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</si>
  <si>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</si>
  <si>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</si>
  <si>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</si>
  <si>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</si>
  <si>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</si>
  <si>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</si>
  <si>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</si>
  <si>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</si>
  <si>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</si>
  <si>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</si>
  <si>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</si>
  <si>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</si>
  <si>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</si>
  <si>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</si>
  <si>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</si>
  <si>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</si>
  <si>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</si>
  <si>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</si>
  <si>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</si>
  <si>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</si>
  <si>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</si>
  <si>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</si>
  <si>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</si>
  <si>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</si>
  <si>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</si>
  <si>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</si>
  <si>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</si>
  <si>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</si>
  <si>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</si>
  <si>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</si>
  <si>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</si>
  <si>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</si>
  <si>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</si>
  <si>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</si>
  <si>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</si>
  <si>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</si>
  <si>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</si>
  <si>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</si>
  <si>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</si>
  <si>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</si>
  <si>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</si>
  <si>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</si>
  <si>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</si>
  <si>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</si>
  <si>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</si>
  <si>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</si>
  <si>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</si>
  <si>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</si>
  <si>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</si>
  <si>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</si>
  <si>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</si>
  <si>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</si>
  <si>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</si>
  <si>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</si>
  <si>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</si>
  <si>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</si>
  <si>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</si>
  <si>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</si>
  <si>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</si>
  <si>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</si>
  <si>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</si>
  <si>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</si>
  <si>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</si>
  <si>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</si>
  <si>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</si>
  <si>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</si>
  <si>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</si>
  <si>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</si>
  <si>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</si>
  <si>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</si>
  <si>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</si>
  <si>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</si>
  <si>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</si>
  <si>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</si>
  <si>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</si>
  <si>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</si>
  <si>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</si>
  <si>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</si>
  <si>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</si>
  <si>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</si>
  <si>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</si>
  <si>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</si>
  <si>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</si>
  <si>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</si>
  <si>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</si>
  <si>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</si>
  <si>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</si>
  <si>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</si>
  <si>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</si>
  <si>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</si>
  <si>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</si>
  <si>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</si>
  <si>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</si>
  <si>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</si>
  <si>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</si>
  <si>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</si>
  <si>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</si>
  <si>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</si>
  <si>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</si>
  <si>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</si>
  <si>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</si>
  <si>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</si>
  <si>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</si>
  <si>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</si>
  <si>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</si>
  <si>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</si>
  <si>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</si>
  <si>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</si>
  <si>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</si>
  <si>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</si>
  <si>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</si>
  <si>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</si>
  <si>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</si>
  <si>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</si>
  <si>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</si>
  <si>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</si>
  <si>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</si>
  <si>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</si>
  <si>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</si>
  <si>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</si>
  <si>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</si>
  <si>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</si>
  <si>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</si>
  <si>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</si>
  <si>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</si>
  <si>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</si>
  <si>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</si>
  <si>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</si>
  <si>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</si>
  <si>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</si>
  <si>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</si>
  <si>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</si>
  <si>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</si>
  <si>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</si>
  <si>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</si>
  <si>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</si>
  <si>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</si>
  <si>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</si>
  <si>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</si>
  <si>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</si>
  <si>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</si>
  <si>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</si>
  <si>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</si>
  <si>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</si>
  <si>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</si>
  <si>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</si>
  <si>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</si>
  <si>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</si>
  <si>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</si>
  <si>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</si>
  <si>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</si>
  <si>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</si>
  <si>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</si>
  <si>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</si>
  <si>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</si>
  <si>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</si>
  <si>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</si>
  <si>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</si>
  <si>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</si>
  <si>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</si>
  <si>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</si>
  <si>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</si>
  <si>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</si>
  <si>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</si>
  <si>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</si>
  <si>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</si>
  <si>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</si>
  <si>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</si>
  <si>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</si>
  <si>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</si>
  <si>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</si>
  <si>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</si>
  <si>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</si>
  <si>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</si>
  <si>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</si>
  <si>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</si>
  <si>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</si>
  <si>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</si>
  <si>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</si>
  <si>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</si>
  <si>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</si>
  <si>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</si>
  <si>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</si>
  <si>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</si>
  <si>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</si>
  <si>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</si>
  <si>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</si>
  <si>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</si>
  <si>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</si>
  <si>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</si>
  <si>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</si>
  <si>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</si>
  <si>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</si>
  <si>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</si>
  <si>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</si>
  <si>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</si>
  <si>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</si>
  <si>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</si>
  <si>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</si>
  <si>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</si>
  <si>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</si>
  <si>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</si>
  <si>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</si>
  <si>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</si>
  <si>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</si>
  <si>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</si>
  <si>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</si>
  <si>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</si>
  <si>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</si>
  <si>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</si>
  <si>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</si>
  <si>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</si>
  <si>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</si>
  <si>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</si>
  <si>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</si>
  <si>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</si>
  <si>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</si>
  <si>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</si>
  <si>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</si>
  <si>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</si>
  <si>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</si>
  <si>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</si>
  <si>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</si>
  <si>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</si>
  <si>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</si>
  <si>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</si>
  <si>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</si>
  <si>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</si>
  <si>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</si>
  <si>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</si>
  <si>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</si>
  <si>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</si>
  <si>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</si>
  <si>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</si>
  <si>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</si>
  <si>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</si>
  <si>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</si>
  <si>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</si>
  <si>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</si>
  <si>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</si>
  <si>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</si>
  <si>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</si>
  <si>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</si>
  <si>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</si>
  <si>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</si>
  <si>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</si>
  <si>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</si>
  <si>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</si>
  <si>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</si>
  <si>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</si>
  <si>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</si>
  <si>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</si>
  <si>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</si>
  <si>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</si>
  <si>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</si>
  <si>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</si>
  <si>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</si>
  <si>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</si>
  <si>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</si>
  <si>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</si>
  <si>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</si>
  <si>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</si>
  <si>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</si>
  <si>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</si>
  <si>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</si>
  <si>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</si>
  <si>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</si>
  <si>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</si>
  <si>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</si>
  <si>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</si>
  <si>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</si>
  <si>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</si>
  <si>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</si>
  <si>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</si>
  <si>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</si>
  <si>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</si>
  <si>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</si>
  <si>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</si>
  <si>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</si>
  <si>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</si>
  <si>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</si>
  <si>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</si>
  <si>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</si>
  <si>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</si>
  <si>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</si>
  <si>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</si>
  <si>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</si>
  <si>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</si>
  <si>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</si>
  <si>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</si>
  <si>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</si>
  <si>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</si>
  <si>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</si>
  <si>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</si>
  <si>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</si>
  <si>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</si>
  <si>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</si>
  <si>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</si>
  <si>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</si>
  <si>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</si>
  <si>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</si>
  <si>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</si>
  <si>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</si>
  <si>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</si>
  <si>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</si>
  <si>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</si>
  <si>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</si>
  <si>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</si>
  <si>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</si>
  <si>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</si>
  <si>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</si>
  <si>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</si>
  <si>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</si>
  <si>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</si>
  <si>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</si>
  <si>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</si>
  <si>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</si>
  <si>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</si>
  <si>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</si>
  <si>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</si>
  <si>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</si>
  <si>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</si>
  <si>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</si>
  <si>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</si>
  <si>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</si>
  <si>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</si>
  <si>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</si>
  <si>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</si>
  <si>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</si>
  <si>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</si>
  <si>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</si>
  <si>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</si>
  <si>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</si>
  <si>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</si>
  <si>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</si>
  <si>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</si>
  <si>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</si>
  <si>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</si>
  <si>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</si>
  <si>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</si>
  <si>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</si>
  <si>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</si>
  <si>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</si>
  <si>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</si>
  <si>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</si>
  <si>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</si>
  <si>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</si>
  <si>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</si>
  <si>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</si>
  <si>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</si>
  <si>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</si>
  <si>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</si>
  <si>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</si>
  <si>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</si>
  <si>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</si>
  <si>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</si>
  <si>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</si>
  <si>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</si>
  <si>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</si>
  <si>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</si>
  <si>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</si>
  <si>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</si>
  <si>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</si>
  <si>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</si>
  <si>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</si>
  <si>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</si>
  <si>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</si>
  <si>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</si>
  <si>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</si>
  <si>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</si>
  <si>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</si>
  <si>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</si>
  <si>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</si>
  <si>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</si>
  <si>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</si>
  <si>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</si>
  <si>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</si>
  <si>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</si>
  <si>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</si>
  <si>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</si>
  <si>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</si>
  <si>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</si>
  <si>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</si>
  <si>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</si>
  <si>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</si>
  <si>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</si>
  <si>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</si>
  <si>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</si>
  <si>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</si>
  <si>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</si>
  <si>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</si>
  <si>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</si>
  <si>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</si>
  <si>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</si>
  <si>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</si>
  <si>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</si>
  <si>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</si>
  <si>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</si>
  <si>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</si>
  <si>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</si>
  <si>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</si>
  <si>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</si>
  <si>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</si>
  <si>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</si>
  <si>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</si>
  <si>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</si>
  <si>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</si>
  <si>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</si>
  <si>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</si>
  <si>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</si>
  <si>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</si>
  <si>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</si>
  <si>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</si>
  <si>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</si>
  <si>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</si>
  <si>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</si>
  <si>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</si>
  <si>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</si>
  <si>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</si>
  <si>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</si>
  <si>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</si>
  <si>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</si>
  <si>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</si>
  <si>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</si>
  <si>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</si>
  <si>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</si>
  <si>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</si>
  <si>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</si>
  <si>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</si>
  <si>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</si>
  <si>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</si>
  <si>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</si>
  <si>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</si>
  <si>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</si>
  <si>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</si>
  <si>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</si>
  <si>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</si>
  <si>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</si>
  <si>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</si>
  <si>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</si>
  <si>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</si>
  <si>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</si>
  <si>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</si>
  <si>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</si>
  <si>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</si>
  <si>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</si>
  <si>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</si>
  <si>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</si>
  <si>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</si>
  <si>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</si>
  <si>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</si>
  <si>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</si>
  <si>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</si>
  <si>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</si>
  <si>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</si>
  <si>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</si>
  <si>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</si>
  <si>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</si>
  <si>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</si>
  <si>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</si>
  <si>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</si>
  <si>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</si>
  <si>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</si>
  <si>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</si>
  <si>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</si>
  <si>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</si>
  <si>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</si>
  <si>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</si>
  <si>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</si>
  <si>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</si>
  <si>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</si>
  <si>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</si>
  <si>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</si>
  <si>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</si>
  <si>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</si>
  <si>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</si>
  <si>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</si>
  <si>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</si>
  <si>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</si>
  <si>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</si>
  <si>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</si>
  <si>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</si>
  <si>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</si>
  <si>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</si>
  <si>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</si>
  <si>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</si>
  <si>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</si>
  <si>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</si>
  <si>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</si>
  <si>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</si>
  <si>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</si>
  <si>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</si>
  <si>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</si>
  <si>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</si>
  <si>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</si>
  <si>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</si>
  <si>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</si>
  <si>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</si>
  <si>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</si>
  <si>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</si>
  <si>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</si>
  <si>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</si>
  <si>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</si>
  <si>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</si>
  <si>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</si>
  <si>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</si>
  <si>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</si>
  <si>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</si>
  <si>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</si>
  <si>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</si>
  <si>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</si>
  <si>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</si>
  <si>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</si>
  <si>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</si>
  <si>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</si>
  <si>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</si>
  <si>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</si>
  <si>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</si>
  <si>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</si>
  <si>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</si>
  <si>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</si>
  <si>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</si>
  <si>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</si>
  <si>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</si>
  <si>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</si>
  <si>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</si>
  <si>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</si>
  <si>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</si>
  <si>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</si>
  <si>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</si>
  <si>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</si>
  <si>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</si>
  <si>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</si>
  <si>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</si>
  <si>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</si>
  <si>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</si>
  <si>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</si>
  <si>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</si>
  <si>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</si>
  <si>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</si>
  <si>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</si>
  <si>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</si>
  <si>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</si>
  <si>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</si>
  <si>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</si>
  <si>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</si>
  <si>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</si>
  <si>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</si>
  <si>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</si>
  <si>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</si>
  <si>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</si>
  <si>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</si>
  <si>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</si>
  <si>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</si>
  <si>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</si>
  <si>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</si>
  <si>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</si>
  <si>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</si>
  <si>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</si>
  <si>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</si>
  <si>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</si>
  <si>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</si>
  <si>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</si>
  <si>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</si>
  <si>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</si>
  <si>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</si>
  <si>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</si>
  <si>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</si>
  <si>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</si>
  <si>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</si>
  <si>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</si>
  <si>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</si>
  <si>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</si>
  <si>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</si>
  <si>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</si>
  <si>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</si>
  <si>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</si>
  <si>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</si>
  <si>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</si>
  <si>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</si>
  <si>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</si>
  <si>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</si>
  <si>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</si>
  <si>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</si>
  <si>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</si>
  <si>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</si>
  <si>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</si>
  <si>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</si>
  <si>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</si>
  <si>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</si>
  <si>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</si>
  <si>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</si>
  <si>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</si>
  <si>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</si>
  <si>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</si>
  <si>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</si>
  <si>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</si>
  <si>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</si>
  <si>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</si>
  <si>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</si>
  <si>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</si>
  <si>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</si>
  <si>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</si>
  <si>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</si>
  <si>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</si>
  <si>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</si>
  <si>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</si>
  <si>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</si>
  <si>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</si>
  <si>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</si>
  <si>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</si>
  <si>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</si>
  <si>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</si>
  <si>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</si>
  <si>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</si>
  <si>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</si>
  <si>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</si>
  <si>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</si>
  <si>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</si>
  <si>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</si>
  <si>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</si>
  <si>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</si>
  <si>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</si>
  <si>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</si>
  <si>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</si>
  <si>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</si>
  <si>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</si>
  <si>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</si>
  <si>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</si>
  <si>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</si>
  <si>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</si>
  <si>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</si>
  <si>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</si>
  <si>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</si>
  <si>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</si>
  <si>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</si>
  <si>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</si>
  <si>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</si>
  <si>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</si>
  <si>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</si>
  <si>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</si>
  <si>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</si>
  <si>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</si>
  <si>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</si>
  <si>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</si>
  <si>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</si>
  <si>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</si>
  <si>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</si>
  <si>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</si>
  <si>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</si>
  <si>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</si>
  <si>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</si>
  <si>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</si>
  <si>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</si>
  <si>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</si>
  <si>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</si>
  <si>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</si>
  <si>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</si>
  <si>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</si>
  <si>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</si>
  <si>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</si>
  <si>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</si>
  <si>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</si>
  <si>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</si>
  <si>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</si>
  <si>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</si>
  <si>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</si>
  <si>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</si>
  <si>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</si>
  <si>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</si>
  <si>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</si>
  <si>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</si>
  <si>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</si>
  <si>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</si>
  <si>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</si>
  <si>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</si>
  <si>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</si>
  <si>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</si>
  <si>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</si>
  <si>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</si>
  <si>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</si>
  <si>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</si>
  <si>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</si>
  <si>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</si>
  <si>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</si>
  <si>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</si>
  <si>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</si>
  <si>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</si>
  <si>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</si>
  <si>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</si>
  <si>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</si>
  <si>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</si>
  <si>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</si>
  <si>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</si>
  <si>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</si>
  <si>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</si>
  <si>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</si>
  <si>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</si>
  <si>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</si>
  <si>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</si>
  <si>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</si>
  <si>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</si>
  <si>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</si>
  <si>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</si>
  <si>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</si>
  <si>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</si>
  <si>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</si>
  <si>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</si>
  <si>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</si>
  <si>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</si>
  <si>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</si>
  <si>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</si>
  <si>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</si>
  <si>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</si>
  <si>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</si>
  <si>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</si>
  <si>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</si>
  <si>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</si>
  <si>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</si>
  <si>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</si>
  <si>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</si>
  <si>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</si>
  <si>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</si>
  <si>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</si>
  <si>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</si>
  <si>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</si>
  <si>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</si>
  <si>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</si>
  <si>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</si>
  <si>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</si>
  <si>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</si>
  <si>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</si>
  <si>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</si>
  <si>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</si>
  <si>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</si>
  <si>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</si>
  <si>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</si>
  <si>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</si>
  <si>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</si>
  <si>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</si>
  <si>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</si>
  <si>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</si>
  <si>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</si>
  <si>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</si>
  <si>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</si>
  <si>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</si>
  <si>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</si>
  <si>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</si>
  <si>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</si>
  <si>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</si>
  <si>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</si>
  <si>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</si>
  <si>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</si>
  <si>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</si>
  <si>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</si>
  <si>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</si>
  <si>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</si>
  <si>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</si>
  <si>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</si>
  <si>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</si>
  <si>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</si>
  <si>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</si>
  <si>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</si>
  <si>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</si>
  <si>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</si>
  <si>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</si>
  <si>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</si>
  <si>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</si>
  <si>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</si>
  <si>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</si>
  <si>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</si>
  <si>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</si>
  <si>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</si>
  <si>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</si>
  <si>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</si>
  <si>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</si>
  <si>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</si>
  <si>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</si>
  <si>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</si>
  <si>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</si>
  <si>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</si>
  <si>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</si>
  <si>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</si>
  <si>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</si>
  <si>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</si>
  <si>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</si>
  <si>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</si>
  <si>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</si>
  <si>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</si>
  <si>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</si>
  <si>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</si>
  <si>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</si>
  <si>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</si>
  <si>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</si>
  <si>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</si>
  <si>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</si>
  <si>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</si>
  <si>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</si>
  <si>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</si>
  <si>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</si>
  <si>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</si>
  <si>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</si>
  <si>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</si>
  <si>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</si>
  <si>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</si>
  <si>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</si>
  <si>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</si>
  <si>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</si>
  <si>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</si>
  <si>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</si>
  <si>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</si>
  <si>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</si>
  <si>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</si>
  <si>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</si>
  <si>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</si>
  <si>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</si>
  <si>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</si>
  <si>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</si>
  <si>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</si>
  <si>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</si>
  <si>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</si>
  <si>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</si>
  <si>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</si>
  <si>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</si>
  <si>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</si>
  <si>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</si>
  <si>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</si>
  <si>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</si>
  <si>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</si>
  <si>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</si>
  <si>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</si>
  <si>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</si>
  <si>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</si>
  <si>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</si>
  <si>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</si>
  <si>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</si>
  <si>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</si>
  <si>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</si>
  <si>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</si>
  <si>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</si>
  <si>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</si>
  <si>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</si>
  <si>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</si>
  <si>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</si>
  <si>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</si>
  <si>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</si>
  <si>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</si>
  <si>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</si>
  <si>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</si>
  <si>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</si>
  <si>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</si>
  <si>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</si>
  <si>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</si>
  <si>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</si>
  <si>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</si>
  <si>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</si>
  <si>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</si>
  <si>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</si>
  <si>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</si>
  <si>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</si>
  <si>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</si>
  <si>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</si>
  <si>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</si>
  <si>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</si>
  <si>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</si>
  <si>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</si>
  <si>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</si>
  <si>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</si>
  <si>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</si>
  <si>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</si>
  <si>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</si>
  <si>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</si>
  <si>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</si>
  <si>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</si>
  <si>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</si>
  <si>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</si>
  <si>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</si>
  <si>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</si>
  <si>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</si>
  <si>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</si>
  <si>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</si>
  <si>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</si>
  <si>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</si>
  <si>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</si>
  <si>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</si>
  <si>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</si>
  <si>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</si>
  <si>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</si>
  <si>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</si>
  <si>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</si>
  <si>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</si>
  <si>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</si>
  <si>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</si>
  <si>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</si>
  <si>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</si>
  <si>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</si>
  <si>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</si>
  <si>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</si>
  <si>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</si>
  <si>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</si>
  <si>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</si>
  <si>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</si>
  <si>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</si>
  <si>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</si>
  <si>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</si>
  <si>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</si>
  <si>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</si>
  <si>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</si>
  <si>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</si>
  <si>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</si>
  <si>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</si>
  <si>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</si>
  <si>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</si>
  <si>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</si>
  <si>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</si>
  <si>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</si>
  <si>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</si>
  <si>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</si>
  <si>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</si>
  <si>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</si>
  <si>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</si>
  <si>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</si>
  <si>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</si>
  <si>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</si>
  <si>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</si>
  <si>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</si>
  <si>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</si>
  <si>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</si>
  <si>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</si>
  <si>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</si>
  <si>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</si>
  <si>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</si>
  <si>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</si>
  <si>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</si>
  <si>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</si>
  <si>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</si>
  <si>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</si>
  <si>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</si>
  <si>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</si>
  <si>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</si>
  <si>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</si>
  <si>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</si>
  <si>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</si>
  <si>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</si>
  <si>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</si>
  <si>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</si>
  <si>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</si>
  <si>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</si>
  <si>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</si>
  <si>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</si>
  <si>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</si>
  <si>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</si>
  <si>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</si>
  <si>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</si>
  <si>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</si>
  <si>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</si>
  <si>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</si>
  <si>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</si>
  <si>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</si>
  <si>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</si>
  <si>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</si>
  <si>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</si>
  <si>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</si>
  <si>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</si>
  <si>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</si>
  <si>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</si>
  <si>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</si>
  <si>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</si>
  <si>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</si>
  <si>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</si>
  <si>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</si>
  <si>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</si>
  <si>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</si>
  <si>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</si>
  <si>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</si>
  <si>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</si>
  <si>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</si>
  <si>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</si>
  <si>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</si>
  <si>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</si>
  <si>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</si>
  <si>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</si>
  <si>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</si>
  <si>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</si>
  <si>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</si>
  <si>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</si>
  <si>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</si>
  <si>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</si>
  <si>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</si>
  <si>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</si>
  <si>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</si>
  <si>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</si>
  <si>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</si>
  <si>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</si>
  <si>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</si>
  <si>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</si>
  <si>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</si>
  <si>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</si>
  <si>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</si>
  <si>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</si>
  <si>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</si>
  <si>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</si>
  <si>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</si>
  <si>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</si>
  <si>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</si>
  <si>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</si>
  <si>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</si>
  <si>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</si>
  <si>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</si>
  <si>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</si>
  <si>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</si>
  <si>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</si>
  <si>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</si>
  <si>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</si>
  <si>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</si>
  <si>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</si>
  <si>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</si>
  <si>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</si>
  <si>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</si>
  <si>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</si>
  <si>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</si>
  <si>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</si>
  <si>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</si>
  <si>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</si>
  <si>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</si>
  <si>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</si>
  <si>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</si>
  <si>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</si>
  <si>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</si>
  <si>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</si>
  <si>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</si>
  <si>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</si>
  <si>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</si>
  <si>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</si>
  <si>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</si>
  <si>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</si>
  <si>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</si>
  <si>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</si>
  <si>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</si>
  <si>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</si>
  <si>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</si>
  <si>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</si>
  <si>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</si>
  <si>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</si>
  <si>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</si>
  <si>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</si>
  <si>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</si>
  <si>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</si>
  <si>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</si>
  <si>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</si>
  <si>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</si>
  <si>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</si>
  <si>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</si>
  <si>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</si>
  <si>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</si>
  <si>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</si>
  <si>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</si>
  <si>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</si>
  <si>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</si>
  <si>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</si>
  <si>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</si>
  <si>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</si>
  <si>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</si>
  <si>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</si>
  <si>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</si>
  <si>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</si>
  <si>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</si>
  <si>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</si>
  <si>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</si>
  <si>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</si>
  <si>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</si>
  <si>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</si>
  <si>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</si>
  <si>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</si>
  <si>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</si>
  <si>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</si>
  <si>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</si>
  <si>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</si>
  <si>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</si>
  <si>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</si>
  <si>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</si>
  <si>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</si>
  <si>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</si>
  <si>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</si>
  <si>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</si>
  <si>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</si>
  <si>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</si>
  <si>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</si>
  <si>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</si>
  <si>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</si>
  <si>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</si>
  <si>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</si>
  <si>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</si>
  <si>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</si>
  <si>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</si>
  <si>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</si>
  <si>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</si>
  <si>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</si>
  <si>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</si>
  <si>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</si>
  <si>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</si>
  <si>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</si>
  <si>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</si>
  <si>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</si>
  <si>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</si>
  <si>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</si>
  <si>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</si>
  <si>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</si>
  <si>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</si>
  <si>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</si>
  <si>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</si>
  <si>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</si>
  <si>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</si>
  <si>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</si>
  <si>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</si>
  <si>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</si>
  <si>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</si>
  <si>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</si>
  <si>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</si>
  <si>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</si>
  <si>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</si>
  <si>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</si>
  <si>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</si>
  <si>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</si>
  <si>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</si>
  <si>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</si>
  <si>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</si>
  <si>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</si>
  <si>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</si>
  <si>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</si>
  <si>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</si>
  <si>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</si>
  <si>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</si>
  <si>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</si>
  <si>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</si>
  <si>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</si>
  <si>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</si>
  <si>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</si>
  <si>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</si>
  <si>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</si>
  <si>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</si>
  <si>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</si>
  <si>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</si>
  <si>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</si>
  <si>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</si>
  <si>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</si>
  <si>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</si>
  <si>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</si>
  <si>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</si>
  <si>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</si>
  <si>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</si>
  <si>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</si>
  <si>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</si>
  <si>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</si>
  <si>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</si>
  <si>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</si>
  <si>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</si>
  <si>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</si>
  <si>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</si>
  <si>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</si>
  <si>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</si>
  <si>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</si>
  <si>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</si>
  <si>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</si>
  <si>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</si>
  <si>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</si>
  <si>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</si>
  <si>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</si>
  <si>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</si>
  <si>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</si>
  <si>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</si>
  <si>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</si>
  <si>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</si>
  <si>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</si>
  <si>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</si>
  <si>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</si>
  <si>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</si>
  <si>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</si>
  <si>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</si>
  <si>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</si>
  <si>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</si>
  <si>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</si>
  <si>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</si>
  <si>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</si>
  <si>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</si>
  <si>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</si>
  <si>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</si>
  <si>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</si>
  <si>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</si>
  <si>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</si>
  <si>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</si>
  <si>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</si>
  <si>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</si>
  <si>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</si>
  <si>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</si>
  <si>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</si>
  <si>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</si>
  <si>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</si>
  <si>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</si>
  <si>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</si>
  <si>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</si>
  <si>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</si>
  <si>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</si>
  <si>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</si>
  <si>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</si>
  <si>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</si>
  <si>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</si>
  <si>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</si>
  <si>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</si>
  <si>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</si>
  <si>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</si>
  <si>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</si>
  <si>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</si>
  <si>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</si>
  <si>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</si>
  <si>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</si>
  <si>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</si>
  <si>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</si>
  <si>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</si>
  <si>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</si>
  <si>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</si>
  <si>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</si>
  <si>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</si>
  <si>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</si>
  <si>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</si>
  <si>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</si>
  <si>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</si>
  <si>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</si>
  <si>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</si>
  <si>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</si>
  <si>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</si>
  <si>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</si>
  <si>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</si>
  <si>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</si>
  <si>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</si>
  <si>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</si>
  <si>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</si>
  <si>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</si>
  <si>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</si>
  <si>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</si>
  <si>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</si>
  <si>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</si>
  <si>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</si>
  <si>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</si>
  <si>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</si>
  <si>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</si>
  <si>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</si>
  <si>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</si>
  <si>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</si>
  <si>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</si>
  <si>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</si>
  <si>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</si>
  <si>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</si>
  <si>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</si>
  <si>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</si>
  <si>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</si>
  <si>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</si>
  <si>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</si>
  <si>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</si>
  <si>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</si>
  <si>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</si>
  <si>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</si>
  <si>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</si>
  <si>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</si>
  <si>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</si>
  <si>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</si>
  <si>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</si>
  <si>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</si>
  <si>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</si>
  <si>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</si>
  <si>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</si>
  <si>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</si>
  <si>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</si>
  <si>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</si>
  <si>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</si>
  <si>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</si>
  <si>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</si>
  <si>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</si>
  <si>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</si>
  <si>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</si>
  <si>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</si>
  <si>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</si>
  <si>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</si>
  <si>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</si>
  <si>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</si>
  <si>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</si>
  <si>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</si>
  <si>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</si>
  <si>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</si>
  <si>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</si>
  <si>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</si>
  <si>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</si>
  <si>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</si>
  <si>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</si>
  <si>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</si>
  <si>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</si>
  <si>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</si>
  <si>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</si>
  <si>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</si>
  <si>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</si>
  <si>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</si>
  <si>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</si>
  <si>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</si>
  <si>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</si>
  <si>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</si>
  <si>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</si>
  <si>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</si>
  <si>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</si>
  <si>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</si>
  <si>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</si>
  <si>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</si>
  <si>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</si>
  <si>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</si>
  <si>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</si>
  <si>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</si>
  <si>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</si>
  <si>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</si>
  <si>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</si>
  <si>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</si>
  <si>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</si>
  <si>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</si>
  <si>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</si>
  <si>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</si>
  <si>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</si>
  <si>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</si>
  <si>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</si>
  <si>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</si>
  <si>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</si>
  <si>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</si>
  <si>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</si>
  <si>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</si>
  <si>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</si>
  <si>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</si>
  <si>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</si>
  <si>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</si>
  <si>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</si>
  <si>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</si>
  <si>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</si>
  <si>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</si>
  <si>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</si>
  <si>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</si>
  <si>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</si>
  <si>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</si>
  <si>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</si>
  <si>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</si>
  <si>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</si>
  <si>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</si>
  <si>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</si>
  <si>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</si>
  <si>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</si>
  <si>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</si>
  <si>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</si>
  <si>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</si>
  <si>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</si>
  <si>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</si>
  <si>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</si>
  <si>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</si>
  <si>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</si>
  <si>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</si>
  <si>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</si>
  <si>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</si>
  <si>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</si>
  <si>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</si>
  <si>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</si>
  <si>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</si>
  <si>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</si>
  <si>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</si>
  <si>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</si>
  <si>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</si>
  <si>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</si>
  <si>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</si>
  <si>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</si>
  <si>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</si>
  <si>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</si>
  <si>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</si>
  <si>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</si>
  <si>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</si>
  <si>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</si>
  <si>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</si>
  <si>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</si>
  <si>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</si>
  <si>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</si>
  <si>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</si>
  <si>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</si>
  <si>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</si>
  <si>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</si>
  <si>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</si>
  <si>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</si>
  <si>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</si>
  <si>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</si>
  <si>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</si>
  <si>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</si>
  <si>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</si>
  <si>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</si>
  <si>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</si>
  <si>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</si>
  <si>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</si>
  <si>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</si>
  <si>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</si>
  <si>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</si>
  <si>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</si>
  <si>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</si>
  <si>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</si>
  <si>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</si>
  <si>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</si>
  <si>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</si>
  <si>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</si>
  <si>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</si>
  <si>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</si>
  <si>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</si>
  <si>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</si>
  <si>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</si>
  <si>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</si>
  <si>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</si>
  <si>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</si>
  <si>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</si>
  <si>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</si>
  <si>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</si>
  <si>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</si>
  <si>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</si>
  <si>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</si>
  <si>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</si>
  <si>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</si>
  <si>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</si>
  <si>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</si>
  <si>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</si>
  <si>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</si>
  <si>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</si>
  <si>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</si>
  <si>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</si>
  <si>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</si>
  <si>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</si>
  <si>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</si>
  <si>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</si>
  <si>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</si>
  <si>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</si>
  <si>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</si>
  <si>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</si>
  <si>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</si>
  <si>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</si>
  <si>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</si>
  <si>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</si>
  <si>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</si>
  <si>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</si>
  <si>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</si>
  <si>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</si>
  <si>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</si>
  <si>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</si>
  <si>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</si>
  <si>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</si>
  <si>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</si>
  <si>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</si>
  <si>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</si>
  <si>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</si>
  <si>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</si>
  <si>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</si>
  <si>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</si>
  <si>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</si>
  <si>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</si>
  <si>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</si>
  <si>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</si>
  <si>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</si>
  <si>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</si>
  <si>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</si>
  <si>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</si>
  <si>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</si>
  <si>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</si>
  <si>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</si>
  <si>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</si>
  <si>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</si>
  <si>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</si>
  <si>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</si>
  <si>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</si>
  <si>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</si>
  <si>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</si>
  <si>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</si>
  <si>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</si>
  <si>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</si>
  <si>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</si>
  <si>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</si>
  <si>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</si>
  <si>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</si>
  <si>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</si>
  <si>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</si>
  <si>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</si>
  <si>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</si>
  <si>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</si>
  <si>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</si>
  <si>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</si>
  <si>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</si>
  <si>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</si>
  <si>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</si>
  <si>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</si>
  <si>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</si>
  <si>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</si>
  <si>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</si>
  <si>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</si>
  <si>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</si>
  <si>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</si>
  <si>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</si>
  <si>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</si>
  <si>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</si>
  <si>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</si>
  <si>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</si>
  <si>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</si>
  <si>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</si>
  <si>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</si>
  <si>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</si>
  <si>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</si>
  <si>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</si>
  <si>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</si>
  <si>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</si>
  <si>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</si>
  <si>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</si>
  <si>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</si>
  <si>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</si>
  <si>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</si>
  <si>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</si>
  <si>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</si>
  <si>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</si>
  <si>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</si>
  <si>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</si>
  <si>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</si>
  <si>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</si>
  <si>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</si>
  <si>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</si>
  <si>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</si>
  <si>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</si>
  <si>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</si>
  <si>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</si>
  <si>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</si>
  <si>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</si>
  <si>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</si>
  <si>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</si>
  <si>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</si>
  <si>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</si>
  <si>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</si>
  <si>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</si>
  <si>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</si>
  <si>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</si>
  <si>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</si>
  <si>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</si>
  <si>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</si>
  <si>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</si>
  <si>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</si>
  <si>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</si>
  <si>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</si>
  <si>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</si>
  <si>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</si>
  <si>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</si>
  <si>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</si>
  <si>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</si>
  <si>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</si>
  <si>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</si>
  <si>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</si>
  <si>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</si>
  <si>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</si>
  <si>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</si>
  <si>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</si>
  <si>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</si>
  <si>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</si>
  <si>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</si>
  <si>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</si>
  <si>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</si>
  <si>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</si>
  <si>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</si>
  <si>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</si>
  <si>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</si>
  <si>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</si>
  <si>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</si>
  <si>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</si>
  <si>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</si>
  <si>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</si>
  <si>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</si>
  <si>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</si>
  <si>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</si>
  <si>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</si>
  <si>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</si>
  <si>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</si>
  <si>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</si>
  <si>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</si>
  <si>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</si>
  <si>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</si>
  <si>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</si>
  <si>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</si>
  <si>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</si>
  <si>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</si>
  <si>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</si>
  <si>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</si>
  <si>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</si>
  <si>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</si>
  <si>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</si>
  <si>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</si>
  <si>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</si>
  <si>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</si>
  <si>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</si>
  <si>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</si>
  <si>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</si>
  <si>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</si>
  <si>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</si>
  <si>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</si>
  <si>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</si>
  <si>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</si>
  <si>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</si>
  <si>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</si>
  <si>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</si>
  <si>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</si>
  <si>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</si>
  <si>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</si>
  <si>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</si>
  <si>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</si>
  <si>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</si>
  <si>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</si>
  <si>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</si>
  <si>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</si>
  <si>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</si>
  <si>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</si>
  <si>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</si>
  <si>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</si>
  <si>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</si>
  <si>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</si>
  <si>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</si>
  <si>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</si>
  <si>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</si>
  <si>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</si>
  <si>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</si>
  <si>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</si>
  <si>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</si>
  <si>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</si>
  <si>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</si>
  <si>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</si>
  <si>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</si>
  <si>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</si>
  <si>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</si>
  <si>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</si>
  <si>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</si>
  <si>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</si>
  <si>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</si>
  <si>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</si>
  <si>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</si>
  <si>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</si>
  <si>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</si>
  <si>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</si>
  <si>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</si>
  <si>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</si>
  <si>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</si>
  <si>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</si>
  <si>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</si>
  <si>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</si>
  <si>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</si>
  <si>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</si>
  <si>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</si>
  <si>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</si>
  <si>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</si>
  <si>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</si>
  <si>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</si>
  <si>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</si>
  <si>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</si>
  <si>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</si>
  <si>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</si>
  <si>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</si>
  <si>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</si>
  <si>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</si>
  <si>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</si>
  <si>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</si>
  <si>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</si>
  <si>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</si>
  <si>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</si>
  <si>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</si>
  <si>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</si>
  <si>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</si>
  <si>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</si>
  <si>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</si>
  <si>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</si>
  <si>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</si>
  <si>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</si>
  <si>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</si>
  <si>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</si>
  <si>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</si>
  <si>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</si>
  <si>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</si>
  <si>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</si>
  <si>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</si>
  <si>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</si>
  <si>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</si>
  <si>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</si>
  <si>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</si>
  <si>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</si>
  <si>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</si>
  <si>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</si>
  <si>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</si>
  <si>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</si>
  <si>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</si>
  <si>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</si>
  <si>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</si>
  <si>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</si>
  <si>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</si>
  <si>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</si>
  <si>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</si>
  <si>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</si>
  <si>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</si>
  <si>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</si>
  <si>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</si>
  <si>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</si>
  <si>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</si>
  <si>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</si>
  <si>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</si>
  <si>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</si>
  <si>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</si>
  <si>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</si>
  <si>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</si>
  <si>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</si>
  <si>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</si>
  <si>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</si>
  <si>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</si>
  <si>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</si>
  <si>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</si>
  <si>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</si>
  <si>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</si>
  <si>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</si>
  <si>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</si>
  <si>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</si>
  <si>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</si>
  <si>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</si>
  <si>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</si>
  <si>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</si>
  <si>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</si>
  <si>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</si>
  <si>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</si>
  <si>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</si>
  <si>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</si>
  <si>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</si>
  <si>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</si>
  <si>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</si>
  <si>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</si>
  <si>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</si>
  <si>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</si>
  <si>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</si>
  <si>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</si>
  <si>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</si>
  <si>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</si>
  <si>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</si>
  <si>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</si>
  <si>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</si>
  <si>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</si>
  <si>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</si>
  <si>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</si>
  <si>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</si>
  <si>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</si>
  <si>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</si>
  <si>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</si>
  <si>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</si>
  <si>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</si>
  <si>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</si>
  <si>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</si>
  <si>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</si>
  <si>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</si>
  <si>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</si>
  <si>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</si>
  <si>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</si>
  <si>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</si>
  <si>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</si>
  <si>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</si>
  <si>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</si>
  <si>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</si>
  <si>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</si>
  <si>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</si>
  <si>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</si>
  <si>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</si>
  <si>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</si>
  <si>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</si>
  <si>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</si>
  <si>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</si>
  <si>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</si>
  <si>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</si>
  <si>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</si>
  <si>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</si>
  <si>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</si>
  <si>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</si>
  <si>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</si>
  <si>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</si>
  <si>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</si>
  <si>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</si>
  <si>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</si>
  <si>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</si>
  <si>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</si>
  <si>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</si>
  <si>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</si>
  <si>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</si>
  <si>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</si>
  <si>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</si>
  <si>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</si>
  <si>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</si>
  <si>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</si>
  <si>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</si>
  <si>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</si>
  <si>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</si>
  <si>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</si>
  <si>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</si>
  <si>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</si>
  <si>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</si>
  <si>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</si>
  <si>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</si>
  <si>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</si>
  <si>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</si>
  <si>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</si>
  <si>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</si>
  <si>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</si>
  <si>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</si>
  <si>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</si>
  <si>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</si>
  <si>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</si>
  <si>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</si>
  <si>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</si>
  <si>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</si>
  <si>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</si>
  <si>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</si>
  <si>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</si>
  <si>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</si>
  <si>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</si>
  <si>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</si>
  <si>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</si>
  <si>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</si>
  <si>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</si>
  <si>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</si>
  <si>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</si>
  <si>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</si>
  <si>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</si>
  <si>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</si>
  <si>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</si>
  <si>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</si>
  <si>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</si>
  <si>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</si>
  <si>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</si>
  <si>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</si>
  <si>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</si>
  <si>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</si>
  <si>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</si>
  <si>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</si>
  <si>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</si>
  <si>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</si>
  <si>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</si>
  <si>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</si>
  <si>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</si>
  <si>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</si>
  <si>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</si>
  <si>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</si>
  <si>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</si>
  <si>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</si>
  <si>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</si>
  <si>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</si>
  <si>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</si>
  <si>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</si>
  <si>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</si>
  <si>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</si>
  <si>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</si>
  <si>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</si>
  <si>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</si>
  <si>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</si>
  <si>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</si>
  <si>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</si>
  <si>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</si>
  <si>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</si>
  <si>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</si>
  <si>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</si>
  <si>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</si>
  <si>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</si>
  <si>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</si>
  <si>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</si>
  <si>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</si>
  <si>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</si>
  <si>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</si>
  <si>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</si>
  <si>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</si>
  <si>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</si>
  <si>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</si>
  <si>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</si>
  <si>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</si>
  <si>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</si>
  <si>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</si>
  <si>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</si>
  <si>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</si>
  <si>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</si>
  <si>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</si>
  <si>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</si>
  <si>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</si>
  <si>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</si>
  <si>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</si>
  <si>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</si>
  <si>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</si>
  <si>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</si>
  <si>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</si>
  <si>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</si>
  <si>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</si>
  <si>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</si>
  <si>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</si>
  <si>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</si>
  <si>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</si>
  <si>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</si>
  <si>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</si>
  <si>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</si>
  <si>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</si>
  <si>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</si>
  <si>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</si>
  <si>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</si>
  <si>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</si>
  <si>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</si>
  <si>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</si>
  <si>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</si>
  <si>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</si>
  <si>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</si>
  <si>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</si>
  <si>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</si>
  <si>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</si>
  <si>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</si>
  <si>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</si>
  <si>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</si>
  <si>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</si>
  <si>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</si>
  <si>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</si>
  <si>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</si>
  <si>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</si>
  <si>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</si>
  <si>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</si>
  <si>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</si>
  <si>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</si>
  <si>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</si>
  <si>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</si>
  <si>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</si>
  <si>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</si>
  <si>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</si>
  <si>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</si>
  <si>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</si>
  <si>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</si>
  <si>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</si>
  <si>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</si>
  <si>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</si>
  <si>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</si>
  <si>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</si>
  <si>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</si>
  <si>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</si>
  <si>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</si>
  <si>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</si>
  <si>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</si>
  <si>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</si>
  <si>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</si>
  <si>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</si>
  <si>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</si>
  <si>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</si>
  <si>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</si>
  <si>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</si>
  <si>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</si>
  <si>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</si>
  <si>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</si>
  <si>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</si>
  <si>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</si>
  <si>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</si>
  <si>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</si>
  <si>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</si>
  <si>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</si>
  <si>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</si>
  <si>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</si>
  <si>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</si>
  <si>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</si>
  <si>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</si>
  <si>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</si>
  <si>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</si>
  <si>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</si>
  <si>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</si>
  <si>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</si>
  <si>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</si>
  <si>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</si>
  <si>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</si>
  <si>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</si>
  <si>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</si>
  <si>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</si>
  <si>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</si>
  <si>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</si>
  <si>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</si>
  <si>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</si>
  <si>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</si>
  <si>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</si>
  <si>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</si>
  <si>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</si>
  <si>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</si>
  <si>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</si>
  <si>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</si>
  <si>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</si>
  <si>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</si>
  <si>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</si>
  <si>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</si>
  <si>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</si>
  <si>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</si>
  <si>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</si>
  <si>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</si>
  <si>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</si>
  <si>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</si>
  <si>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</si>
  <si>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</si>
  <si>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</si>
  <si>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</si>
  <si>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</si>
  <si>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</si>
  <si>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</si>
  <si>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</si>
  <si>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</si>
  <si>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</si>
  <si>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</si>
  <si>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</si>
  <si>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</si>
  <si>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</si>
  <si>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</si>
  <si>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</si>
  <si>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</si>
  <si>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</si>
  <si>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</si>
  <si>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</si>
  <si>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</si>
  <si>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</si>
  <si>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</si>
  <si>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</si>
  <si>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</si>
  <si>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</si>
  <si>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</si>
  <si>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</si>
  <si>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</si>
  <si>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</si>
  <si>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</si>
  <si>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</si>
  <si>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</si>
  <si>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</si>
  <si>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</si>
  <si>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</si>
  <si>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</si>
  <si>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</si>
  <si>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</si>
  <si>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</si>
  <si>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</si>
  <si>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</si>
  <si>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</si>
  <si>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</si>
  <si>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</si>
  <si>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</si>
  <si>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</si>
  <si>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</si>
  <si>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</si>
  <si>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</si>
  <si>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</si>
  <si>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</si>
  <si>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</si>
  <si>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</si>
  <si>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</si>
  <si>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</si>
  <si>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</si>
  <si>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</si>
  <si>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</si>
  <si>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</si>
  <si>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</si>
  <si>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</si>
  <si>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</si>
  <si>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</si>
  <si>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</si>
  <si>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</si>
  <si>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</si>
  <si>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</si>
  <si>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</si>
  <si>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</si>
  <si>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</si>
  <si>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</si>
  <si>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</si>
  <si>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</si>
  <si>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</si>
  <si>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</si>
  <si>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</si>
  <si>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</si>
  <si>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</si>
  <si>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</si>
  <si>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</si>
  <si>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</si>
  <si>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</si>
  <si>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</si>
  <si>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</si>
  <si>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</si>
  <si>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</si>
  <si>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</si>
  <si>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</si>
  <si>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</si>
  <si>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</si>
  <si>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</si>
  <si>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</si>
  <si>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</si>
  <si>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</si>
  <si>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</si>
  <si>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</si>
  <si>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</si>
  <si>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</si>
  <si>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</si>
  <si>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</si>
  <si>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</si>
  <si>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</si>
  <si>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</si>
  <si>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</si>
  <si>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</si>
  <si>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</si>
  <si>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</si>
  <si>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</si>
  <si>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</si>
  <si>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</si>
  <si>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</si>
  <si>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</si>
  <si>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</si>
  <si>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</si>
  <si>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</si>
  <si>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</si>
  <si>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</si>
  <si>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</si>
  <si>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</si>
  <si>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</si>
  <si>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</si>
  <si>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</si>
  <si>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</si>
  <si>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</si>
  <si>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</si>
  <si>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</si>
  <si>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</si>
  <si>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</si>
  <si>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</si>
  <si>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</si>
  <si>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</si>
  <si>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</si>
  <si>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</si>
  <si>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</si>
  <si>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</si>
  <si>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</si>
  <si>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</si>
  <si>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</si>
  <si>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</si>
  <si>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</si>
  <si>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</si>
  <si>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</si>
  <si>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</si>
  <si>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</si>
  <si>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</si>
  <si>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</si>
  <si>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</si>
  <si>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</si>
  <si>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</si>
  <si>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</si>
  <si>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</si>
  <si>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</si>
  <si>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</si>
  <si>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</si>
  <si>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</si>
  <si>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</si>
  <si>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</si>
  <si>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</si>
  <si>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</si>
  <si>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</si>
  <si>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</si>
  <si>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</si>
  <si>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</si>
  <si>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</si>
  <si>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</si>
  <si>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</si>
  <si>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</si>
  <si>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</si>
  <si>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</si>
  <si>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</si>
  <si>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</si>
  <si>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</si>
  <si>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</si>
  <si>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</si>
  <si>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</si>
  <si>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</si>
  <si>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</si>
  <si>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</si>
  <si>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</si>
  <si>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</si>
  <si>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</si>
  <si>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</si>
  <si>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</si>
  <si>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</si>
  <si>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</si>
  <si>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</si>
  <si>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</si>
  <si>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</si>
  <si>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</si>
  <si>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</si>
  <si>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</si>
  <si>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</si>
  <si>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</si>
  <si>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</si>
  <si>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</si>
  <si>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</si>
  <si>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</si>
  <si>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</si>
  <si>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</si>
  <si>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</si>
  <si>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</si>
  <si>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</si>
  <si>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</si>
  <si>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</si>
  <si>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</si>
  <si>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</si>
  <si>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</si>
  <si>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</si>
  <si>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</si>
  <si>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</si>
  <si>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</si>
  <si>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</si>
  <si>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</si>
  <si>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</si>
  <si>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</si>
  <si>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</si>
  <si>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</si>
  <si>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</si>
  <si>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</si>
  <si>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</si>
  <si>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</si>
  <si>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</si>
  <si>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</si>
  <si>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</si>
  <si>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</si>
  <si>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</si>
  <si>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</si>
  <si>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</si>
  <si>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</si>
  <si>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</si>
  <si>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</si>
  <si>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</si>
  <si>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</si>
  <si>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</si>
  <si>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</si>
  <si>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</si>
  <si>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</si>
  <si>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</si>
  <si>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</si>
  <si>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</si>
  <si>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</si>
  <si>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</si>
  <si>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</si>
  <si>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</si>
  <si>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</si>
  <si>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</si>
  <si>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</si>
  <si>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</si>
  <si>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</si>
  <si>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</si>
  <si>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</si>
  <si>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</si>
  <si>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</si>
  <si>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</si>
  <si>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</si>
  <si>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</si>
  <si>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</si>
  <si>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</si>
  <si>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</si>
  <si>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</si>
  <si>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</si>
  <si>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</si>
  <si>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</si>
  <si>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</si>
  <si>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</si>
  <si>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</si>
  <si>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</si>
  <si>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</si>
  <si>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</si>
  <si>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</si>
  <si>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</si>
  <si>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</si>
  <si>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</si>
  <si>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</si>
  <si>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</si>
  <si>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</si>
  <si>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</si>
  <si>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</si>
  <si>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</si>
  <si>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</si>
  <si>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</si>
  <si>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</si>
  <si>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</si>
  <si>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</si>
  <si>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</si>
  <si>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</si>
  <si>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</si>
  <si>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</si>
  <si>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</si>
  <si>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</si>
  <si>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</si>
  <si>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</si>
  <si>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</si>
  <si>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</si>
  <si>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</si>
  <si>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</si>
  <si>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</si>
  <si>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</si>
  <si>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</si>
  <si>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</si>
  <si>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</si>
  <si>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</si>
  <si>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</si>
  <si>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</si>
  <si>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</si>
  <si>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</si>
  <si>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</si>
  <si>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</si>
  <si>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</si>
  <si>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</si>
  <si>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</si>
  <si>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</si>
  <si>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</si>
  <si>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</si>
  <si>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</si>
  <si>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</si>
  <si>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</si>
  <si>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</si>
  <si>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</si>
  <si>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</si>
  <si>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</si>
  <si>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</si>
  <si>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</si>
  <si>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</si>
  <si>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</si>
  <si>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</si>
  <si>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</si>
  <si>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</si>
  <si>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</si>
  <si>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</si>
  <si>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</si>
  <si>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</si>
  <si>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</si>
  <si>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</si>
  <si>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</si>
  <si>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</si>
  <si>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</si>
  <si>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</si>
  <si>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</si>
  <si>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</si>
  <si>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</si>
  <si>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</si>
  <si>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</si>
  <si>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</si>
  <si>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</si>
  <si>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</si>
  <si>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</si>
  <si>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</si>
  <si>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</si>
  <si>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</si>
  <si>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</si>
  <si>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</si>
  <si>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</si>
  <si>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</si>
  <si>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</si>
  <si>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</si>
  <si>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</si>
  <si>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</si>
  <si>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</si>
  <si>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</si>
  <si>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</si>
  <si>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</si>
  <si>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</si>
  <si>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</si>
  <si>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</si>
  <si>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</si>
  <si>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</si>
  <si>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</si>
  <si>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</si>
  <si>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</si>
  <si>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</si>
  <si>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</si>
  <si>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</si>
  <si>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</si>
  <si>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</si>
  <si>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</si>
  <si>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</si>
  <si>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</si>
  <si>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</si>
  <si>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</si>
  <si>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</si>
  <si>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</si>
  <si>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</si>
  <si>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</si>
  <si>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</si>
  <si>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</si>
  <si>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</si>
  <si>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</si>
  <si>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</si>
  <si>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</si>
  <si>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</si>
  <si>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</si>
  <si>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</si>
  <si>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</si>
  <si>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</si>
  <si>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</si>
  <si>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</si>
  <si>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</si>
  <si>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</si>
  <si>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</si>
  <si>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</si>
  <si>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</si>
  <si>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</si>
  <si>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</si>
  <si>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</si>
  <si>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</si>
  <si>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</si>
  <si>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</si>
  <si>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</si>
  <si>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</si>
  <si>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</si>
  <si>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</si>
  <si>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</si>
  <si>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</si>
  <si>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</si>
  <si>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</si>
  <si>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</si>
  <si>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</si>
  <si>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</si>
  <si>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</si>
  <si>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</si>
  <si>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</si>
  <si>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</si>
  <si>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</si>
  <si>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</si>
  <si>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</si>
  <si>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</si>
  <si>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</si>
  <si>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</si>
  <si>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</si>
  <si>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</si>
  <si>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</si>
  <si>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</si>
  <si>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</si>
  <si>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</si>
  <si>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</si>
  <si>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</si>
  <si>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</si>
  <si>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</si>
  <si>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</si>
  <si>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</si>
  <si>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</si>
  <si>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</si>
  <si>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</si>
  <si>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</si>
  <si>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</si>
  <si>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</si>
  <si>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</si>
  <si>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</si>
  <si>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</si>
  <si>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</si>
  <si>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</si>
  <si>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</si>
  <si>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</si>
  <si>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</si>
  <si>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</si>
  <si>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</si>
  <si>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</si>
  <si>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</si>
  <si>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</si>
  <si>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</si>
  <si>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</si>
  <si>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</si>
  <si>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</si>
  <si>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</si>
  <si>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</si>
  <si>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</si>
  <si>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</si>
  <si>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</si>
  <si>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</si>
  <si>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</si>
  <si>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</si>
  <si>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</si>
  <si>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</si>
  <si>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</si>
  <si>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</si>
  <si>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</si>
  <si>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</si>
  <si>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</si>
  <si>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</si>
  <si>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</si>
  <si>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</si>
  <si>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</si>
  <si>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</si>
  <si>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</si>
  <si>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</si>
  <si>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</si>
  <si>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</si>
  <si>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</si>
  <si>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</si>
  <si>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</si>
  <si>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</si>
  <si>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</si>
  <si>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</si>
  <si>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</si>
  <si>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</si>
  <si>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</si>
  <si>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</si>
  <si>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</si>
  <si>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</si>
  <si>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</si>
  <si>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</si>
  <si>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</si>
  <si>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</si>
  <si>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</si>
  <si>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</si>
  <si>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</si>
  <si>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</si>
  <si>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</si>
  <si>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</si>
  <si>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</si>
  <si>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</si>
  <si>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</si>
  <si>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</si>
  <si>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</si>
  <si>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</si>
  <si>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</si>
  <si>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</si>
  <si>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</si>
  <si>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</si>
  <si>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</si>
  <si>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</si>
  <si>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</si>
  <si>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</si>
  <si>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</si>
  <si>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</si>
  <si>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</si>
  <si>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</si>
  <si>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</si>
  <si>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</si>
  <si>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</si>
  <si>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</si>
  <si>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</si>
  <si>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</si>
  <si>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</si>
  <si>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</si>
  <si>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</si>
  <si>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</si>
  <si>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</si>
  <si>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</si>
  <si>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</si>
  <si>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</si>
  <si>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</si>
  <si>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</si>
  <si>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</si>
  <si>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</si>
  <si>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</si>
  <si>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</si>
  <si>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</si>
  <si>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</si>
  <si>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</si>
  <si>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</si>
  <si>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</si>
  <si>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</si>
  <si>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</si>
  <si>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</si>
  <si>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</si>
  <si>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</si>
  <si>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</si>
  <si>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</si>
  <si>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</si>
  <si>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</si>
  <si>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</si>
  <si>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</si>
  <si>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</si>
  <si>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</si>
  <si>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</si>
  <si>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</si>
  <si>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</si>
  <si>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</si>
  <si>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</si>
  <si>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</si>
  <si>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</si>
  <si>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</si>
  <si>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</si>
  <si>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</si>
  <si>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</si>
  <si>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</si>
  <si>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</si>
  <si>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</si>
  <si>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</si>
  <si>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</si>
  <si>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</si>
  <si>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</si>
  <si>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</si>
  <si>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</si>
  <si>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</si>
  <si>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</si>
  <si>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</si>
  <si>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</si>
  <si>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</si>
  <si>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</si>
  <si>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</si>
  <si>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</si>
  <si>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</si>
  <si>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</si>
  <si>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</si>
  <si>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</si>
  <si>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</si>
  <si>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</si>
  <si>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</si>
  <si>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</si>
  <si>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</si>
  <si>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</si>
  <si>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</si>
  <si>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</si>
  <si>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</si>
  <si>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</si>
  <si>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</si>
  <si>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</si>
  <si>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</si>
  <si>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</si>
  <si>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</si>
  <si>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</si>
  <si>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</si>
  <si>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</si>
  <si>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</si>
  <si>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</si>
  <si>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</si>
  <si>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</si>
  <si>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</si>
  <si>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</si>
  <si>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</si>
  <si>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</si>
  <si>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</si>
  <si>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</si>
  <si>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</si>
  <si>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</si>
  <si>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</si>
  <si>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</si>
  <si>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</si>
  <si>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</si>
  <si>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</si>
  <si>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</si>
  <si>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</si>
  <si>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</si>
  <si>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</si>
  <si>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</si>
  <si>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</si>
  <si>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</si>
  <si>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</si>
  <si>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</si>
  <si>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</si>
  <si>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</si>
  <si>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</si>
  <si>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</si>
  <si>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</si>
  <si>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</si>
  <si>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</si>
  <si>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</si>
  <si>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</si>
  <si>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</si>
  <si>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</si>
  <si>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</si>
  <si>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</si>
  <si>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</si>
  <si>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</si>
  <si>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</si>
  <si>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</si>
  <si>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</si>
  <si>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</si>
  <si>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</si>
  <si>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</si>
  <si>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</si>
  <si>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</si>
  <si>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</si>
  <si>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</si>
  <si>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</si>
  <si>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</si>
  <si>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</si>
  <si>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</si>
  <si>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</si>
  <si>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</si>
  <si>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</si>
  <si>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</si>
  <si>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</si>
  <si>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</si>
  <si>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</si>
  <si>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</si>
  <si>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</si>
  <si>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</si>
  <si>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</si>
  <si>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</si>
  <si>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</si>
  <si>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</si>
  <si>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</si>
  <si>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</si>
  <si>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</si>
  <si>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</si>
  <si>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</si>
  <si>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</si>
  <si>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</si>
  <si>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</si>
  <si>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</si>
  <si>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</si>
  <si>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</si>
  <si>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</si>
  <si>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</si>
  <si>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</si>
  <si>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</si>
  <si>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</si>
  <si>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</si>
  <si>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</si>
  <si>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</si>
  <si>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</si>
  <si>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</si>
  <si>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</si>
  <si>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</si>
  <si>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</si>
  <si>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</si>
  <si>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</si>
  <si>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</si>
  <si>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</si>
  <si>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</si>
  <si>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</si>
  <si>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</si>
  <si>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</si>
  <si>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</si>
  <si>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</si>
  <si>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</si>
  <si>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</si>
  <si>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</si>
  <si>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</si>
  <si>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</si>
  <si>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</si>
  <si>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</si>
  <si>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</si>
  <si>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</si>
  <si>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</si>
  <si>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</si>
  <si>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</si>
  <si>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</si>
  <si>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</si>
  <si>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</si>
  <si>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</si>
  <si>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</si>
  <si>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</si>
  <si>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</si>
  <si>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</si>
  <si>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</si>
  <si>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</si>
  <si>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</si>
  <si>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</si>
  <si>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</si>
  <si>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</si>
  <si>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</si>
  <si>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</si>
  <si>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</si>
  <si>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</si>
  <si>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</si>
  <si>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</si>
  <si>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</si>
  <si>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</si>
  <si>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</si>
  <si>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</si>
  <si>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</si>
  <si>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</si>
  <si>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</si>
  <si>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</si>
  <si>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</si>
  <si>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</si>
  <si>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</si>
  <si>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</si>
  <si>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</si>
  <si>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</si>
  <si>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</si>
  <si>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</si>
  <si>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</si>
  <si>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</si>
  <si>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</si>
  <si>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</si>
  <si>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</si>
  <si>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</si>
  <si>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</si>
  <si>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</si>
  <si>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</si>
  <si>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</si>
  <si>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</si>
  <si>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</si>
  <si>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</si>
  <si>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</si>
  <si>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</si>
  <si>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</si>
  <si>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</si>
  <si>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</si>
  <si>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</si>
  <si>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</si>
  <si>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</si>
  <si>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</si>
  <si>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</si>
  <si>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</si>
  <si>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</si>
  <si>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</si>
  <si>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</si>
  <si>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</si>
  <si>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</si>
  <si>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</si>
  <si>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</si>
  <si>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</si>
  <si>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</si>
  <si>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</si>
  <si>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</si>
  <si>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</si>
  <si>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</si>
  <si>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</si>
  <si>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</si>
  <si>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</si>
  <si>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</si>
  <si>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</si>
  <si>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</si>
  <si>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</si>
  <si>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</si>
  <si>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</si>
  <si>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</si>
  <si>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</si>
  <si>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</si>
  <si>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</si>
  <si>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</si>
  <si>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</si>
  <si>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</si>
  <si>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</si>
  <si>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</si>
  <si>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</si>
  <si>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</si>
  <si>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</si>
  <si>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</si>
  <si>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</si>
  <si>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</si>
  <si>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</si>
  <si>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</si>
  <si>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</si>
  <si>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</si>
  <si>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</si>
  <si>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</si>
  <si>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</si>
  <si>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</si>
  <si>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</si>
  <si>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</si>
  <si>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</si>
  <si>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</si>
  <si>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</si>
  <si>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</si>
  <si>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</si>
  <si>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</si>
  <si>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</si>
  <si>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</si>
  <si>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</si>
  <si>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</si>
  <si>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</si>
  <si>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</si>
  <si>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</si>
  <si>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</si>
  <si>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</si>
  <si>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</si>
  <si>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</si>
  <si>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</si>
  <si>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</si>
  <si>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</si>
  <si>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</si>
  <si>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</si>
  <si>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</si>
  <si>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</si>
  <si>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</si>
  <si>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</si>
  <si>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</si>
  <si>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</si>
  <si>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</si>
  <si>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</si>
  <si>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</si>
  <si>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</si>
  <si>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</si>
  <si>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</si>
  <si>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</si>
  <si>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</si>
  <si>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</si>
  <si>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</si>
  <si>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</si>
  <si>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</si>
  <si>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</si>
  <si>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</si>
  <si>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</si>
  <si>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</si>
  <si>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</si>
  <si>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</si>
  <si>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</si>
  <si>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</si>
  <si>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</si>
  <si>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</si>
  <si>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</si>
  <si>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</si>
  <si>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</si>
  <si>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</si>
  <si>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</si>
  <si>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</si>
  <si>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</si>
  <si>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</si>
  <si>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</si>
  <si>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</si>
  <si>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</si>
  <si>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</si>
  <si>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</si>
  <si>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</si>
  <si>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</si>
  <si>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</si>
  <si>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</si>
  <si>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</si>
  <si>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</si>
  <si>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</si>
  <si>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</si>
  <si>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</si>
  <si>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</si>
  <si>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</si>
  <si>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</si>
  <si>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</si>
  <si>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</si>
  <si>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</si>
  <si>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</si>
  <si>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</si>
  <si>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</si>
  <si>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</si>
  <si>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</si>
  <si>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</si>
  <si>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</si>
  <si>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</si>
  <si>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</si>
  <si>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</si>
  <si>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</si>
  <si>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</si>
  <si>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</si>
  <si>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</si>
  <si>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</si>
  <si>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</si>
  <si>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</si>
  <si>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</si>
  <si>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</si>
  <si>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</si>
  <si>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</si>
  <si>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</si>
  <si>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</si>
  <si>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</si>
  <si>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</si>
  <si>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北京市</t>
  </si>
  <si>
    <t>抵押</t>
  </si>
  <si>
    <t>房地产抵押价值</t>
  </si>
  <si>
    <t>地上</t>
  </si>
  <si>
    <t>是</t>
  </si>
  <si>
    <t>配套公建</t>
    <phoneticPr fontId="8" type="noConversion"/>
  </si>
  <si>
    <t>地下</t>
  </si>
  <si>
    <t>自定义容积率</t>
  </si>
  <si>
    <t>不临65条商业街</t>
  </si>
  <si>
    <t>按公示增长率计算</t>
  </si>
  <si>
    <t>中心城区</t>
  </si>
  <si>
    <t>楼层修正</t>
  </si>
  <si>
    <t>较好</t>
  </si>
  <si>
    <t>好</t>
  </si>
  <si>
    <t>与级别开发程度一致</t>
  </si>
  <si>
    <r>
      <rPr>
        <sz val="10"/>
        <color theme="9" tint="-0.249977111117893"/>
        <rFont val="宋体"/>
        <family val="3"/>
        <charset val="134"/>
      </rPr>
      <t>朝阳区东柏街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</si>
</sst>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31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xf numFmtId="10" fontId="98" fillId="6" borderId="1" xfId="19" applyNumberFormat="1" applyFont="1" applyFill="1" applyBorder="1" applyAlignment="1" applyProtection="1">
      <alignment horizontal="left" vertical="center"/>
    </xf>
    <xf numFmtId="10" fontId="98" fillId="0" borderId="1" xfId="19" applyNumberFormat="1" applyFont="1" applyBorder="1" applyAlignment="1" applyProtection="1">
      <alignment horizontal="left" vertical="center"/>
      <protection locked="0"/>
    </xf>
  </cellXfs>
  <cellStyles count="20">
    <cellStyle name="百分比" xfId="19" builtinId="5"/>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北京市朝阳区东柏街10号院5号楼-1至1层101房地产抵押价值预评估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受贵公司委托，我公司对北京市朝阳区东柏街10号院5号楼-1至1层101房地产抵押价值进行了预评估。</v>
      </c>
    </row>
    <row r="7" spans="1:2" s="2762" customFormat="1">
      <c r="A7" s="2760" t="s">
        <v>779</v>
      </c>
      <c r="B7" s="2761" t="str">
        <f>'预评函-1'!A7</f>
        <v>估价对象为北京市朝阳区东柏街10号院5号楼-1至1层101房地产，为所有。根据《国有土地使用证》[]，估价对象（分摊）出让国有建设用地使用权面积为0平方米，建筑面积为409.22平方米。</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str">
        <f>'预评函-1'!A10</f>
        <v>估价对象为北京市朝阳区东柏街10号院5号楼-1至1层101房地产,属开发建设的，该项目尚在开发建设中。根据《国有土地使用证》[]，估价对象（分摊）出让国有建设用地使用权面积为0平方米，规划建筑面积为409.22平方米。</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朝阳区东柏街10号院5号楼-1至1层101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2022年10月14日</v>
      </c>
    </row>
    <row r="13" spans="1:2" s="2762" customFormat="1">
      <c r="A13" s="2760" t="s">
        <v>742</v>
      </c>
      <c r="B13" s="2761"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str">
        <f ca="1">'预评函-2'!D13</f>
        <v>——</v>
      </c>
    </row>
    <row r="31" spans="1:2" s="2762" customFormat="1">
      <c r="A31" s="2760" t="s">
        <v>789</v>
      </c>
      <c r="B31" s="2761" t="e">
        <f ca="1">'预评函-2'!D15</f>
        <v>#VALUE!</v>
      </c>
    </row>
    <row r="32" spans="1:2" s="2762" customFormat="1">
      <c r="A32" s="2760" t="s">
        <v>756</v>
      </c>
      <c r="B32" s="2761" t="e">
        <f ca="1">'预评函-2'!D14</f>
        <v>#VALUE!</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北京市朝阳区东柏街10号院5号楼-1至1层101房地产</v>
      </c>
    </row>
    <row r="42" spans="1:2" s="2762" customFormat="1">
      <c r="A42" s="2760" t="s">
        <v>803</v>
      </c>
      <c r="B42" s="2761" t="str">
        <f>'预评函-3'!B2</f>
        <v>建筑面积</v>
      </c>
    </row>
    <row r="43" spans="1:2" s="2762" customFormat="1">
      <c r="A43" s="2760" t="s">
        <v>804</v>
      </c>
      <c r="B43" s="2761">
        <f>'预评函-3'!B4</f>
        <v>409.22</v>
      </c>
    </row>
    <row r="44" spans="1:2" s="2762" customFormat="1">
      <c r="A44" s="2760" t="s">
        <v>788</v>
      </c>
      <c r="B44" s="2761" t="str">
        <f>'预评函-3'!C2</f>
        <v>(分摊)土地面积</v>
      </c>
    </row>
    <row r="45" spans="1:2" s="2762" customFormat="1">
      <c r="A45" s="2760" t="s">
        <v>760</v>
      </c>
      <c r="B45" s="2761">
        <f>'预评函-3'!C4</f>
        <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柏街10号院5号楼-1至1层101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E13" sqref="E13"/>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北京市朝阳区东柏街10号院5号楼-1至1层101房地产抵押价值预评估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北京市朝阳区东柏街10号院5号楼-1至1层101房地产抵押价值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北京市朝阳区东柏街10号院5号楼-1至1层101房地产</v>
      </c>
      <c r="T2" s="2873"/>
      <c r="U2" s="2873"/>
      <c r="V2" s="2873"/>
      <c r="W2" s="2873"/>
      <c r="X2" s="2873"/>
      <c r="Y2" s="2873"/>
      <c r="Z2" s="2873"/>
      <c r="AA2" s="2873"/>
      <c r="AB2" s="2873"/>
    </row>
    <row r="3" spans="1:28">
      <c r="A3" s="879" t="s">
        <v>2432</v>
      </c>
      <c r="B3" s="352"/>
      <c r="C3" s="2881" t="s">
        <v>2433</v>
      </c>
      <c r="D3" s="352">
        <v>44848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3095</v>
      </c>
      <c r="C8" s="2897"/>
      <c r="D8" s="3041" t="s">
        <v>2439</v>
      </c>
      <c r="E8" s="2898" t="s">
        <v>3096</v>
      </c>
      <c r="F8" s="2899"/>
      <c r="G8" s="2880"/>
      <c r="H8" s="2880"/>
      <c r="I8" s="2880"/>
      <c r="J8" s="862"/>
      <c r="K8" s="2900"/>
      <c r="L8" s="2893"/>
      <c r="M8" s="2893"/>
      <c r="N8" s="862"/>
      <c r="O8" s="2893"/>
      <c r="P8" s="862"/>
      <c r="Q8" s="862"/>
      <c r="R8" s="862"/>
    </row>
    <row r="9" spans="1:28" ht="13.5" thickBot="1">
      <c r="A9" s="2901" t="s">
        <v>2440</v>
      </c>
      <c r="B9" s="2902" t="s">
        <v>3096</v>
      </c>
      <c r="C9" s="2903"/>
      <c r="D9" s="3042"/>
      <c r="E9" s="2902"/>
      <c r="F9" s="2904"/>
      <c r="G9" s="2905"/>
      <c r="H9" s="2905"/>
      <c r="I9" s="2905"/>
      <c r="J9" s="862"/>
      <c r="K9" s="2892"/>
      <c r="L9" s="2893"/>
      <c r="M9" s="2893"/>
      <c r="N9" s="862"/>
      <c r="O9" s="2893"/>
      <c r="P9" s="862"/>
      <c r="Q9" s="862"/>
      <c r="R9" s="862"/>
    </row>
    <row r="10" spans="1:28" ht="13.5" thickTop="1">
      <c r="A10" s="2906" t="s">
        <v>2441</v>
      </c>
      <c r="B10" s="2907" t="s">
        <v>3094</v>
      </c>
      <c r="C10" s="2908"/>
      <c r="D10" s="2886"/>
      <c r="E10" s="991" t="s">
        <v>2442</v>
      </c>
      <c r="F10" s="2909" t="s">
        <v>3109</v>
      </c>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v>52880</v>
      </c>
      <c r="F13" s="2920"/>
      <c r="G13" s="2920"/>
      <c r="H13" s="2920"/>
      <c r="I13" s="2920"/>
      <c r="J13" s="862">
        <v>2006</v>
      </c>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22</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409.22</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f>'数据-汇总表'!D3</f>
        <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235</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255</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409.22</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409.22</v>
      </c>
      <c r="H5" s="7">
        <f t="shared" ref="H5:AT5" si="0">SUM(H13:H656)</f>
        <v>409.22</v>
      </c>
      <c r="I5" s="7">
        <f t="shared" si="0"/>
        <v>204.61</v>
      </c>
      <c r="J5" s="7">
        <f t="shared" si="0"/>
        <v>0</v>
      </c>
      <c r="K5" s="7">
        <f t="shared" si="0"/>
        <v>204.61</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409.22</v>
      </c>
      <c r="BA5" s="9">
        <f t="shared" si="1"/>
        <v>409.22</v>
      </c>
      <c r="BB5" s="9">
        <f t="shared" si="1"/>
        <v>204.61</v>
      </c>
      <c r="BC5" s="9">
        <f t="shared" si="1"/>
        <v>204.61</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f>H6+AC6+AT6</f>
        <v>0</v>
      </c>
      <c r="F6" s="7" t="s">
        <v>0</v>
      </c>
      <c r="G6" s="7" t="s">
        <v>1</v>
      </c>
      <c r="H6" s="11">
        <f>SUMIF(I$12:AB$12,"总值",I6:AB6)</f>
        <v>0</v>
      </c>
      <c r="I6" s="7">
        <f t="shared" ref="I6:AB6" si="2">ROUND($A$3*I5/$B$3,2)</f>
        <v>0</v>
      </c>
      <c r="J6" s="7">
        <f t="shared" si="2"/>
        <v>0</v>
      </c>
      <c r="K6" s="7">
        <f t="shared" si="2"/>
        <v>0</v>
      </c>
      <c r="L6" s="7">
        <f t="shared" si="2"/>
        <v>0</v>
      </c>
      <c r="M6" s="7">
        <f t="shared" si="2"/>
        <v>0</v>
      </c>
      <c r="N6" s="7">
        <f t="shared" si="2"/>
        <v>0</v>
      </c>
      <c r="O6" s="7">
        <f t="shared" si="2"/>
        <v>0</v>
      </c>
      <c r="P6" s="7">
        <f t="shared" si="2"/>
        <v>0</v>
      </c>
      <c r="Q6" s="7">
        <f t="shared" si="2"/>
        <v>0</v>
      </c>
      <c r="R6" s="7">
        <f t="shared" si="2"/>
        <v>0</v>
      </c>
      <c r="S6" s="7">
        <f t="shared" si="2"/>
        <v>0</v>
      </c>
      <c r="T6" s="7">
        <f t="shared" si="2"/>
        <v>0</v>
      </c>
      <c r="U6" s="7">
        <f t="shared" si="2"/>
        <v>0</v>
      </c>
      <c r="V6" s="7">
        <f t="shared" si="2"/>
        <v>0</v>
      </c>
      <c r="W6" s="7">
        <f t="shared" si="2"/>
        <v>0</v>
      </c>
      <c r="X6" s="7">
        <f t="shared" si="2"/>
        <v>0</v>
      </c>
      <c r="Y6" s="7">
        <f t="shared" si="2"/>
        <v>0</v>
      </c>
      <c r="Z6" s="7">
        <f t="shared" si="2"/>
        <v>0</v>
      </c>
      <c r="AA6" s="7">
        <f t="shared" si="2"/>
        <v>0</v>
      </c>
      <c r="AB6" s="7">
        <f t="shared" si="2"/>
        <v>0</v>
      </c>
      <c r="AC6" s="11">
        <f>SUMIF(AD$12:AS$12,"总值",AD6:AS6)</f>
        <v>0</v>
      </c>
      <c r="AD6" s="7">
        <f t="shared" ref="AD6:AS6" si="3">ROUND($A$3*AD5/$B$3,2)</f>
        <v>0</v>
      </c>
      <c r="AE6" s="7">
        <f t="shared" si="3"/>
        <v>0</v>
      </c>
      <c r="AF6" s="7">
        <f t="shared" si="3"/>
        <v>0</v>
      </c>
      <c r="AG6" s="7">
        <f t="shared" si="3"/>
        <v>0</v>
      </c>
      <c r="AH6" s="7">
        <f t="shared" si="3"/>
        <v>0</v>
      </c>
      <c r="AI6" s="7">
        <f t="shared" si="3"/>
        <v>0</v>
      </c>
      <c r="AJ6" s="7">
        <f t="shared" si="3"/>
        <v>0</v>
      </c>
      <c r="AK6" s="7">
        <f t="shared" si="3"/>
        <v>0</v>
      </c>
      <c r="AL6" s="7">
        <f t="shared" si="3"/>
        <v>0</v>
      </c>
      <c r="AM6" s="7">
        <f t="shared" si="3"/>
        <v>0</v>
      </c>
      <c r="AN6" s="7">
        <f t="shared" si="3"/>
        <v>0</v>
      </c>
      <c r="AO6" s="7">
        <f t="shared" si="3"/>
        <v>0</v>
      </c>
      <c r="AP6" s="7">
        <f t="shared" si="3"/>
        <v>0</v>
      </c>
      <c r="AQ6" s="7">
        <f t="shared" si="3"/>
        <v>0</v>
      </c>
      <c r="AR6" s="7">
        <f t="shared" si="3"/>
        <v>0</v>
      </c>
      <c r="AS6" s="7">
        <f t="shared" si="3"/>
        <v>0</v>
      </c>
      <c r="AT6" s="11">
        <f>IF(C3="是",ROUND($A$3*AT5/$B$3,2),0)</f>
        <v>0</v>
      </c>
      <c r="AU6" s="234"/>
      <c r="AV6" s="6" t="s">
        <v>1296</v>
      </c>
      <c r="AW6" s="232"/>
      <c r="AX6" s="232"/>
      <c r="AY6" s="12">
        <f>IF(AY3&gt;0,AY3,ROUND($A$3*AZ5/$B$3,2))</f>
        <v>0</v>
      </c>
      <c r="AZ6" s="7" t="s">
        <v>2</v>
      </c>
      <c r="BA6" s="7">
        <f>ROUND($AY$6*BA5/$AZ$5,2)</f>
        <v>0</v>
      </c>
      <c r="BB6" s="7">
        <f>ROUND($AY$6*BB5/$AZ$5,2)</f>
        <v>0</v>
      </c>
      <c r="BC6" s="7">
        <f t="shared" ref="BC6:BH6" si="4">ROUND($AY$6*BC5/$AZ$5,2)</f>
        <v>0</v>
      </c>
      <c r="BD6" s="7">
        <f t="shared" si="4"/>
        <v>0</v>
      </c>
      <c r="BE6" s="7">
        <f t="shared" si="4"/>
        <v>0</v>
      </c>
      <c r="BF6" s="7">
        <f t="shared" si="4"/>
        <v>0</v>
      </c>
      <c r="BG6" s="7">
        <f t="shared" si="4"/>
        <v>0</v>
      </c>
      <c r="BH6" s="7">
        <f t="shared" si="4"/>
        <v>0</v>
      </c>
      <c r="BI6" s="7">
        <f t="shared" ref="BI6:BT6" si="5">ROUND($AY$6*BI5/$AZ$5,2)</f>
        <v>0</v>
      </c>
      <c r="BJ6" s="7">
        <f t="shared" si="5"/>
        <v>0</v>
      </c>
      <c r="BK6" s="7">
        <f t="shared" si="5"/>
        <v>0</v>
      </c>
      <c r="BL6" s="7">
        <f t="shared" si="5"/>
        <v>0</v>
      </c>
      <c r="BM6" s="7">
        <f t="shared" si="5"/>
        <v>0</v>
      </c>
      <c r="BN6" s="7">
        <f t="shared" si="5"/>
        <v>0</v>
      </c>
      <c r="BO6" s="7">
        <f t="shared" si="5"/>
        <v>0</v>
      </c>
      <c r="BP6" s="7">
        <f t="shared" si="5"/>
        <v>0</v>
      </c>
      <c r="BQ6" s="7">
        <f t="shared" si="5"/>
        <v>0</v>
      </c>
      <c r="BR6" s="7">
        <f t="shared" si="5"/>
        <v>0</v>
      </c>
      <c r="BS6" s="7">
        <f t="shared" si="5"/>
        <v>0</v>
      </c>
      <c r="BT6" s="13">
        <f t="shared" si="5"/>
        <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3097</v>
      </c>
      <c r="J9" s="124"/>
      <c r="K9" s="249" t="s">
        <v>3100</v>
      </c>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t="s">
        <v>886</v>
      </c>
      <c r="J10" s="124"/>
      <c r="K10" s="255" t="s">
        <v>886</v>
      </c>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t="str">
        <f>K9</f>
        <v>地下</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t="str">
        <f>I10</f>
        <v>商业</v>
      </c>
      <c r="BC11" s="245" t="str">
        <f>K10</f>
        <v>商业</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3098</v>
      </c>
      <c r="E13" s="7">
        <f>IF($C$3="是",ROUND($A$3*G13/$B$3,2),ROUND($A$3*(G13-AT13)/$B$3,2))</f>
        <v>0</v>
      </c>
      <c r="F13" s="23"/>
      <c r="G13" s="24">
        <f>H13+AC13+AT13</f>
        <v>409.22</v>
      </c>
      <c r="H13" s="11">
        <f>SUMIF(I$12:AB$12,"总值",I13:AB13)</f>
        <v>409.22</v>
      </c>
      <c r="I13" s="272">
        <f>409.22-K13</f>
        <v>204.61</v>
      </c>
      <c r="J13" s="272"/>
      <c r="K13" s="272">
        <f>409.22/2</f>
        <v>204.61</v>
      </c>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f>ROUND($AY$6*AZ13/$AZ$5,2)</f>
        <v>0</v>
      </c>
      <c r="AZ13" s="7">
        <f>BA13+BL13</f>
        <v>409.22</v>
      </c>
      <c r="BA13" s="7">
        <f>SUM(BB13:BK13)</f>
        <v>409.22</v>
      </c>
      <c r="BB13" s="7">
        <f>IF($D13="是",I13-J13,0)</f>
        <v>204.61</v>
      </c>
      <c r="BC13" s="7">
        <f>IF($D13="是",K13-L13,0)</f>
        <v>204.61</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f>IF($C$3="是",ROUND($A$3*G14/$B$3,2),ROUND($A$3*(G14-AT14)/$B$3,2))</f>
        <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f>ROUND($AY$6*AZ14/$AZ$5,2)</f>
        <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f>IF($C$3="是",ROUND($A$3*G15/$B$3,2),ROUND($A$3*(G15-AT15)/$B$3,2))</f>
        <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f>ROUND($AY$6*AZ15/$AZ$5,2)</f>
        <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f>IF($C$3="是",ROUND($A$3*G16/$B$3,2),ROUND($A$3*(G16-AT16)/$B$3,2))</f>
        <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f>ROUND($AY$6*AZ16/$AZ$5,2)</f>
        <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f>IF($C$3="是",ROUND($A$3*G17/$B$3,2),ROUND($A$3*(G17-AT17)/$B$3,2))</f>
        <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f>ROUND($AY$6*AZ17/$AZ$5,2)</f>
        <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f t="shared" ref="E18:E112" si="7">IF($C$3="是",ROUND($A$3*G18/$B$3,2),ROUND($A$3*(G18-AT18)/$B$3,2))</f>
        <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f t="shared" ref="AY18:AY109" si="14">ROUND($AY$6*AZ18/$AZ$5,2)</f>
        <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f t="shared" si="7"/>
        <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f t="shared" si="14"/>
        <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f t="shared" si="7"/>
        <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f t="shared" si="14"/>
        <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f t="shared" si="7"/>
        <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f t="shared" si="14"/>
        <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f t="shared" si="7"/>
        <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f t="shared" si="14"/>
        <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f t="shared" si="7"/>
        <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f t="shared" si="14"/>
        <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f t="shared" si="7"/>
        <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f t="shared" si="14"/>
        <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f t="shared" si="7"/>
        <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f t="shared" si="14"/>
        <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f t="shared" si="7"/>
        <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f t="shared" si="14"/>
        <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f t="shared" si="7"/>
        <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f t="shared" si="14"/>
        <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f t="shared" si="7"/>
        <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f t="shared" si="14"/>
        <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f t="shared" si="7"/>
        <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f t="shared" si="14"/>
        <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f t="shared" si="7"/>
        <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f t="shared" si="14"/>
        <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f t="shared" si="7"/>
        <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f t="shared" si="14"/>
        <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f t="shared" si="7"/>
        <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f t="shared" si="14"/>
        <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f t="shared" si="7"/>
        <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f t="shared" si="14"/>
        <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f t="shared" si="7"/>
        <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f t="shared" si="14"/>
        <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f t="shared" si="7"/>
        <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f t="shared" si="14"/>
        <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f t="shared" si="7"/>
        <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f t="shared" si="14"/>
        <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f t="shared" si="7"/>
        <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f t="shared" si="14"/>
        <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f t="shared" si="7"/>
        <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f t="shared" si="14"/>
        <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f t="shared" si="7"/>
        <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f t="shared" si="14"/>
        <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f t="shared" si="7"/>
        <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f t="shared" si="14"/>
        <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f t="shared" si="7"/>
        <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f t="shared" si="14"/>
        <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f t="shared" si="7"/>
        <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f t="shared" si="14"/>
        <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f t="shared" si="7"/>
        <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f t="shared" si="14"/>
        <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f t="shared" si="7"/>
        <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f t="shared" si="14"/>
        <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f t="shared" si="7"/>
        <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f t="shared" si="14"/>
        <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f t="shared" si="7"/>
        <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f t="shared" si="14"/>
        <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f t="shared" si="7"/>
        <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f t="shared" si="14"/>
        <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f t="shared" si="7"/>
        <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f t="shared" si="14"/>
        <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f t="shared" si="7"/>
        <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f t="shared" si="14"/>
        <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f t="shared" si="7"/>
        <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f t="shared" si="14"/>
        <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f t="shared" si="7"/>
        <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f t="shared" si="14"/>
        <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f t="shared" si="7"/>
        <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f t="shared" si="14"/>
        <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f t="shared" si="7"/>
        <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f t="shared" si="14"/>
        <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f t="shared" si="7"/>
        <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f t="shared" si="14"/>
        <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f t="shared" si="7"/>
        <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f t="shared" si="14"/>
        <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f t="shared" si="7"/>
        <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f t="shared" si="14"/>
        <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f t="shared" si="7"/>
        <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f t="shared" si="14"/>
        <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f t="shared" si="7"/>
        <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f t="shared" si="14"/>
        <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f t="shared" si="7"/>
        <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f t="shared" si="14"/>
        <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f t="shared" si="7"/>
        <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f t="shared" si="14"/>
        <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f t="shared" si="7"/>
        <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f t="shared" si="14"/>
        <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f t="shared" si="7"/>
        <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f t="shared" si="14"/>
        <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f t="shared" si="7"/>
        <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f t="shared" si="14"/>
        <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f t="shared" si="7"/>
        <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f t="shared" si="14"/>
        <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f t="shared" si="7"/>
        <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f t="shared" si="14"/>
        <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f t="shared" si="7"/>
        <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f t="shared" si="14"/>
        <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f t="shared" si="7"/>
        <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f t="shared" si="14"/>
        <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f t="shared" si="7"/>
        <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f t="shared" si="14"/>
        <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f t="shared" si="7"/>
        <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f t="shared" si="14"/>
        <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f t="shared" si="7"/>
        <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f t="shared" si="14"/>
        <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f t="shared" si="7"/>
        <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f t="shared" si="14"/>
        <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f t="shared" si="7"/>
        <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f t="shared" si="14"/>
        <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f t="shared" si="7"/>
        <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f t="shared" si="14"/>
        <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f t="shared" si="7"/>
        <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f t="shared" si="14"/>
        <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f t="shared" si="7"/>
        <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f t="shared" si="14"/>
        <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f t="shared" si="7"/>
        <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f t="shared" si="14"/>
        <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f t="shared" si="7"/>
        <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f t="shared" si="14"/>
        <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f t="shared" si="7"/>
        <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f t="shared" si="14"/>
        <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f t="shared" si="7"/>
        <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f t="shared" si="14"/>
        <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f t="shared" si="7"/>
        <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f t="shared" si="14"/>
        <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f t="shared" si="7"/>
        <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f t="shared" si="14"/>
        <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f t="shared" si="7"/>
        <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f t="shared" si="14"/>
        <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f t="shared" si="7"/>
        <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f t="shared" si="14"/>
        <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f t="shared" si="7"/>
        <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f t="shared" si="14"/>
        <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f t="shared" si="7"/>
        <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f t="shared" si="14"/>
        <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f t="shared" si="7"/>
        <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f t="shared" si="14"/>
        <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f t="shared" si="7"/>
        <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f t="shared" si="14"/>
        <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f t="shared" si="7"/>
        <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f t="shared" si="14"/>
        <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f t="shared" si="7"/>
        <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f t="shared" si="14"/>
        <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f t="shared" si="7"/>
        <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f t="shared" si="14"/>
        <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f t="shared" si="7"/>
        <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f t="shared" si="14"/>
        <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f t="shared" si="7"/>
        <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f t="shared" si="14"/>
        <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f t="shared" si="7"/>
        <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f t="shared" si="14"/>
        <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f t="shared" si="7"/>
        <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f t="shared" si="14"/>
        <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f t="shared" si="7"/>
        <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f t="shared" si="14"/>
        <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f t="shared" si="7"/>
        <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f t="shared" si="14"/>
        <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f t="shared" si="7"/>
        <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f t="shared" si="14"/>
        <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f t="shared" si="7"/>
        <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f t="shared" si="14"/>
        <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f t="shared" si="7"/>
        <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f t="shared" si="14"/>
        <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f t="shared" si="7"/>
        <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f t="shared" si="14"/>
        <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f t="shared" si="7"/>
        <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f t="shared" si="14"/>
        <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f t="shared" si="7"/>
        <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f t="shared" si="14"/>
        <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f t="shared" si="7"/>
        <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f t="shared" si="14"/>
        <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f t="shared" si="7"/>
        <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f t="shared" si="14"/>
        <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f t="shared" si="7"/>
        <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f t="shared" si="14"/>
        <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f t="shared" si="7"/>
        <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f t="shared" si="14"/>
        <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f t="shared" si="7"/>
        <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f t="shared" si="14"/>
        <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f t="shared" si="7"/>
        <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f t="shared" si="14"/>
        <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f t="shared" si="7"/>
        <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f t="shared" si="14"/>
        <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f t="shared" si="7"/>
        <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f t="shared" ref="AY110:AY141" si="39">ROUND($AY$6*AZ110/$AZ$5,2)</f>
        <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f t="shared" si="7"/>
        <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f t="shared" si="39"/>
        <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f t="shared" si="7"/>
        <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f t="shared" si="39"/>
        <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f t="shared" ref="E113:E144" si="61">IF($C$3="是",ROUND($A$3*G113/$B$3,2),ROUND($A$3*(G113-AT113)/$B$3,2))</f>
        <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f t="shared" si="39"/>
        <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f t="shared" si="61"/>
        <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f t="shared" si="39"/>
        <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f t="shared" si="61"/>
        <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f t="shared" si="39"/>
        <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f t="shared" si="61"/>
        <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f t="shared" si="39"/>
        <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f t="shared" si="61"/>
        <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f t="shared" si="39"/>
        <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f t="shared" si="61"/>
        <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f t="shared" si="39"/>
        <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f t="shared" si="61"/>
        <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f t="shared" si="39"/>
        <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f t="shared" si="61"/>
        <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f t="shared" si="39"/>
        <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f t="shared" si="61"/>
        <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f t="shared" si="39"/>
        <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f t="shared" si="61"/>
        <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f t="shared" si="39"/>
        <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f t="shared" si="61"/>
        <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f t="shared" si="39"/>
        <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f t="shared" si="61"/>
        <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f t="shared" si="39"/>
        <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f t="shared" si="61"/>
        <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f t="shared" si="39"/>
        <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f t="shared" si="61"/>
        <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f t="shared" si="39"/>
        <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f t="shared" si="61"/>
        <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f t="shared" si="39"/>
        <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f t="shared" si="61"/>
        <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f t="shared" si="39"/>
        <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f t="shared" si="61"/>
        <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f t="shared" si="39"/>
        <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f t="shared" si="61"/>
        <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f t="shared" si="39"/>
        <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f t="shared" si="61"/>
        <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f t="shared" si="39"/>
        <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f t="shared" si="61"/>
        <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f t="shared" si="39"/>
        <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f t="shared" si="61"/>
        <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f t="shared" si="39"/>
        <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f t="shared" si="61"/>
        <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f t="shared" si="39"/>
        <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f t="shared" si="61"/>
        <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f t="shared" si="39"/>
        <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f t="shared" si="61"/>
        <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f t="shared" si="39"/>
        <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f t="shared" si="61"/>
        <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f t="shared" si="39"/>
        <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f t="shared" si="61"/>
        <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f t="shared" si="39"/>
        <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f t="shared" si="61"/>
        <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f t="shared" si="39"/>
        <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f t="shared" si="61"/>
        <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f t="shared" si="39"/>
        <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f t="shared" si="61"/>
        <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f t="shared" si="39"/>
        <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f t="shared" si="61"/>
        <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f t="shared" ref="AY142:AY173" si="68">ROUND($AY$6*AZ142/$AZ$5,2)</f>
        <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f t="shared" si="61"/>
        <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f t="shared" si="68"/>
        <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f t="shared" si="61"/>
        <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f t="shared" si="68"/>
        <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f t="shared" ref="E145:E176" si="90">IF($C$3="是",ROUND($A$3*G145/$B$3,2),ROUND($A$3*(G145-AT145)/$B$3,2))</f>
        <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f t="shared" si="68"/>
        <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f t="shared" si="90"/>
        <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f t="shared" si="68"/>
        <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f t="shared" si="90"/>
        <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f t="shared" si="68"/>
        <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f t="shared" si="90"/>
        <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f t="shared" si="68"/>
        <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f t="shared" si="90"/>
        <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f t="shared" si="68"/>
        <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f t="shared" si="90"/>
        <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f t="shared" si="68"/>
        <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f t="shared" si="90"/>
        <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f t="shared" si="68"/>
        <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f t="shared" si="90"/>
        <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f t="shared" si="68"/>
        <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f t="shared" si="90"/>
        <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f t="shared" si="68"/>
        <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f t="shared" si="90"/>
        <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f t="shared" si="68"/>
        <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f t="shared" si="90"/>
        <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f t="shared" si="68"/>
        <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f t="shared" si="90"/>
        <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f t="shared" si="68"/>
        <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f t="shared" si="90"/>
        <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f t="shared" si="68"/>
        <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f t="shared" si="90"/>
        <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f t="shared" si="68"/>
        <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f t="shared" si="90"/>
        <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f t="shared" si="68"/>
        <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f t="shared" si="90"/>
        <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f t="shared" si="68"/>
        <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f t="shared" si="90"/>
        <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f t="shared" si="68"/>
        <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f t="shared" si="90"/>
        <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f t="shared" si="68"/>
        <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f t="shared" si="90"/>
        <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f t="shared" si="68"/>
        <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f t="shared" si="90"/>
        <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f t="shared" si="68"/>
        <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f t="shared" si="90"/>
        <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f t="shared" si="68"/>
        <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f t="shared" si="90"/>
        <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f t="shared" si="68"/>
        <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f t="shared" si="90"/>
        <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f t="shared" si="68"/>
        <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f t="shared" si="90"/>
        <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f t="shared" si="68"/>
        <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f t="shared" si="90"/>
        <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f t="shared" si="68"/>
        <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f t="shared" si="90"/>
        <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f t="shared" si="68"/>
        <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f t="shared" si="90"/>
        <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f t="shared" si="68"/>
        <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f t="shared" si="90"/>
        <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f t="shared" si="68"/>
        <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f t="shared" si="90"/>
        <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f t="shared" si="68"/>
        <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f t="shared" si="90"/>
        <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f t="shared" ref="AY174:AY205" si="97">ROUND($AY$6*AZ174/$AZ$5,2)</f>
        <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f t="shared" si="90"/>
        <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f t="shared" si="97"/>
        <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f t="shared" si="90"/>
        <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f t="shared" si="97"/>
        <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f t="shared" ref="E177:E207" si="119">IF($C$3="是",ROUND($A$3*G177/$B$3,2),ROUND($A$3*(G177-AT177)/$B$3,2))</f>
        <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f t="shared" si="97"/>
        <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f t="shared" si="119"/>
        <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f t="shared" si="97"/>
        <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f t="shared" si="119"/>
        <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f t="shared" si="97"/>
        <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f t="shared" si="119"/>
        <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f t="shared" si="97"/>
        <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f t="shared" si="119"/>
        <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f t="shared" si="97"/>
        <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f t="shared" si="119"/>
        <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f t="shared" si="97"/>
        <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f t="shared" si="119"/>
        <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f t="shared" si="97"/>
        <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f t="shared" si="119"/>
        <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f t="shared" si="97"/>
        <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f t="shared" si="119"/>
        <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f t="shared" si="97"/>
        <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f t="shared" si="119"/>
        <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f t="shared" si="97"/>
        <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f t="shared" si="119"/>
        <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f t="shared" si="97"/>
        <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f t="shared" si="119"/>
        <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f t="shared" si="97"/>
        <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f t="shared" si="119"/>
        <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f t="shared" si="97"/>
        <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f t="shared" si="119"/>
        <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f t="shared" si="97"/>
        <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f t="shared" si="119"/>
        <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f t="shared" si="97"/>
        <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f t="shared" si="119"/>
        <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f t="shared" si="97"/>
        <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f t="shared" si="119"/>
        <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f t="shared" si="97"/>
        <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f t="shared" si="119"/>
        <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f t="shared" si="97"/>
        <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f t="shared" si="119"/>
        <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f t="shared" si="97"/>
        <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f t="shared" si="119"/>
        <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f t="shared" si="97"/>
        <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f t="shared" si="119"/>
        <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f t="shared" si="97"/>
        <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f t="shared" si="119"/>
        <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f t="shared" si="97"/>
        <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f t="shared" si="119"/>
        <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f t="shared" si="97"/>
        <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f t="shared" si="119"/>
        <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f t="shared" si="97"/>
        <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f t="shared" si="119"/>
        <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f t="shared" si="97"/>
        <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f t="shared" si="119"/>
        <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f t="shared" si="97"/>
        <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f t="shared" si="119"/>
        <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f t="shared" si="97"/>
        <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f t="shared" si="119"/>
        <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f t="shared" si="97"/>
        <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f t="shared" si="119"/>
        <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f t="shared" si="97"/>
        <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f t="shared" si="119"/>
        <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f>ROUND($AY$6*AZ206/$AZ$5,2)</f>
        <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f t="shared" si="119"/>
        <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f>ROUND($AY$6*AZ207/$AZ$5,2)</f>
        <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f t="shared" ref="E208:E302" si="123">IF($C$3="是",ROUND($A$3*G208/$B$3,2),ROUND($A$3*(G208-AT208)/$B$3,2))</f>
        <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f t="shared" ref="AY208:AY299" si="130">ROUND($AY$6*AZ208/$AZ$5,2)</f>
        <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f t="shared" si="123"/>
        <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f t="shared" si="130"/>
        <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f t="shared" si="123"/>
        <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f t="shared" si="130"/>
        <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f t="shared" si="123"/>
        <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f t="shared" si="130"/>
        <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f t="shared" si="123"/>
        <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f t="shared" si="130"/>
        <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f t="shared" si="123"/>
        <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f t="shared" si="130"/>
        <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f t="shared" si="123"/>
        <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f t="shared" si="130"/>
        <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f t="shared" si="123"/>
        <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f t="shared" si="130"/>
        <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f t="shared" si="123"/>
        <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f t="shared" si="130"/>
        <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f t="shared" si="123"/>
        <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f t="shared" si="130"/>
        <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f t="shared" si="123"/>
        <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f t="shared" si="130"/>
        <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f t="shared" si="123"/>
        <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f t="shared" si="130"/>
        <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f t="shared" si="123"/>
        <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f t="shared" si="130"/>
        <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f t="shared" si="123"/>
        <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f t="shared" si="130"/>
        <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f t="shared" si="123"/>
        <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f t="shared" si="130"/>
        <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f t="shared" si="123"/>
        <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f t="shared" si="130"/>
        <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f t="shared" si="123"/>
        <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f t="shared" si="130"/>
        <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f t="shared" si="123"/>
        <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f t="shared" si="130"/>
        <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f t="shared" si="123"/>
        <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f t="shared" si="130"/>
        <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f t="shared" si="123"/>
        <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f t="shared" si="130"/>
        <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f t="shared" si="123"/>
        <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f t="shared" si="130"/>
        <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f t="shared" si="123"/>
        <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f t="shared" si="130"/>
        <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f t="shared" si="123"/>
        <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f t="shared" si="130"/>
        <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f t="shared" si="123"/>
        <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f t="shared" si="130"/>
        <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f t="shared" si="123"/>
        <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f t="shared" si="130"/>
        <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f t="shared" si="123"/>
        <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f t="shared" si="130"/>
        <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f t="shared" si="123"/>
        <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f t="shared" si="130"/>
        <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f t="shared" si="123"/>
        <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f t="shared" si="130"/>
        <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f t="shared" si="123"/>
        <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f t="shared" si="130"/>
        <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f t="shared" si="123"/>
        <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f t="shared" si="130"/>
        <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f t="shared" si="123"/>
        <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f t="shared" si="130"/>
        <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f t="shared" si="123"/>
        <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f t="shared" si="130"/>
        <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f t="shared" si="123"/>
        <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f t="shared" si="130"/>
        <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f t="shared" si="123"/>
        <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f t="shared" si="130"/>
        <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f t="shared" si="123"/>
        <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f t="shared" si="130"/>
        <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f t="shared" si="123"/>
        <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f t="shared" si="130"/>
        <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f t="shared" si="123"/>
        <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f t="shared" si="130"/>
        <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f t="shared" si="123"/>
        <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f t="shared" si="130"/>
        <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f t="shared" si="123"/>
        <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f t="shared" si="130"/>
        <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f t="shared" si="123"/>
        <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f t="shared" si="130"/>
        <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f t="shared" si="123"/>
        <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f t="shared" si="130"/>
        <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f t="shared" si="123"/>
        <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f t="shared" si="130"/>
        <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f t="shared" si="123"/>
        <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f t="shared" si="130"/>
        <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f t="shared" si="123"/>
        <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f t="shared" si="130"/>
        <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f t="shared" si="123"/>
        <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f t="shared" si="130"/>
        <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f t="shared" si="123"/>
        <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f t="shared" si="130"/>
        <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f t="shared" si="123"/>
        <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f t="shared" si="130"/>
        <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f t="shared" si="123"/>
        <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f t="shared" si="130"/>
        <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f t="shared" si="123"/>
        <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f t="shared" si="130"/>
        <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f t="shared" si="123"/>
        <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f t="shared" si="130"/>
        <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f t="shared" si="123"/>
        <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f t="shared" si="130"/>
        <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f t="shared" si="123"/>
        <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f t="shared" si="130"/>
        <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f t="shared" si="123"/>
        <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f t="shared" si="130"/>
        <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f t="shared" si="123"/>
        <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f t="shared" si="130"/>
        <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f t="shared" si="123"/>
        <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f t="shared" si="130"/>
        <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f t="shared" si="123"/>
        <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f t="shared" si="130"/>
        <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f t="shared" si="123"/>
        <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f t="shared" si="130"/>
        <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f t="shared" si="123"/>
        <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f t="shared" si="130"/>
        <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f t="shared" si="123"/>
        <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f t="shared" si="130"/>
        <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f t="shared" si="123"/>
        <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f t="shared" si="130"/>
        <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f t="shared" si="123"/>
        <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f t="shared" si="130"/>
        <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f t="shared" si="123"/>
        <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f t="shared" si="130"/>
        <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f t="shared" si="123"/>
        <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f t="shared" si="130"/>
        <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f t="shared" si="123"/>
        <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f t="shared" si="130"/>
        <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f t="shared" si="123"/>
        <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f t="shared" si="130"/>
        <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f t="shared" si="123"/>
        <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f t="shared" si="130"/>
        <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f t="shared" si="123"/>
        <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f t="shared" si="130"/>
        <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f t="shared" si="123"/>
        <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f t="shared" si="130"/>
        <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f t="shared" si="123"/>
        <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f t="shared" si="130"/>
        <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f t="shared" si="123"/>
        <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f t="shared" si="130"/>
        <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f t="shared" si="123"/>
        <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f t="shared" si="130"/>
        <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f t="shared" si="123"/>
        <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f t="shared" si="130"/>
        <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f t="shared" si="123"/>
        <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f t="shared" si="130"/>
        <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f t="shared" si="123"/>
        <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f t="shared" si="130"/>
        <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f t="shared" si="123"/>
        <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f t="shared" si="130"/>
        <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f t="shared" si="123"/>
        <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f t="shared" si="130"/>
        <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f t="shared" si="123"/>
        <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f t="shared" si="130"/>
        <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f t="shared" si="123"/>
        <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f t="shared" si="130"/>
        <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f t="shared" si="123"/>
        <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f t="shared" si="130"/>
        <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f t="shared" si="123"/>
        <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f t="shared" si="130"/>
        <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f t="shared" si="123"/>
        <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f t="shared" si="130"/>
        <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f t="shared" si="123"/>
        <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f t="shared" si="130"/>
        <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f t="shared" si="123"/>
        <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f t="shared" si="130"/>
        <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f t="shared" si="123"/>
        <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f t="shared" si="130"/>
        <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f t="shared" si="123"/>
        <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f t="shared" si="130"/>
        <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f t="shared" si="123"/>
        <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f t="shared" si="130"/>
        <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f t="shared" si="123"/>
        <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f t="shared" si="130"/>
        <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f t="shared" si="123"/>
        <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f t="shared" si="130"/>
        <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f t="shared" si="123"/>
        <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f t="shared" si="130"/>
        <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f t="shared" si="123"/>
        <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f t="shared" si="130"/>
        <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f t="shared" si="123"/>
        <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f t="shared" si="130"/>
        <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f t="shared" si="123"/>
        <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f t="shared" si="130"/>
        <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f t="shared" si="123"/>
        <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f t="shared" ref="AY300:AY331" si="155">ROUND($AY$6*AZ300/$AZ$5,2)</f>
        <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f t="shared" si="123"/>
        <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f t="shared" si="155"/>
        <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f t="shared" si="123"/>
        <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f t="shared" si="155"/>
        <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f t="shared" ref="E303:E334" si="177">IF($C$3="是",ROUND($A$3*G303/$B$3,2),ROUND($A$3*(G303-AT303)/$B$3,2))</f>
        <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f t="shared" si="155"/>
        <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f t="shared" si="177"/>
        <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f t="shared" si="155"/>
        <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f t="shared" si="177"/>
        <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f t="shared" si="155"/>
        <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f t="shared" si="177"/>
        <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f t="shared" si="155"/>
        <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f t="shared" si="177"/>
        <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f t="shared" si="155"/>
        <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f t="shared" si="177"/>
        <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f t="shared" si="155"/>
        <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f t="shared" si="177"/>
        <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f t="shared" si="155"/>
        <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f t="shared" si="177"/>
        <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f t="shared" si="155"/>
        <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f t="shared" si="177"/>
        <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f t="shared" si="155"/>
        <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f t="shared" si="177"/>
        <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f t="shared" si="155"/>
        <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f t="shared" si="177"/>
        <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f t="shared" si="155"/>
        <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f t="shared" si="177"/>
        <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f t="shared" si="155"/>
        <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f t="shared" si="177"/>
        <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f t="shared" si="155"/>
        <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f t="shared" si="177"/>
        <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f t="shared" si="155"/>
        <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f t="shared" si="177"/>
        <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f t="shared" si="155"/>
        <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f t="shared" si="177"/>
        <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f t="shared" si="155"/>
        <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f t="shared" si="177"/>
        <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f t="shared" si="155"/>
        <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f t="shared" si="177"/>
        <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f t="shared" si="155"/>
        <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f t="shared" si="177"/>
        <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f t="shared" si="155"/>
        <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f t="shared" si="177"/>
        <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f t="shared" si="155"/>
        <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f t="shared" si="177"/>
        <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f t="shared" si="155"/>
        <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f t="shared" si="177"/>
        <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f t="shared" si="155"/>
        <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f t="shared" si="177"/>
        <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f t="shared" si="155"/>
        <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f t="shared" si="177"/>
        <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f t="shared" si="155"/>
        <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f t="shared" si="177"/>
        <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f t="shared" si="155"/>
        <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f t="shared" si="177"/>
        <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f t="shared" si="155"/>
        <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f t="shared" si="177"/>
        <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f t="shared" si="155"/>
        <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f t="shared" si="177"/>
        <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f t="shared" si="155"/>
        <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f t="shared" si="177"/>
        <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f t="shared" si="155"/>
        <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f t="shared" si="177"/>
        <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f t="shared" ref="AY332:AY363" si="184">ROUND($AY$6*AZ332/$AZ$5,2)</f>
        <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f t="shared" si="177"/>
        <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f t="shared" si="184"/>
        <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f t="shared" si="177"/>
        <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f t="shared" si="184"/>
        <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f t="shared" ref="E335:E366" si="206">IF($C$3="是",ROUND($A$3*G335/$B$3,2),ROUND($A$3*(G335-AT335)/$B$3,2))</f>
        <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f t="shared" si="184"/>
        <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f t="shared" si="206"/>
        <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f t="shared" si="184"/>
        <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f t="shared" si="206"/>
        <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f t="shared" si="184"/>
        <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f t="shared" si="206"/>
        <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f t="shared" si="184"/>
        <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f t="shared" si="206"/>
        <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f t="shared" si="184"/>
        <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f t="shared" si="206"/>
        <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f t="shared" si="184"/>
        <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f t="shared" si="206"/>
        <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f t="shared" si="184"/>
        <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f t="shared" si="206"/>
        <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f t="shared" si="184"/>
        <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f t="shared" si="206"/>
        <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f t="shared" si="184"/>
        <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f t="shared" si="206"/>
        <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f t="shared" si="184"/>
        <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f t="shared" si="206"/>
        <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f t="shared" si="184"/>
        <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f t="shared" si="206"/>
        <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f t="shared" si="184"/>
        <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f t="shared" si="206"/>
        <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f t="shared" si="184"/>
        <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f t="shared" si="206"/>
        <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f t="shared" si="184"/>
        <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f t="shared" si="206"/>
        <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f t="shared" si="184"/>
        <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f t="shared" si="206"/>
        <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f t="shared" si="184"/>
        <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f t="shared" si="206"/>
        <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f t="shared" si="184"/>
        <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f t="shared" si="206"/>
        <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f t="shared" si="184"/>
        <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f t="shared" si="206"/>
        <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f t="shared" si="184"/>
        <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f t="shared" si="206"/>
        <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f t="shared" si="184"/>
        <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f t="shared" si="206"/>
        <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f t="shared" si="184"/>
        <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f t="shared" si="206"/>
        <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f t="shared" si="184"/>
        <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f t="shared" si="206"/>
        <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f t="shared" si="184"/>
        <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f t="shared" si="206"/>
        <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f t="shared" si="184"/>
        <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f t="shared" si="206"/>
        <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f t="shared" si="184"/>
        <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f t="shared" si="206"/>
        <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f t="shared" si="184"/>
        <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f t="shared" si="206"/>
        <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f t="shared" si="184"/>
        <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f t="shared" si="206"/>
        <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f t="shared" si="184"/>
        <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f t="shared" si="206"/>
        <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f t="shared" si="184"/>
        <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f t="shared" si="206"/>
        <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f t="shared" ref="AY364:AY395" si="213">ROUND($AY$6*AZ364/$AZ$5,2)</f>
        <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f t="shared" si="206"/>
        <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f t="shared" si="213"/>
        <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f t="shared" si="206"/>
        <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f t="shared" si="213"/>
        <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f t="shared" ref="E367:E397" si="235">IF($C$3="是",ROUND($A$3*G367/$B$3,2),ROUND($A$3*(G367-AT367)/$B$3,2))</f>
        <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f t="shared" si="213"/>
        <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f t="shared" si="235"/>
        <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f t="shared" si="213"/>
        <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f t="shared" si="235"/>
        <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f t="shared" si="213"/>
        <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f t="shared" si="235"/>
        <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f t="shared" si="213"/>
        <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f t="shared" si="235"/>
        <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f t="shared" si="213"/>
        <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f t="shared" si="235"/>
        <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f t="shared" si="213"/>
        <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f t="shared" si="235"/>
        <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f t="shared" si="213"/>
        <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f t="shared" si="235"/>
        <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f t="shared" si="213"/>
        <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f t="shared" si="235"/>
        <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f t="shared" si="213"/>
        <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f t="shared" si="235"/>
        <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f t="shared" si="213"/>
        <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f t="shared" si="235"/>
        <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f t="shared" si="213"/>
        <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f t="shared" si="235"/>
        <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f t="shared" si="213"/>
        <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f t="shared" si="235"/>
        <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f t="shared" si="213"/>
        <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f t="shared" si="235"/>
        <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f t="shared" si="213"/>
        <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f t="shared" si="235"/>
        <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f t="shared" si="213"/>
        <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f t="shared" si="235"/>
        <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f t="shared" si="213"/>
        <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f t="shared" si="235"/>
        <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f t="shared" si="213"/>
        <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f t="shared" si="235"/>
        <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f t="shared" si="213"/>
        <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f t="shared" si="235"/>
        <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f t="shared" si="213"/>
        <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f t="shared" si="235"/>
        <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f t="shared" si="213"/>
        <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f t="shared" si="235"/>
        <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f t="shared" si="213"/>
        <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f t="shared" si="235"/>
        <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f t="shared" si="213"/>
        <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f t="shared" si="235"/>
        <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f t="shared" si="213"/>
        <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f t="shared" si="235"/>
        <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f t="shared" si="213"/>
        <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f t="shared" si="235"/>
        <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f t="shared" si="213"/>
        <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f t="shared" si="235"/>
        <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f t="shared" si="213"/>
        <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f t="shared" si="235"/>
        <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f t="shared" si="213"/>
        <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f t="shared" si="235"/>
        <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f t="shared" si="213"/>
        <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f t="shared" si="235"/>
        <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f t="shared" si="213"/>
        <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f t="shared" si="235"/>
        <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f>ROUND($AY$6*AZ396/$AZ$5,2)</f>
        <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f t="shared" si="235"/>
        <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f>ROUND($AY$6*AZ397/$AZ$5,2)</f>
        <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f t="shared" ref="E398:E492" si="239">IF($C$3="是",ROUND($A$3*G398/$B$3,2),ROUND($A$3*(G398-AT398)/$B$3,2))</f>
        <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f t="shared" ref="AY398:AY489" si="246">ROUND($AY$6*AZ398/$AZ$5,2)</f>
        <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f t="shared" si="239"/>
        <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f t="shared" si="246"/>
        <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f t="shared" si="239"/>
        <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f t="shared" si="246"/>
        <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f t="shared" si="239"/>
        <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f t="shared" si="246"/>
        <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f t="shared" si="239"/>
        <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f t="shared" si="246"/>
        <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f t="shared" si="239"/>
        <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f t="shared" si="246"/>
        <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f t="shared" si="239"/>
        <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f t="shared" si="246"/>
        <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f t="shared" si="239"/>
        <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f t="shared" si="246"/>
        <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f t="shared" si="239"/>
        <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f t="shared" si="246"/>
        <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f t="shared" si="239"/>
        <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f t="shared" si="246"/>
        <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f t="shared" si="239"/>
        <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f t="shared" si="246"/>
        <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f t="shared" si="239"/>
        <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f t="shared" si="246"/>
        <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f t="shared" si="239"/>
        <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f t="shared" si="246"/>
        <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f t="shared" si="239"/>
        <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f t="shared" si="246"/>
        <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f t="shared" si="239"/>
        <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f t="shared" si="246"/>
        <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f t="shared" si="239"/>
        <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f t="shared" si="246"/>
        <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f t="shared" si="239"/>
        <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f t="shared" si="246"/>
        <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f t="shared" si="239"/>
        <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f t="shared" si="246"/>
        <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f t="shared" si="239"/>
        <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f t="shared" si="246"/>
        <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f t="shared" si="239"/>
        <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f t="shared" si="246"/>
        <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f t="shared" si="239"/>
        <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f t="shared" si="246"/>
        <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f t="shared" si="239"/>
        <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f t="shared" si="246"/>
        <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f t="shared" si="239"/>
        <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f t="shared" si="246"/>
        <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f t="shared" si="239"/>
        <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f t="shared" si="246"/>
        <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f t="shared" si="239"/>
        <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f t="shared" si="246"/>
        <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f t="shared" si="239"/>
        <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f t="shared" si="246"/>
        <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f t="shared" si="239"/>
        <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f t="shared" si="246"/>
        <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f t="shared" si="239"/>
        <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f t="shared" si="246"/>
        <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f t="shared" si="239"/>
        <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f t="shared" si="246"/>
        <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f t="shared" si="239"/>
        <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f t="shared" si="246"/>
        <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f t="shared" si="239"/>
        <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f t="shared" si="246"/>
        <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f t="shared" si="239"/>
        <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f t="shared" si="246"/>
        <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f t="shared" si="239"/>
        <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f t="shared" si="246"/>
        <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f t="shared" si="239"/>
        <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f t="shared" si="246"/>
        <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f t="shared" si="239"/>
        <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f t="shared" si="246"/>
        <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f t="shared" si="239"/>
        <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f t="shared" si="246"/>
        <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f t="shared" si="239"/>
        <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f t="shared" si="246"/>
        <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f t="shared" si="239"/>
        <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f t="shared" si="246"/>
        <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f t="shared" si="239"/>
        <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f t="shared" si="246"/>
        <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f t="shared" si="239"/>
        <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f t="shared" si="246"/>
        <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f t="shared" si="239"/>
        <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f t="shared" si="246"/>
        <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f t="shared" si="239"/>
        <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f t="shared" si="246"/>
        <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f t="shared" si="239"/>
        <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f t="shared" si="246"/>
        <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f t="shared" si="239"/>
        <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f t="shared" si="246"/>
        <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f t="shared" si="239"/>
        <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f t="shared" si="246"/>
        <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f t="shared" si="239"/>
        <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f t="shared" si="246"/>
        <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f t="shared" si="239"/>
        <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f t="shared" si="246"/>
        <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f t="shared" si="239"/>
        <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f t="shared" si="246"/>
        <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f t="shared" si="239"/>
        <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f t="shared" si="246"/>
        <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f t="shared" si="239"/>
        <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f t="shared" si="246"/>
        <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f t="shared" si="239"/>
        <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f t="shared" si="246"/>
        <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f t="shared" si="239"/>
        <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f t="shared" si="246"/>
        <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f t="shared" si="239"/>
        <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f t="shared" si="246"/>
        <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f t="shared" si="239"/>
        <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f t="shared" si="246"/>
        <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f t="shared" si="239"/>
        <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f t="shared" si="246"/>
        <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f t="shared" si="239"/>
        <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f t="shared" si="246"/>
        <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f t="shared" si="239"/>
        <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f t="shared" si="246"/>
        <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f t="shared" si="239"/>
        <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f t="shared" si="246"/>
        <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f t="shared" si="239"/>
        <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f t="shared" si="246"/>
        <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f t="shared" si="239"/>
        <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f t="shared" si="246"/>
        <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f t="shared" si="239"/>
        <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f t="shared" si="246"/>
        <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f t="shared" si="239"/>
        <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f t="shared" si="246"/>
        <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f t="shared" si="239"/>
        <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f t="shared" si="246"/>
        <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f t="shared" si="239"/>
        <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f t="shared" si="246"/>
        <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f t="shared" si="239"/>
        <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f t="shared" si="246"/>
        <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f t="shared" si="239"/>
        <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f t="shared" si="246"/>
        <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f t="shared" si="239"/>
        <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f t="shared" si="246"/>
        <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f t="shared" si="239"/>
        <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f t="shared" si="246"/>
        <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f t="shared" si="239"/>
        <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f t="shared" si="246"/>
        <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f t="shared" si="239"/>
        <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f t="shared" si="246"/>
        <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f t="shared" si="239"/>
        <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f t="shared" si="246"/>
        <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f t="shared" si="239"/>
        <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f t="shared" si="246"/>
        <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f t="shared" si="239"/>
        <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f t="shared" si="246"/>
        <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f t="shared" si="239"/>
        <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f t="shared" si="246"/>
        <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f t="shared" si="239"/>
        <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f t="shared" si="246"/>
        <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f t="shared" si="239"/>
        <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f t="shared" si="246"/>
        <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f t="shared" si="239"/>
        <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f t="shared" si="246"/>
        <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f t="shared" si="239"/>
        <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f t="shared" si="246"/>
        <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f t="shared" si="239"/>
        <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f t="shared" si="246"/>
        <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f t="shared" si="239"/>
        <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f t="shared" si="246"/>
        <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f t="shared" si="239"/>
        <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f t="shared" si="246"/>
        <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f t="shared" si="239"/>
        <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f t="shared" si="246"/>
        <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f t="shared" si="239"/>
        <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f t="shared" si="246"/>
        <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f t="shared" si="239"/>
        <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f t="shared" si="246"/>
        <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f t="shared" si="239"/>
        <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f t="shared" si="246"/>
        <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f t="shared" si="239"/>
        <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f t="shared" si="246"/>
        <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f t="shared" si="239"/>
        <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f t="shared" si="246"/>
        <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f t="shared" si="239"/>
        <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f t="shared" si="246"/>
        <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f t="shared" si="239"/>
        <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f t="shared" si="246"/>
        <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f t="shared" si="239"/>
        <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f t="shared" si="246"/>
        <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f t="shared" si="239"/>
        <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f t="shared" si="246"/>
        <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f t="shared" si="239"/>
        <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f t="shared" si="246"/>
        <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f t="shared" si="239"/>
        <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f t="shared" ref="AY490:AY521" si="271">ROUND($AY$6*AZ490/$AZ$5,2)</f>
        <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f t="shared" si="239"/>
        <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f t="shared" si="271"/>
        <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f t="shared" si="239"/>
        <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f t="shared" si="271"/>
        <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f t="shared" ref="E493:E519" si="293">IF($C$3="是",ROUND($A$3*G493/$B$3,2),ROUND($A$3*(G493-AT493)/$B$3,2))</f>
        <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f t="shared" si="271"/>
        <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f t="shared" si="293"/>
        <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f t="shared" si="271"/>
        <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f t="shared" si="293"/>
        <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f t="shared" si="271"/>
        <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f t="shared" si="293"/>
        <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f t="shared" si="271"/>
        <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f t="shared" si="293"/>
        <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f t="shared" si="271"/>
        <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f t="shared" si="293"/>
        <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f t="shared" si="271"/>
        <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f t="shared" si="293"/>
        <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f t="shared" si="271"/>
        <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f t="shared" si="293"/>
        <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f t="shared" si="271"/>
        <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f t="shared" si="293"/>
        <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f t="shared" si="271"/>
        <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f t="shared" si="293"/>
        <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f t="shared" si="271"/>
        <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f t="shared" si="293"/>
        <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f t="shared" si="271"/>
        <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f t="shared" si="293"/>
        <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f t="shared" si="271"/>
        <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f t="shared" si="293"/>
        <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f t="shared" si="271"/>
        <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f t="shared" si="293"/>
        <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f t="shared" si="271"/>
        <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f t="shared" si="293"/>
        <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f t="shared" si="271"/>
        <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f t="shared" si="293"/>
        <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f t="shared" si="271"/>
        <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f t="shared" si="293"/>
        <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f t="shared" si="271"/>
        <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f t="shared" si="293"/>
        <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f t="shared" si="271"/>
        <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f t="shared" si="293"/>
        <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f t="shared" si="271"/>
        <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f t="shared" si="293"/>
        <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f t="shared" si="271"/>
        <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f t="shared" si="293"/>
        <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f t="shared" si="271"/>
        <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f t="shared" si="293"/>
        <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f t="shared" si="271"/>
        <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f t="shared" si="293"/>
        <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f t="shared" si="271"/>
        <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f t="shared" si="293"/>
        <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f t="shared" si="271"/>
        <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f t="shared" si="293"/>
        <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f t="shared" si="271"/>
        <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f t="shared" si="293"/>
        <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f t="shared" si="271"/>
        <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f t="shared" si="293"/>
        <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f t="shared" si="271"/>
        <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f t="shared" ref="E520:E551" si="297">IF($C$3="是",ROUND($A$3*G520/$B$3,2),ROUND($A$3*(G520-AT520)/$B$3,2))</f>
        <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f t="shared" si="271"/>
        <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f t="shared" si="297"/>
        <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f t="shared" si="271"/>
        <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f t="shared" si="297"/>
        <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f t="shared" ref="AY522:AY552" si="304">ROUND($AY$6*AZ522/$AZ$5,2)</f>
        <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f t="shared" si="297"/>
        <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f t="shared" si="304"/>
        <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f t="shared" si="297"/>
        <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f t="shared" si="304"/>
        <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f t="shared" si="297"/>
        <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f t="shared" si="304"/>
        <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f t="shared" si="297"/>
        <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f t="shared" si="304"/>
        <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f t="shared" si="297"/>
        <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f t="shared" si="304"/>
        <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f t="shared" si="297"/>
        <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f t="shared" si="304"/>
        <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f t="shared" si="297"/>
        <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f t="shared" si="304"/>
        <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f t="shared" si="297"/>
        <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f t="shared" si="304"/>
        <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f t="shared" si="297"/>
        <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f t="shared" si="304"/>
        <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f t="shared" si="297"/>
        <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f t="shared" si="304"/>
        <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f t="shared" si="297"/>
        <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f t="shared" si="304"/>
        <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f t="shared" si="297"/>
        <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f t="shared" si="304"/>
        <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f t="shared" si="297"/>
        <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f t="shared" si="304"/>
        <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f t="shared" si="297"/>
        <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f t="shared" si="304"/>
        <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f t="shared" si="297"/>
        <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f t="shared" si="304"/>
        <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f t="shared" si="297"/>
        <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f t="shared" si="304"/>
        <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f t="shared" si="297"/>
        <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f t="shared" si="304"/>
        <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f t="shared" si="297"/>
        <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f t="shared" si="304"/>
        <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f t="shared" si="297"/>
        <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f t="shared" si="304"/>
        <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f t="shared" si="297"/>
        <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f t="shared" si="304"/>
        <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f t="shared" si="297"/>
        <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f t="shared" si="304"/>
        <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f t="shared" si="297"/>
        <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f t="shared" si="304"/>
        <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f t="shared" si="297"/>
        <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f t="shared" si="304"/>
        <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f t="shared" si="297"/>
        <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f t="shared" si="304"/>
        <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f t="shared" si="297"/>
        <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f t="shared" si="304"/>
        <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f t="shared" si="297"/>
        <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f t="shared" si="304"/>
        <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f t="shared" si="297"/>
        <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f t="shared" si="304"/>
        <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f t="shared" si="297"/>
        <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f t="shared" si="304"/>
        <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f t="shared" si="297"/>
        <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f t="shared" si="304"/>
        <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f t="shared" ref="E552:E587" si="326">IF($C$3="是",ROUND($A$3*G552/$B$3,2),ROUND($A$3*(G552-AT552)/$B$3,2))</f>
        <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f t="shared" si="304"/>
        <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f t="shared" si="326"/>
        <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f t="shared" ref="AY553:AY584" si="333">ROUND($AY$6*AZ553/$AZ$5,2)</f>
        <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f t="shared" si="326"/>
        <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f t="shared" si="333"/>
        <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f t="shared" si="326"/>
        <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f t="shared" si="333"/>
        <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f t="shared" si="326"/>
        <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f t="shared" si="333"/>
        <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f t="shared" si="326"/>
        <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f t="shared" si="333"/>
        <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f t="shared" si="326"/>
        <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f t="shared" si="333"/>
        <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f t="shared" si="326"/>
        <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f t="shared" si="333"/>
        <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f t="shared" si="326"/>
        <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f t="shared" si="333"/>
        <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f t="shared" si="326"/>
        <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f t="shared" si="333"/>
        <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f t="shared" si="326"/>
        <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f t="shared" si="333"/>
        <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f t="shared" si="326"/>
        <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f t="shared" si="333"/>
        <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f t="shared" si="326"/>
        <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f t="shared" si="333"/>
        <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f t="shared" si="326"/>
        <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f t="shared" si="333"/>
        <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f t="shared" si="326"/>
        <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f t="shared" si="333"/>
        <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f t="shared" si="326"/>
        <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f t="shared" si="333"/>
        <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f t="shared" si="326"/>
        <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f t="shared" si="333"/>
        <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f t="shared" si="326"/>
        <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f t="shared" si="333"/>
        <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f t="shared" si="326"/>
        <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f t="shared" si="333"/>
        <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f t="shared" si="326"/>
        <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f t="shared" si="333"/>
        <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f t="shared" si="326"/>
        <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f t="shared" si="333"/>
        <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f t="shared" si="326"/>
        <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f t="shared" si="333"/>
        <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f t="shared" si="326"/>
        <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f t="shared" si="333"/>
        <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f t="shared" si="326"/>
        <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f t="shared" si="333"/>
        <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f t="shared" si="326"/>
        <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f t="shared" si="333"/>
        <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f t="shared" si="326"/>
        <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f t="shared" si="333"/>
        <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f t="shared" si="326"/>
        <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f t="shared" si="333"/>
        <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f t="shared" si="326"/>
        <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f t="shared" si="333"/>
        <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f t="shared" si="326"/>
        <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f t="shared" si="333"/>
        <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f t="shared" si="326"/>
        <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f t="shared" si="333"/>
        <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f t="shared" si="326"/>
        <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f t="shared" si="333"/>
        <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f t="shared" si="326"/>
        <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f t="shared" si="333"/>
        <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f t="shared" si="326"/>
        <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f t="shared" si="333"/>
        <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f t="shared" si="326"/>
        <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f>ROUND($AY$6*AZ585/$AZ$5,2)</f>
        <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f t="shared" si="326"/>
        <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f>ROUND($AY$6*AZ586/$AZ$5,2)</f>
        <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f t="shared" si="326"/>
        <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f>ROUND($AY$6*AZ587/$AZ$5,2)</f>
        <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G20" sqref="G20"/>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f>'数据-基础表'!AY6</f>
        <v>0</v>
      </c>
      <c r="E3" s="711">
        <f>'数据-基础表'!AZ5</f>
        <v>409.22</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f>ROUND($D$3*E5/$E$3,2)</f>
        <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f>ROUND($D$3*E6/$E$3,2)</f>
        <v>0</v>
      </c>
      <c r="E6" s="720">
        <f>E3-E5</f>
        <v>409.22</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f t="shared" ref="D8:D15" si="0">ROUND($D$3*E8/$E$3,2)</f>
        <v>0</v>
      </c>
      <c r="E8" s="720">
        <f>SUMIF('数据-基础表'!BB10:BK10,"地上",'数据-基础表'!BB5:BK5)</f>
        <v>204.61</v>
      </c>
      <c r="F8" s="707"/>
      <c r="G8" s="730"/>
      <c r="H8" s="730"/>
      <c r="I8" s="707"/>
      <c r="J8" s="707"/>
      <c r="K8" s="707"/>
      <c r="L8" s="707"/>
      <c r="M8" s="707"/>
      <c r="N8" s="707"/>
      <c r="O8" s="707"/>
      <c r="P8" s="707"/>
    </row>
    <row r="9" spans="1:16">
      <c r="A9" s="731"/>
      <c r="B9" s="732"/>
      <c r="C9" s="719" t="s">
        <v>1342</v>
      </c>
      <c r="D9" s="719">
        <f t="shared" si="0"/>
        <v>0</v>
      </c>
      <c r="E9" s="733">
        <v>0</v>
      </c>
      <c r="F9" s="707"/>
      <c r="G9" s="730"/>
      <c r="H9" s="730"/>
      <c r="I9" s="707"/>
      <c r="J9" s="707"/>
      <c r="K9" s="707"/>
      <c r="L9" s="707"/>
      <c r="M9" s="707"/>
      <c r="N9" s="707"/>
      <c r="O9" s="707"/>
      <c r="P9" s="707"/>
    </row>
    <row r="10" spans="1:16">
      <c r="A10" s="731"/>
      <c r="B10" s="732"/>
      <c r="C10" s="719" t="s">
        <v>1351</v>
      </c>
      <c r="D10" s="719">
        <f t="shared" si="0"/>
        <v>0</v>
      </c>
      <c r="E10" s="720">
        <f>SUMPRODUCT(('数据-基础表'!BB10:BK10="地下")*('数据-基础表'!BB11:BK11="商业")*('数据-基础表'!BB5:BK5))</f>
        <v>204.61</v>
      </c>
      <c r="F10" s="707"/>
      <c r="G10" s="730"/>
      <c r="H10" s="730"/>
      <c r="I10" s="707"/>
      <c r="J10" s="707"/>
      <c r="K10" s="707"/>
      <c r="L10" s="707"/>
      <c r="M10" s="707"/>
      <c r="N10" s="707"/>
      <c r="O10" s="707"/>
      <c r="P10" s="707"/>
    </row>
    <row r="11" spans="1:16">
      <c r="A11" s="731"/>
      <c r="B11" s="732"/>
      <c r="C11" s="719" t="s">
        <v>1343</v>
      </c>
      <c r="D11" s="719">
        <f t="shared" si="0"/>
        <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f t="shared" si="0"/>
        <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f t="shared" si="0"/>
        <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f t="shared" si="0"/>
        <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f t="shared" si="0"/>
        <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f>SUM(D8:D15)</f>
        <v>0</v>
      </c>
      <c r="E16" s="734">
        <f>SUM(E8:E15)</f>
        <v>409.22</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t="s">
        <v>3099</v>
      </c>
      <c r="D19" s="719">
        <f>ROUND($D$3*E19/$E$3,2)</f>
        <v>0</v>
      </c>
      <c r="E19" s="719">
        <f t="shared" ref="E19:E26" si="1">SUM(F19:G19)</f>
        <v>409.22</v>
      </c>
      <c r="F19" s="757">
        <f>'数据-基础表'!I13</f>
        <v>204.61</v>
      </c>
      <c r="G19" s="758">
        <f>'数据-基础表'!K13</f>
        <v>204.61</v>
      </c>
      <c r="H19" s="759">
        <f>ROUND($D$3*I19/$E$3,2)</f>
        <v>0</v>
      </c>
      <c r="I19" s="720">
        <f t="shared" ref="I19:I26" si="2">IF($I$17="自定义",P19,M19)</f>
        <v>0</v>
      </c>
      <c r="J19" s="703"/>
      <c r="K19" s="760">
        <f t="shared" ref="K19:K26" si="3">ROUND(E$28*E19/E$27,2)</f>
        <v>0</v>
      </c>
      <c r="L19" s="713">
        <f t="shared" ref="L19:L26" si="4">ROUND(IF(COUNTIF(C19,"*住宅*")&gt;0,E$29*E19/E$32,0),2)</f>
        <v>0</v>
      </c>
      <c r="M19" s="761">
        <f>K19+L19</f>
        <v>0</v>
      </c>
      <c r="N19" s="762"/>
      <c r="O19" s="763"/>
      <c r="P19" s="761">
        <f>N19+O19</f>
        <v>0</v>
      </c>
      <c r="R19" s="713">
        <f t="shared" ref="R19:S26" si="5">D19+H19</f>
        <v>0</v>
      </c>
      <c r="S19" s="713">
        <f t="shared" si="5"/>
        <v>409.22</v>
      </c>
    </row>
    <row r="20" spans="1:19">
      <c r="A20" s="764"/>
      <c r="B20" s="729" t="s">
        <v>1376</v>
      </c>
      <c r="C20" s="756"/>
      <c r="D20" s="719">
        <f t="shared" ref="D20:D26" si="6">ROUND($D$3*E20/$E$3,2)</f>
        <v>0</v>
      </c>
      <c r="E20" s="719">
        <f t="shared" si="1"/>
        <v>0</v>
      </c>
      <c r="F20" s="757"/>
      <c r="G20" s="758"/>
      <c r="H20" s="759">
        <f t="shared" ref="H20:H26" si="7">ROUND($D$3*I20/$E$3,2)</f>
        <v>0</v>
      </c>
      <c r="I20" s="720">
        <f t="shared" si="2"/>
        <v>0</v>
      </c>
      <c r="J20" s="703"/>
      <c r="K20" s="760">
        <f t="shared" si="3"/>
        <v>0</v>
      </c>
      <c r="L20" s="713">
        <f t="shared" si="4"/>
        <v>0</v>
      </c>
      <c r="M20" s="761">
        <f t="shared" ref="M20:M26" si="8">K20+L20</f>
        <v>0</v>
      </c>
      <c r="N20" s="762"/>
      <c r="O20" s="763"/>
      <c r="P20" s="761">
        <f t="shared" ref="P20:P26" si="9">N20+O20</f>
        <v>0</v>
      </c>
      <c r="R20" s="713">
        <f t="shared" si="5"/>
        <v>0</v>
      </c>
      <c r="S20" s="713">
        <f t="shared" si="5"/>
        <v>0</v>
      </c>
    </row>
    <row r="21" spans="1:19">
      <c r="A21" s="764"/>
      <c r="B21" s="729" t="s">
        <v>1376</v>
      </c>
      <c r="C21" s="756"/>
      <c r="D21" s="719">
        <f t="shared" si="6"/>
        <v>0</v>
      </c>
      <c r="E21" s="719">
        <f t="shared" si="1"/>
        <v>0</v>
      </c>
      <c r="F21" s="757"/>
      <c r="G21" s="758"/>
      <c r="H21" s="759">
        <f t="shared" si="7"/>
        <v>0</v>
      </c>
      <c r="I21" s="720">
        <f t="shared" si="2"/>
        <v>0</v>
      </c>
      <c r="J21" s="703"/>
      <c r="K21" s="760">
        <f t="shared" si="3"/>
        <v>0</v>
      </c>
      <c r="L21" s="713">
        <f t="shared" si="4"/>
        <v>0</v>
      </c>
      <c r="M21" s="761">
        <f t="shared" si="8"/>
        <v>0</v>
      </c>
      <c r="N21" s="762"/>
      <c r="O21" s="763"/>
      <c r="P21" s="761">
        <f t="shared" si="9"/>
        <v>0</v>
      </c>
      <c r="R21" s="713">
        <f t="shared" si="5"/>
        <v>0</v>
      </c>
      <c r="S21" s="713">
        <f t="shared" si="5"/>
        <v>0</v>
      </c>
    </row>
    <row r="22" spans="1:19">
      <c r="A22" s="764"/>
      <c r="B22" s="729" t="s">
        <v>1376</v>
      </c>
      <c r="C22" s="765"/>
      <c r="D22" s="719">
        <f t="shared" si="6"/>
        <v>0</v>
      </c>
      <c r="E22" s="719">
        <f t="shared" si="1"/>
        <v>0</v>
      </c>
      <c r="F22" s="766"/>
      <c r="G22" s="767"/>
      <c r="H22" s="759">
        <f t="shared" si="7"/>
        <v>0</v>
      </c>
      <c r="I22" s="720">
        <f t="shared" si="2"/>
        <v>0</v>
      </c>
      <c r="J22" s="703"/>
      <c r="K22" s="760">
        <f t="shared" si="3"/>
        <v>0</v>
      </c>
      <c r="L22" s="713">
        <f t="shared" si="4"/>
        <v>0</v>
      </c>
      <c r="M22" s="761">
        <f t="shared" si="8"/>
        <v>0</v>
      </c>
      <c r="N22" s="762"/>
      <c r="O22" s="763"/>
      <c r="P22" s="761">
        <f t="shared" si="9"/>
        <v>0</v>
      </c>
      <c r="R22" s="713">
        <f t="shared" si="5"/>
        <v>0</v>
      </c>
      <c r="S22" s="713">
        <f t="shared" si="5"/>
        <v>0</v>
      </c>
    </row>
    <row r="23" spans="1:19">
      <c r="A23" s="764"/>
      <c r="B23" s="729" t="s">
        <v>1376</v>
      </c>
      <c r="C23" s="765"/>
      <c r="D23" s="719">
        <f>ROUND($D$3*E23/$E$3,2)</f>
        <v>0</v>
      </c>
      <c r="E23" s="719">
        <f>SUM(F23:G23)</f>
        <v>0</v>
      </c>
      <c r="F23" s="766"/>
      <c r="G23" s="767"/>
      <c r="H23" s="759">
        <f>ROUND($D$3*I23/$E$3,2)</f>
        <v>0</v>
      </c>
      <c r="I23" s="720">
        <f t="shared" si="2"/>
        <v>0</v>
      </c>
      <c r="J23" s="703"/>
      <c r="K23" s="760">
        <f t="shared" si="3"/>
        <v>0</v>
      </c>
      <c r="L23" s="713">
        <f t="shared" si="4"/>
        <v>0</v>
      </c>
      <c r="M23" s="761">
        <f t="shared" si="8"/>
        <v>0</v>
      </c>
      <c r="N23" s="762"/>
      <c r="O23" s="763"/>
      <c r="P23" s="761">
        <f t="shared" si="9"/>
        <v>0</v>
      </c>
      <c r="R23" s="713">
        <f t="shared" si="5"/>
        <v>0</v>
      </c>
      <c r="S23" s="713">
        <f t="shared" si="5"/>
        <v>0</v>
      </c>
    </row>
    <row r="24" spans="1:19">
      <c r="A24" s="764"/>
      <c r="B24" s="729" t="s">
        <v>1376</v>
      </c>
      <c r="C24" s="765"/>
      <c r="D24" s="719">
        <f>ROUND($D$3*E24/$E$3,2)</f>
        <v>0</v>
      </c>
      <c r="E24" s="719">
        <f>SUM(F24:G24)</f>
        <v>0</v>
      </c>
      <c r="F24" s="766"/>
      <c r="G24" s="767"/>
      <c r="H24" s="759">
        <f>ROUND($D$3*I24/$E$3,2)</f>
        <v>0</v>
      </c>
      <c r="I24" s="720">
        <f t="shared" si="2"/>
        <v>0</v>
      </c>
      <c r="J24" s="703"/>
      <c r="K24" s="760">
        <f t="shared" si="3"/>
        <v>0</v>
      </c>
      <c r="L24" s="713">
        <f t="shared" si="4"/>
        <v>0</v>
      </c>
      <c r="M24" s="761">
        <f t="shared" si="8"/>
        <v>0</v>
      </c>
      <c r="N24" s="762"/>
      <c r="O24" s="763"/>
      <c r="P24" s="761">
        <f t="shared" si="9"/>
        <v>0</v>
      </c>
      <c r="R24" s="713">
        <f t="shared" si="5"/>
        <v>0</v>
      </c>
      <c r="S24" s="713">
        <f t="shared" si="5"/>
        <v>0</v>
      </c>
    </row>
    <row r="25" spans="1:19">
      <c r="A25" s="764"/>
      <c r="B25" s="729" t="s">
        <v>1376</v>
      </c>
      <c r="C25" s="765"/>
      <c r="D25" s="719">
        <f t="shared" si="6"/>
        <v>0</v>
      </c>
      <c r="E25" s="719">
        <f t="shared" si="1"/>
        <v>0</v>
      </c>
      <c r="F25" s="766"/>
      <c r="G25" s="767"/>
      <c r="H25" s="718">
        <f t="shared" si="7"/>
        <v>0</v>
      </c>
      <c r="I25" s="720">
        <f t="shared" si="2"/>
        <v>0</v>
      </c>
      <c r="J25" s="703"/>
      <c r="K25" s="760">
        <f t="shared" si="3"/>
        <v>0</v>
      </c>
      <c r="L25" s="713">
        <f t="shared" si="4"/>
        <v>0</v>
      </c>
      <c r="M25" s="761">
        <f t="shared" si="8"/>
        <v>0</v>
      </c>
      <c r="N25" s="762"/>
      <c r="O25" s="763"/>
      <c r="P25" s="761">
        <f t="shared" si="9"/>
        <v>0</v>
      </c>
      <c r="R25" s="713">
        <f t="shared" si="5"/>
        <v>0</v>
      </c>
      <c r="S25" s="713">
        <f t="shared" si="5"/>
        <v>0</v>
      </c>
    </row>
    <row r="26" spans="1:19">
      <c r="A26" s="764"/>
      <c r="B26" s="729" t="s">
        <v>1376</v>
      </c>
      <c r="C26" s="768"/>
      <c r="D26" s="719">
        <f t="shared" si="6"/>
        <v>0</v>
      </c>
      <c r="E26" s="719">
        <f t="shared" si="1"/>
        <v>0</v>
      </c>
      <c r="F26" s="766"/>
      <c r="G26" s="767"/>
      <c r="H26" s="718">
        <f t="shared" si="7"/>
        <v>0</v>
      </c>
      <c r="I26" s="720">
        <f t="shared" si="2"/>
        <v>0</v>
      </c>
      <c r="J26" s="703"/>
      <c r="K26" s="712">
        <f t="shared" si="3"/>
        <v>0</v>
      </c>
      <c r="L26" s="723">
        <f t="shared" si="4"/>
        <v>0</v>
      </c>
      <c r="M26" s="769">
        <f t="shared" si="8"/>
        <v>0</v>
      </c>
      <c r="N26" s="770"/>
      <c r="O26" s="771"/>
      <c r="P26" s="769">
        <f t="shared" si="9"/>
        <v>0</v>
      </c>
      <c r="R26" s="713">
        <f t="shared" si="5"/>
        <v>0</v>
      </c>
      <c r="S26" s="713">
        <f t="shared" si="5"/>
        <v>0</v>
      </c>
    </row>
    <row r="27" spans="1:19" ht="15.75" thickBot="1">
      <c r="A27" s="764"/>
      <c r="B27" s="719"/>
      <c r="C27" s="772" t="s">
        <v>1377</v>
      </c>
      <c r="D27" s="773">
        <f>SUM(D19:D26)</f>
        <v>0</v>
      </c>
      <c r="E27" s="705">
        <f>IF(SUM(E19:E26)='数据-基础表'!BA5,SUM(E19:E26),IF(F27="地上面积有误","面积有误","地下面积有误"))</f>
        <v>409.22</v>
      </c>
      <c r="F27" s="773">
        <f>IF(SUM(F19:F26)=E8,SUM(F19:F26),"地上面积有误")</f>
        <v>204.61</v>
      </c>
      <c r="G27" s="774">
        <f>SUM(G19:G26)</f>
        <v>204.61</v>
      </c>
      <c r="H27" s="775">
        <f>SUM(H19:H26)</f>
        <v>0</v>
      </c>
      <c r="I27" s="776">
        <f>SUM(I19:I26)</f>
        <v>0</v>
      </c>
      <c r="J27" s="703"/>
      <c r="K27" s="777">
        <f>SUM(K19:K26)</f>
        <v>0</v>
      </c>
      <c r="L27" s="778">
        <f>SUM(L19:L26)</f>
        <v>0</v>
      </c>
      <c r="M27" s="779">
        <f>SUM(M19:M26)</f>
        <v>0</v>
      </c>
      <c r="N27" s="777">
        <f t="shared" ref="N27:O27" si="10">SUM(N19:N26)</f>
        <v>0</v>
      </c>
      <c r="O27" s="778">
        <f t="shared" si="10"/>
        <v>0</v>
      </c>
      <c r="P27" s="780">
        <f>SUM(P19:P26)</f>
        <v>0</v>
      </c>
      <c r="R27" s="781">
        <f>IF(SUM(R19:R26)=$D$3,SUM(R19:R26),SUM(R19:R26)&amp;"误差"&amp;ROUND(SUM(R19:R26)-$D$3,2))</f>
        <v>0</v>
      </c>
      <c r="S27" s="713">
        <f>IF(SUM(S19:S26)=$E$3,SUM(S19:S26),SUM(S19:S26)&amp;"误差"&amp;ROUND(SUM(S19:S26)-E3,2))</f>
        <v>409.22</v>
      </c>
    </row>
    <row r="28" spans="1:19">
      <c r="A28" s="764"/>
      <c r="B28" s="729" t="s">
        <v>1378</v>
      </c>
      <c r="C28" s="782" t="s">
        <v>1379</v>
      </c>
      <c r="D28" s="719">
        <f>ROUND($D$3*E28/$E$3,2)</f>
        <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f>ROUND($D$3*E29/$E$3,2)</f>
        <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f>SUM(D28:D29)</f>
        <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f>D27+D30</f>
        <v>0</v>
      </c>
      <c r="E31" s="790">
        <f>E27+E30</f>
        <v>409.22</v>
      </c>
      <c r="F31" s="789">
        <f>F27+F30</f>
        <v>204.61</v>
      </c>
      <c r="G31" s="791">
        <f>G27+G30</f>
        <v>204.61</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t="str">
        <f>'数据-汇总表'!C19</f>
        <v>配套公建</v>
      </c>
      <c r="B6" s="319" t="str">
        <f>IF(A6=0,"","经营性")</f>
        <v>经营性</v>
      </c>
      <c r="C6" s="320" t="s">
        <v>886</v>
      </c>
      <c r="D6" s="130">
        <f>SUMIF(项目基本情况!D$12:I$12,C6,项目基本情况!D$14:I$14)</f>
        <v>40</v>
      </c>
      <c r="E6" s="129">
        <f>IF(B6="","",SUMIF(项目基本情况!D$12:I$12,C6,项目基本情况!D$13:I$13))</f>
        <v>52880</v>
      </c>
      <c r="F6" s="42">
        <f>SUMIF(项目基本情况!D$12:I$12,C6,项目基本情况!D$15:I$15)</f>
        <v>22</v>
      </c>
      <c r="G6" s="43">
        <f>IF(ISERROR(ROUND(POWER(1+H6,D6-F6)*(POWER(1+H6,F6)-1)/(POWER(1+H6,D6)-1),3)),0,ROUND(POWER(1+H6,D6-F6)*(POWER(1+H6,F6)-1)/(POWER(1+H6,D6)-1),3))</f>
        <v>0</v>
      </c>
      <c r="H6" s="112"/>
      <c r="I6" s="112"/>
      <c r="J6" s="44"/>
      <c r="K6" s="133">
        <f>SUMIF('数据-汇总表'!C$19:C$33,A6,'数据-汇总表'!E$19:E$33)</f>
        <v>409.22</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409.22</v>
      </c>
      <c r="L16" s="72">
        <f>ROUND(M16*10000/SUM(K6:K14),0)</f>
        <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409.22</v>
      </c>
      <c r="C1" s="795"/>
      <c r="D1" s="795"/>
      <c r="E1" s="795"/>
      <c r="F1" s="795"/>
      <c r="G1" s="796"/>
      <c r="H1" s="797"/>
      <c r="I1" s="797"/>
      <c r="J1" s="797"/>
      <c r="K1" s="797"/>
    </row>
    <row r="2" spans="1:11" ht="16.5">
      <c r="A2" s="794" t="s">
        <v>866</v>
      </c>
      <c r="B2" s="794">
        <f>SUM(C14:C23)</f>
        <v>0</v>
      </c>
      <c r="C2" s="795"/>
      <c r="D2" s="795"/>
      <c r="E2" s="795"/>
      <c r="F2" s="795"/>
      <c r="G2" s="796"/>
      <c r="H2" s="797"/>
      <c r="I2" s="797"/>
      <c r="J2" s="797"/>
      <c r="K2" s="797"/>
    </row>
    <row r="3" spans="1:11" ht="16.5">
      <c r="A3" s="794" t="s">
        <v>875</v>
      </c>
      <c r="B3" s="353">
        <f>项目基本情况!D3</f>
        <v>44848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f ca="1">SUM(G14:G23)</f>
        <v>0</v>
      </c>
      <c r="C6" s="794" t="e">
        <f ca="1">ROUND(B6*10000/$B$1,0)</f>
        <v>#DIV/0!</v>
      </c>
      <c r="D6" s="794" t="e">
        <f ca="1">ROUND(B6*10000/$B$2,0)</f>
        <v>#DIV/0!</v>
      </c>
      <c r="E6" s="795"/>
      <c r="F6" s="796"/>
      <c r="G6" s="796"/>
      <c r="H6" s="797"/>
      <c r="I6" s="797"/>
      <c r="J6" s="797"/>
      <c r="K6" s="797"/>
    </row>
    <row r="7" spans="1:11" ht="16.5">
      <c r="A7" s="794" t="s">
        <v>877</v>
      </c>
      <c r="B7" s="794">
        <f>SUM(H14:H23)</f>
        <v>0</v>
      </c>
      <c r="C7" s="794">
        <f>ROUND(B7*10000/$B$1,0)</f>
        <v>0</v>
      </c>
      <c r="D7" s="794" t="e">
        <f>ROUND(B7*10000/$B$2,0)</f>
        <v>#DIV/0!</v>
      </c>
      <c r="E7" s="795"/>
      <c r="F7" s="796"/>
      <c r="G7" s="796"/>
      <c r="H7" s="797"/>
      <c r="I7" s="797"/>
      <c r="J7" s="797"/>
      <c r="K7" s="797"/>
    </row>
    <row r="8" spans="1:11" ht="16.5">
      <c r="A8" s="794" t="s">
        <v>800</v>
      </c>
      <c r="B8" s="794">
        <f>SUM(I14:I23)</f>
        <v>0</v>
      </c>
      <c r="C8" s="794">
        <f>ROUND(B8*10000/$B$1,0)</f>
        <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409.22</v>
      </c>
      <c r="C14" s="803">
        <f>结果表!C118</f>
        <v>0</v>
      </c>
      <c r="D14" s="803" t="e">
        <f ca="1">结果表!H118</f>
        <v>#REF!</v>
      </c>
      <c r="E14" s="803" t="e">
        <f ca="1">ROUND(D14*10000/B14,0)</f>
        <v>#REF!</v>
      </c>
      <c r="F14" s="803" t="e">
        <f ca="1">ROUND(D14*10000/C14,0)</f>
        <v>#REF!</v>
      </c>
      <c r="G14" s="803" t="str">
        <f ca="1">结果表!D122</f>
        <v>——</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北京市朝阳区东柏街10号院5号楼-1至1层101房地产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409.22</v>
      </c>
      <c r="M18" s="879">
        <f>IF(C1="",'数据-汇总表'!E3,SUMIF(项目类型,C1,'数据-汇总表'!E17:E26))</f>
        <v>409.22</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f>IF(C1="",'数据-汇总表'!D3,SUMIF(项目类型,C1,'数据-汇总表'!D17:D26)+SUMIF(项目类型,C1,'数据-汇总表'!H17:H27))</f>
        <v>0</v>
      </c>
      <c r="M19" s="879">
        <f>IF(C1="",'数据-汇总表'!D3,SUMIF(项目类型,C1,'数据-汇总表'!D17:D26))</f>
        <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44848</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房地产抵押价值</v>
      </c>
      <c r="L49" s="3138"/>
      <c r="M49" s="3159" t="str">
        <f ca="1">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str">
        <f ca="1">IF(E107="——","——",H101-H103)</f>
        <v>——</v>
      </c>
      <c r="I107" s="677"/>
    </row>
    <row r="108" spans="1:35" ht="18.75" customHeight="1">
      <c r="A108" s="677"/>
      <c r="B108" s="677"/>
      <c r="C108" s="677"/>
      <c r="D108" s="677"/>
      <c r="E108" s="3118"/>
      <c r="F108" s="3119"/>
      <c r="G108" s="1090" t="s">
        <v>1658</v>
      </c>
      <c r="H108" s="974" t="e">
        <f ca="1">ROUND(H107*10000/'数据-汇总表'!E3,0)</f>
        <v>#VALUE!</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北京市朝阳区东柏街10号院5号楼-1至1层101房地产</v>
      </c>
      <c r="B118" s="1108">
        <f>M18</f>
        <v>409.22</v>
      </c>
      <c r="C118" s="1108">
        <f>M19</f>
        <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str">
        <f ca="1">H107</f>
        <v>——</v>
      </c>
      <c r="E122" s="3153"/>
      <c r="F122" s="3153"/>
      <c r="G122" s="3153"/>
      <c r="H122" s="3153"/>
      <c r="I122" s="3154"/>
      <c r="AA122" s="590"/>
    </row>
    <row r="123" spans="1:27" ht="18.75" customHeight="1">
      <c r="A123" s="3090" t="s">
        <v>1676</v>
      </c>
      <c r="B123" s="3090"/>
      <c r="C123" s="3090"/>
      <c r="D123" s="3128" t="e">
        <f ca="1">NUMBERSTRING(INT(D122*10000),2)&amp;"元整"</f>
        <v>#VALUE!</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7</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409.22</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409.22</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409.22</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7</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409.22</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409.22</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409.22</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北京市朝阳区东柏街10号院5号楼-1至1层101房地产抵押价值预评估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7</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409.22</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409.22</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409.22</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7</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7</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409.22</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409.22</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409.22</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44848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409.22</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受贵公司委托，我公司对北京市朝阳区东柏街10号院5号楼-1至1层101房地产抵押价值进行了预评估。</v>
      </c>
    </row>
    <row r="5" spans="1:1" ht="18.75">
      <c r="A5" s="179" t="s">
        <v>1116</v>
      </c>
    </row>
    <row r="6" spans="1:1" ht="18.75">
      <c r="A6" s="180" t="s">
        <v>1117</v>
      </c>
    </row>
    <row r="7" spans="1:1" ht="18">
      <c r="A7" s="1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估价对象为北京市朝阳区东柏街10号院5号楼-1至1层101房地产，为所有。根据《国有土地使用证》[]，估价对象（分摊）出让国有建设用地使用权面积为0平方米，建筑面积为409.22平方米。</v>
      </c>
    </row>
    <row r="8" spans="1:1" ht="57.75">
      <c r="A8" s="181" t="s">
        <v>1118</v>
      </c>
    </row>
    <row r="9" spans="1:1" ht="18.75">
      <c r="A9" s="180" t="s">
        <v>1119</v>
      </c>
    </row>
    <row r="10" spans="1:1" ht="18">
      <c r="A10" s="1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柏街10号院5号楼-1至1层101房地产,属开发建设的，该项目尚在开发建设中。根据《国有土地使用证》[]，估价对象（分摊）出让国有建设用地使用权面积为0平方米，规划建筑面积为409.22平方米。</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朝阳区东柏街10号院5号楼-1至1层101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2022年10月14日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44848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204.61</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58"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58"/>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58"/>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204.61</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44848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204.61</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58"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58"/>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58"/>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f>IF(B41="楼面地价",SUM(E51:E60),'数据-汇总表'!D3)</f>
        <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D38" sqref="D38"/>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409.22</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327</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Ⅱ—11</v>
      </c>
      <c r="J2" s="2258"/>
      <c r="L2" s="2268" t="s">
        <v>2176</v>
      </c>
      <c r="M2" s="475">
        <f>SUMPRODUCT((区片价!B10:B29=I2)*(区片价!C3:G3=E2)*(区片价!C10:G29))</f>
        <v>27050</v>
      </c>
      <c r="N2" s="473">
        <f>SUMPRODUCT((因素修正幅度!B10:B29=I2)*(因素修正幅度!C3:G3=E2)*(因素修正幅度!C10:G29))</f>
        <v>0.1</v>
      </c>
      <c r="O2" s="2259"/>
      <c r="P2" s="2259"/>
      <c r="Q2" s="2259"/>
      <c r="R2" s="477">
        <v>1</v>
      </c>
      <c r="S2" s="477">
        <f>ROUND(SUMPRODUCT((B107:B111=R2)*(C106:N106=G2)*(C107:N111)),4)</f>
        <v>1.5206</v>
      </c>
      <c r="T2" s="477">
        <f t="shared" ref="T2:T16" si="0">ROUND($C$5*$C$22*$C$23*$C$24*S2*$C$28,0)</f>
        <v>34667</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7991</v>
      </c>
      <c r="C3" s="2266" t="s">
        <v>2178</v>
      </c>
      <c r="D3" s="473" t="s">
        <v>2179</v>
      </c>
      <c r="E3" s="2267" t="s">
        <v>2823</v>
      </c>
      <c r="F3" s="2270" t="s">
        <v>3101</v>
      </c>
      <c r="G3" s="2271">
        <v>3.5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27522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23781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27050</v>
      </c>
      <c r="D5" s="2274">
        <f>ROUND(C6*C17+C20,0)</f>
        <v>27050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21520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27050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20510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3.5</v>
      </c>
      <c r="AA7" s="2262"/>
      <c r="AB7" s="2262"/>
      <c r="AC7" s="2262"/>
      <c r="AD7" s="2263"/>
      <c r="AE7" s="2263"/>
      <c r="AF7" s="2263"/>
      <c r="AG7" s="2263"/>
      <c r="AH7" s="2263"/>
      <c r="AI7" s="2263"/>
      <c r="AJ7" s="2264"/>
    </row>
    <row r="8" spans="1:36" ht="25.5">
      <c r="A8" s="2294"/>
      <c r="B8" s="473" t="s">
        <v>2195</v>
      </c>
      <c r="C8" s="2267" t="s">
        <v>3102</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3108</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44848</v>
      </c>
      <c r="H23" s="2361" t="s">
        <v>3103</v>
      </c>
      <c r="I23" s="2360" t="str">
        <f>IF(H23="季度增幅（自定义）",SUMIF(N25:N28,E2,O25:O28),"")</f>
        <v/>
      </c>
      <c r="J23" s="2982" t="s">
        <v>3104</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0.78420000000000001</v>
      </c>
      <c r="D24" s="2365" t="s">
        <v>2246</v>
      </c>
      <c r="E24" s="2365">
        <f>存贷款利率!E20/100</f>
        <v>4.3499999999999997E-2</v>
      </c>
      <c r="F24" s="2365" t="s">
        <v>2238</v>
      </c>
      <c r="G24" s="2366">
        <f>SUMIF(M30:Q30,E2,M33:Q33)</f>
        <v>5.5E-2</v>
      </c>
      <c r="H24" s="2365" t="s">
        <v>2247</v>
      </c>
      <c r="I24" s="2367">
        <v>22</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3105</v>
      </c>
      <c r="C25" s="491">
        <f>IF(B25="容积率修正",IF(G3&lt;10,D26,J26),C27)</f>
        <v>1.5206</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3.5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3.5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1.5206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1.054</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327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82</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34667</v>
      </c>
      <c r="D33" s="2420">
        <f>'数据-基础表'!I13</f>
        <v>204.61</v>
      </c>
      <c r="E33" s="2421">
        <f>ROUND(C33*D33/10000,0)</f>
        <v>709</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15959</v>
      </c>
      <c r="D37" s="2420">
        <f>'数据-基础表'!K13</f>
        <v>204.61</v>
      </c>
      <c r="E37" s="473">
        <f>ROUND(C37*D37/10000,0)</f>
        <v>327</v>
      </c>
      <c r="F37" s="473">
        <f>SUMIF(修正!A57:A68,G2,修正!B57:B68)</f>
        <v>0.7</v>
      </c>
      <c r="G37" s="473">
        <f>ROUND(IF(E2="工业",C37*$M$42,C37*$M$41),0)</f>
        <v>3990</v>
      </c>
      <c r="H37" s="473">
        <f>D37</f>
        <v>204.61</v>
      </c>
      <c r="I37" s="473">
        <f>ROUND(G37*H37/10000,0)</f>
        <v>82</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9119</v>
      </c>
      <c r="D38" s="2420"/>
      <c r="E38" s="473">
        <f t="shared" ref="E38:E42" si="4">ROUND(C38*D38/10000,0)</f>
        <v>0</v>
      </c>
      <c r="F38" s="473">
        <f>SUMIF(修正!A57:A68,G2,修正!C57:C68)</f>
        <v>0.4</v>
      </c>
      <c r="G38" s="473">
        <f>ROUND(IF(E2="工业",C38*$M$42,C38*$M$41),0)</f>
        <v>2280</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6840</v>
      </c>
      <c r="D39" s="2420"/>
      <c r="E39" s="473">
        <f t="shared" si="4"/>
        <v>0</v>
      </c>
      <c r="F39" s="473">
        <f>SUMIF(修正!A57:A68,G2,修正!D57:D68)</f>
        <v>0.3</v>
      </c>
      <c r="G39" s="473">
        <f>ROUND(IF(E2="工业",C39*$M$42,C39*$M$41),0)</f>
        <v>1710</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6840</v>
      </c>
      <c r="D40" s="2420"/>
      <c r="E40" s="473">
        <f t="shared" si="4"/>
        <v>0</v>
      </c>
      <c r="F40" s="495">
        <f>SUMIF(修正!A57:A68,G2,修正!E57:E68)</f>
        <v>0.3</v>
      </c>
      <c r="G40" s="473">
        <f>ROUND(IF(E2="工业",C40*$M$42,C40*$M$41),0)</f>
        <v>1710</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1.054</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3106</v>
      </c>
      <c r="D51" s="499">
        <f t="shared" ref="D51:D59" si="7">SUMIF($J$50:$N$50,C51,J51:N51)</f>
        <v>1.4999999999999999E-2</v>
      </c>
      <c r="E51" s="2458">
        <f>ROUND(SUM(D51:D59),4)</f>
        <v>5.3999999999999999E-2</v>
      </c>
      <c r="F51" s="2329">
        <f>IF(E2="商业",SUMIF(L1:L12,G2,N1:N12),"——")</f>
        <v>0.1</v>
      </c>
      <c r="G51" s="3318">
        <v>1.4999999999999999E-2</v>
      </c>
      <c r="H51" s="3317">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3106</v>
      </c>
      <c r="D52" s="499">
        <f t="shared" si="7"/>
        <v>1.0999999999999999E-2</v>
      </c>
      <c r="E52" s="2461"/>
      <c r="F52" s="2402"/>
      <c r="G52" s="3318">
        <v>1.0999999999999999E-2</v>
      </c>
      <c r="H52" s="3317">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3106</v>
      </c>
      <c r="D53" s="499">
        <f t="shared" si="7"/>
        <v>6.0000000000000001E-3</v>
      </c>
      <c r="E53" s="2461"/>
      <c r="F53" s="2402"/>
      <c r="G53" s="3318">
        <v>6.0000000000000001E-3</v>
      </c>
      <c r="H53" s="3317">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3106</v>
      </c>
      <c r="D54" s="499">
        <f t="shared" si="7"/>
        <v>2.5000000000000001E-3</v>
      </c>
      <c r="E54" s="2461"/>
      <c r="F54" s="2402"/>
      <c r="G54" s="3318">
        <v>2.5000000000000001E-3</v>
      </c>
      <c r="H54" s="3317">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3106</v>
      </c>
      <c r="D55" s="499">
        <f t="shared" si="7"/>
        <v>4.0000000000000001E-3</v>
      </c>
      <c r="E55" s="2461"/>
      <c r="F55" s="2402"/>
      <c r="G55" s="3318">
        <v>4.0000000000000001E-3</v>
      </c>
      <c r="H55" s="3317">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3106</v>
      </c>
      <c r="D56" s="499">
        <f t="shared" si="7"/>
        <v>2.5000000000000001E-3</v>
      </c>
      <c r="E56" s="2461"/>
      <c r="F56" s="2402"/>
      <c r="G56" s="3318">
        <v>2.5000000000000001E-3</v>
      </c>
      <c r="H56" s="3317">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3106</v>
      </c>
      <c r="D57" s="499">
        <f t="shared" si="7"/>
        <v>2.5000000000000001E-3</v>
      </c>
      <c r="E57" s="2461"/>
      <c r="F57" s="2402"/>
      <c r="G57" s="3318">
        <v>2.5000000000000001E-3</v>
      </c>
      <c r="H57" s="3317">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3107</v>
      </c>
      <c r="D58" s="499">
        <f t="shared" si="7"/>
        <v>8.0000000000000002E-3</v>
      </c>
      <c r="E58" s="2461"/>
      <c r="F58" s="2402"/>
      <c r="G58" s="3318">
        <v>4.0000000000000001E-3</v>
      </c>
      <c r="H58" s="3317">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3106</v>
      </c>
      <c r="D59" s="499">
        <f t="shared" si="7"/>
        <v>2.5000000000000001E-3</v>
      </c>
      <c r="E59" s="487"/>
      <c r="F59" s="2402"/>
      <c r="G59" s="3318">
        <v>2.5000000000000001E-3</v>
      </c>
      <c r="H59" s="3317">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79"/>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3.5</v>
      </c>
      <c r="C117" s="2365" t="s">
        <v>2318</v>
      </c>
      <c r="D117" s="500">
        <f>SUMPRODUCT((A119:A123=F117)*(B118:M118=H117)*B119:M123)</f>
        <v>0.95830000000000004</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0.95830000000000004</v>
      </c>
      <c r="C119" s="502">
        <f>B119</f>
        <v>0.95830000000000004</v>
      </c>
      <c r="D119" s="502">
        <f>ROUND(0.949-0.014*B117,4)</f>
        <v>0.9</v>
      </c>
      <c r="E119" s="502">
        <f>D119</f>
        <v>0.9</v>
      </c>
      <c r="F119" s="502">
        <f>E119</f>
        <v>0.9</v>
      </c>
      <c r="G119" s="502">
        <f>F119</f>
        <v>0.9</v>
      </c>
      <c r="H119" s="502">
        <f>G119</f>
        <v>0.9</v>
      </c>
      <c r="I119" s="502">
        <f>ROUND(0.8486-0.018*B117,4)</f>
        <v>0.78559999999999997</v>
      </c>
      <c r="J119" s="502">
        <f t="shared" ref="J119:M122" si="36">I119</f>
        <v>0.78559999999999997</v>
      </c>
      <c r="K119" s="502">
        <f t="shared" si="36"/>
        <v>0.78559999999999997</v>
      </c>
      <c r="L119" s="502">
        <f t="shared" si="36"/>
        <v>0.78559999999999997</v>
      </c>
      <c r="M119" s="504">
        <f t="shared" si="36"/>
        <v>0.78559999999999997</v>
      </c>
    </row>
    <row r="120" spans="1:14">
      <c r="A120" s="2413" t="s">
        <v>2230</v>
      </c>
      <c r="B120" s="502">
        <f>ROUND(0.993-0.0112*B117,4)</f>
        <v>0.95379999999999998</v>
      </c>
      <c r="C120" s="502">
        <f>B120</f>
        <v>0.95379999999999998</v>
      </c>
      <c r="D120" s="502">
        <f>ROUND(0.9415-0.0142*B117,4)</f>
        <v>0.89180000000000004</v>
      </c>
      <c r="E120" s="502">
        <f t="shared" ref="E120:H121" si="37">D120</f>
        <v>0.89180000000000004</v>
      </c>
      <c r="F120" s="502">
        <f t="shared" si="37"/>
        <v>0.89180000000000004</v>
      </c>
      <c r="G120" s="502">
        <f t="shared" si="37"/>
        <v>0.89180000000000004</v>
      </c>
      <c r="H120" s="502">
        <f t="shared" si="37"/>
        <v>0.89180000000000004</v>
      </c>
      <c r="I120" s="502">
        <f>ROUND(0.838-0.0182*B117,4)</f>
        <v>0.77429999999999999</v>
      </c>
      <c r="J120" s="502">
        <f t="shared" si="36"/>
        <v>0.77429999999999999</v>
      </c>
      <c r="K120" s="502">
        <f t="shared" si="36"/>
        <v>0.77429999999999999</v>
      </c>
      <c r="L120" s="502">
        <f t="shared" si="36"/>
        <v>0.77429999999999999</v>
      </c>
      <c r="M120" s="504">
        <f t="shared" si="36"/>
        <v>0.77429999999999999</v>
      </c>
    </row>
    <row r="121" spans="1:14">
      <c r="A121" s="2413" t="s">
        <v>2231</v>
      </c>
      <c r="B121" s="502">
        <f>ROUND(0.9448-0.0115*B117,4)</f>
        <v>0.90459999999999996</v>
      </c>
      <c r="C121" s="502">
        <f>B121</f>
        <v>0.90459999999999996</v>
      </c>
      <c r="D121" s="502">
        <f>ROUND(0.937-0.0145*B117,4)</f>
        <v>0.88629999999999998</v>
      </c>
      <c r="E121" s="502">
        <f t="shared" si="37"/>
        <v>0.88629999999999998</v>
      </c>
      <c r="F121" s="502">
        <f t="shared" si="37"/>
        <v>0.88629999999999998</v>
      </c>
      <c r="G121" s="502">
        <f t="shared" si="37"/>
        <v>0.88629999999999998</v>
      </c>
      <c r="H121" s="502">
        <f t="shared" si="37"/>
        <v>0.88629999999999998</v>
      </c>
      <c r="I121" s="502">
        <f>ROUND(0.7965-0.0185*B117,4)</f>
        <v>0.73180000000000001</v>
      </c>
      <c r="J121" s="502">
        <f t="shared" si="36"/>
        <v>0.73180000000000001</v>
      </c>
      <c r="K121" s="502">
        <f t="shared" si="36"/>
        <v>0.73180000000000001</v>
      </c>
      <c r="L121" s="502">
        <f t="shared" si="36"/>
        <v>0.73180000000000001</v>
      </c>
      <c r="M121" s="504">
        <f t="shared" si="36"/>
        <v>0.73180000000000001</v>
      </c>
    </row>
    <row r="122" spans="1:14" ht="13.5" thickBot="1">
      <c r="A122" s="2417" t="s">
        <v>2232</v>
      </c>
      <c r="B122" s="503">
        <f>ROUND(0.7836-0.012*B117,4)</f>
        <v>0.74160000000000004</v>
      </c>
      <c r="C122" s="503">
        <f>B122</f>
        <v>0.74160000000000004</v>
      </c>
      <c r="D122" s="503">
        <f>ROUND(0.753-0.015*B117,4)</f>
        <v>0.70050000000000001</v>
      </c>
      <c r="E122" s="503">
        <f>D122</f>
        <v>0.70050000000000001</v>
      </c>
      <c r="F122" s="503">
        <f>E122</f>
        <v>0.70050000000000001</v>
      </c>
      <c r="G122" s="503">
        <f>ROUND(0.6612-0.018*B117,4)</f>
        <v>0.59819999999999995</v>
      </c>
      <c r="H122" s="503">
        <f>G122</f>
        <v>0.59819999999999995</v>
      </c>
      <c r="I122" s="503">
        <f>ROUND(0.5905-0.019*B117,4)</f>
        <v>0.52400000000000002</v>
      </c>
      <c r="J122" s="503">
        <f t="shared" si="36"/>
        <v>0.52400000000000002</v>
      </c>
      <c r="K122" s="503">
        <f t="shared" si="36"/>
        <v>0.52400000000000002</v>
      </c>
      <c r="L122" s="503">
        <f t="shared" si="36"/>
        <v>0.52400000000000002</v>
      </c>
      <c r="M122" s="505">
        <f t="shared" si="36"/>
        <v>0.52400000000000002</v>
      </c>
    </row>
    <row r="123" spans="1:14">
      <c r="A123" s="2492" t="s">
        <v>2901</v>
      </c>
      <c r="B123" s="502">
        <f>ROUND(0.9404-0.0106*B117,4)</f>
        <v>0.90329999999999999</v>
      </c>
      <c r="C123" s="502">
        <f>B123</f>
        <v>0.90329999999999999</v>
      </c>
      <c r="D123" s="502">
        <f>ROUND(0.8955-0.0135*B117,4)</f>
        <v>0.84830000000000005</v>
      </c>
      <c r="E123" s="502">
        <f t="shared" ref="E123" si="38">D123</f>
        <v>0.84830000000000005</v>
      </c>
      <c r="F123" s="502">
        <f t="shared" ref="F123" si="39">E123</f>
        <v>0.84830000000000005</v>
      </c>
      <c r="G123" s="502">
        <f t="shared" ref="G123" si="40">F123</f>
        <v>0.84830000000000005</v>
      </c>
      <c r="H123" s="502">
        <f t="shared" ref="H123" si="41">G123</f>
        <v>0.84830000000000005</v>
      </c>
      <c r="I123" s="502">
        <f>ROUND(0.7632-0.0166*B117,4)</f>
        <v>0.70509999999999995</v>
      </c>
      <c r="J123" s="502">
        <f t="shared" ref="J123" si="42">I123</f>
        <v>0.70509999999999995</v>
      </c>
      <c r="K123" s="502">
        <f t="shared" ref="K123" si="43">J123</f>
        <v>0.70509999999999995</v>
      </c>
      <c r="L123" s="502">
        <f t="shared" ref="L123" si="44">K123</f>
        <v>0.70509999999999995</v>
      </c>
      <c r="M123" s="504">
        <f t="shared" ref="M123" si="45">L123</f>
        <v>0.70509999999999995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0.94710000000000005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327</v>
      </c>
      <c r="C2" s="2543" t="s">
        <v>2332</v>
      </c>
      <c r="D2" s="2543" t="s">
        <v>2333</v>
      </c>
      <c r="E2" s="2544">
        <f ca="1">SUMIF(E6:E13,"&lt;&gt;#ref!",E6:E13)</f>
        <v>409.22</v>
      </c>
      <c r="F2" s="2542"/>
      <c r="G2" s="2542"/>
      <c r="H2" s="2542"/>
      <c r="I2" s="2542"/>
      <c r="J2" s="2542"/>
      <c r="K2" s="2542"/>
      <c r="L2" s="2542"/>
      <c r="M2" s="2542"/>
      <c r="N2" s="2542"/>
      <c r="O2" s="2542"/>
      <c r="P2" s="2542"/>
    </row>
    <row r="3" spans="1:16" ht="15.75">
      <c r="A3" s="2543" t="s">
        <v>2334</v>
      </c>
      <c r="B3" s="1704">
        <f ca="1">ROUND(B2*10000/E2,0)</f>
        <v>7991</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327</v>
      </c>
      <c r="C6" s="2543" t="s">
        <v>2332</v>
      </c>
      <c r="D6" s="2542"/>
      <c r="E6" s="2544">
        <f ca="1">SUMIF(INDIRECT("'"&amp;A6&amp;"'"&amp;"!C:C"),"建筑面积",INDIRECT("'"&amp;A6&amp;"'"&amp;"!D:D"))</f>
        <v>409.22</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409.22</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409.22</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409.22</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str">
        <f ca="1">结果表!H107</f>
        <v>——</v>
      </c>
      <c r="E13" s="2774"/>
    </row>
    <row r="14" spans="1:5" ht="15.75">
      <c r="A14" s="2774"/>
      <c r="B14" s="2992"/>
      <c r="C14" s="2777" t="s">
        <v>1128</v>
      </c>
      <c r="D14" s="2778" t="e">
        <f ca="1">NUMBERSTRING(INT(D13*10000),2)&amp;"元整"</f>
        <v>#VALUE!</v>
      </c>
      <c r="E14" s="2774"/>
    </row>
    <row r="15" spans="1:5" ht="15">
      <c r="A15" s="2774"/>
      <c r="B15" s="2997"/>
      <c r="C15" s="2779" t="s">
        <v>1138</v>
      </c>
      <c r="D15" s="2787" t="e">
        <f ca="1">结果表!H108</f>
        <v>#VALUE!</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44848</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44848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北京市朝阳区东柏街10号院5号楼-1至1层101房地产</v>
      </c>
      <c r="B4" s="2770">
        <f>项目基本情况!C17</f>
        <v>409.22</v>
      </c>
      <c r="C4" s="2770">
        <f>项目基本情况!C18</f>
        <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str">
        <f ca="1">结果表!D122</f>
        <v>——</v>
      </c>
      <c r="E8" s="3003"/>
      <c r="F8" s="3003"/>
      <c r="G8" s="3003"/>
      <c r="H8" s="3003"/>
      <c r="I8" s="3003"/>
    </row>
    <row r="9" spans="1:9" ht="15">
      <c r="A9" s="3004" t="s">
        <v>1144</v>
      </c>
      <c r="B9" s="3004"/>
      <c r="C9" s="3004"/>
      <c r="D9" s="3004" t="e">
        <f ca="1">结果表!D123</f>
        <v>#VALUE!</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44848</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2022-10-14T02:58:35Z</dcterms:modified>
</cp:coreProperties>
</file>