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381-P01、P02-武哥光大银行大兴磁各庄工业、科技大厦办公\P01DYGJ2\过程\"/>
    </mc:Choice>
  </mc:AlternateContent>
  <xr:revisionPtr revIDLastSave="0" documentId="13_ncr:1_{C85F8438-7911-463E-934E-3516A71F5F76}"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J117" i="9"/>
  <c r="H112" i="9"/>
  <c r="H111" i="9"/>
  <c r="E111" i="9"/>
  <c r="H110" i="9"/>
  <c r="C7" i="74" s="1"/>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U21" i="1"/>
  <c r="T20" i="1"/>
  <c r="T19" i="1"/>
  <c r="N19" i="1"/>
  <c r="T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13"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B39" i="72" s="1"/>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D7" i="73"/>
  <c r="F6" i="73"/>
  <c r="F4" i="73"/>
  <c r="E13" i="76"/>
  <c r="E11" i="76"/>
  <c r="E9" i="76"/>
  <c r="E7" i="76"/>
  <c r="D2" i="21"/>
  <c r="F42" i="67"/>
  <c r="M28" i="67"/>
  <c r="M22" i="67"/>
  <c r="F9" i="67"/>
  <c r="F7" i="67"/>
  <c r="C76" i="15"/>
  <c r="L48" i="15"/>
  <c r="L47" i="15"/>
  <c r="F43" i="15"/>
  <c r="F40" i="15"/>
  <c r="M24" i="15"/>
  <c r="D6" i="73"/>
  <c r="D4" i="73"/>
  <c r="F5" i="73"/>
  <c r="B13" i="76"/>
  <c r="E10" i="76"/>
  <c r="B8" i="76"/>
  <c r="D2" i="36"/>
  <c r="D2" i="37"/>
  <c r="D2" i="33"/>
  <c r="F38" i="67"/>
  <c r="M26" i="67"/>
  <c r="M24" i="67"/>
  <c r="M23" i="67"/>
  <c r="J15" i="67"/>
  <c r="F8" i="67"/>
  <c r="F6" i="67"/>
  <c r="M29" i="15"/>
  <c r="F26" i="15"/>
  <c r="F9" i="15"/>
  <c r="F7" i="15"/>
  <c r="D5" i="73"/>
  <c r="E12" i="76"/>
  <c r="B10" i="76"/>
  <c r="B7" i="76"/>
  <c r="D2" i="34"/>
  <c r="C76" i="67"/>
  <c r="F41" i="67"/>
  <c r="F35" i="67"/>
  <c r="F13" i="67"/>
  <c r="F36" i="15"/>
  <c r="M27" i="15"/>
  <c r="F13" i="15"/>
  <c r="M8" i="15"/>
  <c r="M6" i="15"/>
  <c r="F3" i="73"/>
  <c r="B12" i="76"/>
  <c r="B9" i="76"/>
  <c r="E6" i="76"/>
  <c r="D3" i="73"/>
  <c r="B11" i="76"/>
  <c r="E8" i="76"/>
  <c r="B6" i="76"/>
  <c r="L48" i="67"/>
  <c r="L47" i="67"/>
  <c r="D2" i="35"/>
  <c r="F37" i="67"/>
  <c r="M29" i="67"/>
  <c r="M27" i="67"/>
  <c r="F16" i="67"/>
  <c r="M8" i="67"/>
  <c r="F42" i="15"/>
  <c r="F35" i="15"/>
  <c r="M28" i="15"/>
  <c r="M26" i="15"/>
  <c r="M23" i="15"/>
  <c r="J15" i="15"/>
  <c r="F8" i="15"/>
  <c r="C36" i="68"/>
  <c r="AO13" i="1"/>
  <c r="AO9" i="1"/>
  <c r="F43" i="67"/>
  <c r="F36" i="67"/>
  <c r="F26" i="67"/>
  <c r="M21" i="67"/>
  <c r="M6" i="67"/>
  <c r="M22" i="15"/>
  <c r="E2" i="69"/>
  <c r="D9" i="68"/>
  <c r="E2" i="68"/>
  <c r="AO10" i="1"/>
  <c r="F20" i="31"/>
  <c r="F40" i="67"/>
  <c r="F38" i="15"/>
  <c r="D10" i="68"/>
  <c r="AO11" i="1"/>
  <c r="AO7" i="1"/>
  <c r="M21" i="15"/>
  <c r="C14" i="15"/>
  <c r="F27" i="68"/>
  <c r="M9" i="15"/>
  <c r="C34" i="68"/>
  <c r="M9" i="67"/>
  <c r="F37" i="15"/>
  <c r="F16" i="15"/>
  <c r="F6" i="15"/>
  <c r="AO12" i="1"/>
  <c r="AO8" i="1"/>
  <c r="C29" i="69" l="1"/>
  <c r="D27" i="69" s="1"/>
  <c r="C23" i="12"/>
  <c r="R16" i="1"/>
  <c r="F45" i="69"/>
  <c r="B8" i="70"/>
  <c r="B12" i="70"/>
  <c r="C6" i="15"/>
  <c r="F65" i="15"/>
  <c r="C35" i="68"/>
  <c r="C38" i="68"/>
  <c r="F45" i="68"/>
  <c r="C47" i="68"/>
  <c r="D45" i="68" s="1"/>
  <c r="C29" i="68"/>
  <c r="D27" i="68" s="1"/>
  <c r="C18" i="15"/>
  <c r="C15" i="15"/>
  <c r="J20" i="15"/>
  <c r="B7" i="70"/>
  <c r="B11" i="70"/>
  <c r="C10" i="68"/>
  <c r="B29" i="1" s="1"/>
  <c r="F66" i="15"/>
  <c r="F68" i="67"/>
  <c r="B20" i="31"/>
  <c r="B21" i="31" s="1"/>
  <c r="B10" i="70"/>
  <c r="C9" i="68"/>
  <c r="C8" i="68" s="1"/>
  <c r="C5" i="68" s="1"/>
  <c r="D19" i="68"/>
  <c r="D37" i="68" s="1"/>
  <c r="C37" i="68" s="1"/>
  <c r="J20" i="67"/>
  <c r="C27" i="67"/>
  <c r="F64" i="67"/>
  <c r="F71" i="67"/>
  <c r="B9" i="70"/>
  <c r="B13" i="70"/>
  <c r="F51" i="15"/>
  <c r="C34" i="15"/>
  <c r="F63" i="15"/>
  <c r="C62" i="15" s="1"/>
  <c r="F65" i="67"/>
  <c r="M3" i="35"/>
  <c r="M59" i="67"/>
  <c r="N59" i="67"/>
  <c r="L59" i="67"/>
  <c r="L58" i="67"/>
  <c r="J57" i="67"/>
  <c r="J55" i="67" s="1"/>
  <c r="J58" i="67" s="1"/>
  <c r="Q50" i="67" s="1"/>
  <c r="J53" i="67"/>
  <c r="L56" i="67"/>
  <c r="I54" i="67"/>
  <c r="B2" i="76"/>
  <c r="E2" i="76"/>
  <c r="F64" i="15"/>
  <c r="F63" i="67"/>
  <c r="C62" i="67" s="1"/>
  <c r="C34" i="67"/>
  <c r="F69" i="67"/>
  <c r="Q71" i="67"/>
  <c r="K1" i="73"/>
  <c r="F50" i="15"/>
  <c r="M7" i="15"/>
  <c r="J6" i="15" s="1"/>
  <c r="C27" i="15"/>
  <c r="C6" i="67"/>
  <c r="F51" i="67"/>
  <c r="F66" i="67"/>
  <c r="F68" i="15"/>
  <c r="F71" i="15"/>
  <c r="N59" i="15"/>
  <c r="L58" i="15"/>
  <c r="L59" i="15"/>
  <c r="M59" i="15"/>
  <c r="L57" i="15"/>
  <c r="L56" i="15"/>
  <c r="J57" i="15"/>
  <c r="J55" i="15" s="1"/>
  <c r="J58" i="15" s="1"/>
  <c r="Q50" i="15" s="1"/>
  <c r="I54" i="15"/>
  <c r="L60" i="15"/>
  <c r="J53" i="15"/>
  <c r="Q71" i="15"/>
  <c r="F50" i="67"/>
  <c r="M7" i="67"/>
  <c r="J6" i="67" s="1"/>
  <c r="I1" i="73"/>
  <c r="B39"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2" i="49"/>
  <c r="H12" i="49" s="1"/>
  <c r="F5" i="49"/>
  <c r="H5" i="49" s="1"/>
  <c r="F9" i="49"/>
  <c r="H9" i="49" s="1"/>
  <c r="C18" i="12"/>
  <c r="D126" i="9"/>
  <c r="D19" i="53"/>
  <c r="F4" i="49"/>
  <c r="H4" i="49" s="1"/>
  <c r="F8" i="49"/>
  <c r="H8" i="49" s="1"/>
  <c r="F11" i="49"/>
  <c r="H11" i="49" s="1"/>
  <c r="F13" i="49"/>
  <c r="H13" i="49" s="1"/>
  <c r="F14" i="49"/>
  <c r="H14" i="49" s="1"/>
  <c r="F7" i="49"/>
  <c r="H7" i="49" s="1"/>
  <c r="B4" i="62"/>
  <c r="B71" i="72" s="1"/>
  <c r="C12" i="12"/>
  <c r="C16" i="12" s="1"/>
  <c r="C9" i="69"/>
  <c r="C8" i="69" s="1"/>
  <c r="C5" i="69" s="1"/>
  <c r="D19" i="69"/>
  <c r="C38" i="69"/>
  <c r="C28" i="11"/>
  <c r="C27" i="11" s="1"/>
  <c r="C14" i="67"/>
  <c r="C17" i="67"/>
  <c r="C17" i="15"/>
  <c r="C16" i="15"/>
  <c r="C16" i="67"/>
  <c r="G1" i="73"/>
  <c r="C21" i="12" l="1"/>
  <c r="C49" i="67"/>
  <c r="C33" i="68"/>
  <c r="B40" i="1"/>
  <c r="C18" i="67"/>
  <c r="C15" i="67"/>
  <c r="C19" i="15"/>
  <c r="C22" i="12"/>
  <c r="C30" i="12" s="1"/>
  <c r="C28" i="12" s="1"/>
  <c r="J19" i="15"/>
  <c r="J18" i="15"/>
  <c r="J19" i="67"/>
  <c r="J18" i="67"/>
  <c r="J17" i="67" s="1"/>
  <c r="C39" i="68"/>
  <c r="D20" i="53"/>
  <c r="B40" i="72" s="1"/>
  <c r="B38" i="72"/>
  <c r="Q60" i="15"/>
  <c r="Q73" i="15"/>
  <c r="Q66" i="15"/>
  <c r="Q57" i="15"/>
  <c r="Q74" i="15"/>
  <c r="Q61" i="15"/>
  <c r="C33" i="67"/>
  <c r="C32" i="67"/>
  <c r="D37" i="69"/>
  <c r="C37" i="69" s="1"/>
  <c r="C33" i="69" s="1"/>
  <c r="C19" i="69"/>
  <c r="C20" i="69" s="1"/>
  <c r="D127" i="9"/>
  <c r="D13" i="52" s="1"/>
  <c r="D12" i="52"/>
  <c r="F11" i="67"/>
  <c r="F11" i="15"/>
  <c r="C53" i="15" s="1"/>
  <c r="M11" i="15"/>
  <c r="J10" i="15" s="1"/>
  <c r="J5" i="15" s="1"/>
  <c r="M11" i="67"/>
  <c r="J10" i="67" s="1"/>
  <c r="J5" i="67" s="1"/>
  <c r="Q73" i="67"/>
  <c r="Q60" i="67"/>
  <c r="C49" i="15"/>
  <c r="C20" i="68"/>
  <c r="C28" i="68"/>
  <c r="C27" i="68" s="1"/>
  <c r="C32" i="15"/>
  <c r="C33" i="15"/>
  <c r="C61" i="67"/>
  <c r="Q74" i="67"/>
  <c r="Q61" i="67"/>
  <c r="Q52" i="15"/>
  <c r="F1" i="15"/>
  <c r="B3" i="76"/>
  <c r="Q52" i="67"/>
  <c r="F1" i="67"/>
  <c r="AE6" i="1"/>
  <c r="F41" i="15" s="1"/>
  <c r="C10" i="15" l="1"/>
  <c r="C5" i="15" s="1"/>
  <c r="J17" i="15"/>
  <c r="C19" i="67"/>
  <c r="C20" i="67" s="1"/>
  <c r="F69" i="15"/>
  <c r="C38" i="15"/>
  <c r="J26" i="15"/>
  <c r="J29" i="15" s="1"/>
  <c r="J24" i="15"/>
  <c r="J26" i="67"/>
  <c r="J29" i="67" s="1"/>
  <c r="J24" i="67"/>
  <c r="C61" i="15"/>
  <c r="C48" i="15"/>
  <c r="C53" i="67"/>
  <c r="C48" i="67" s="1"/>
  <c r="C10" i="67"/>
  <c r="C5" i="67" s="1"/>
  <c r="C39" i="69"/>
  <c r="C46" i="69" s="1"/>
  <c r="C45" i="69" s="1"/>
  <c r="C28" i="69"/>
  <c r="C27" i="69" s="1"/>
  <c r="C31" i="15"/>
  <c r="C31" i="67"/>
  <c r="C46" i="68"/>
  <c r="C45" i="68" s="1"/>
  <c r="C20" i="15"/>
  <c r="C26" i="15" s="1"/>
  <c r="F24" i="67"/>
  <c r="C24" i="67" s="1"/>
  <c r="F24" i="15"/>
  <c r="C24" i="15" s="1"/>
  <c r="F25" i="12"/>
  <c r="C26" i="12" s="1"/>
  <c r="D25" i="12" s="1"/>
  <c r="F22" i="11"/>
  <c r="L36" i="43"/>
  <c r="F22" i="69"/>
  <c r="F22" i="68"/>
  <c r="C25" i="68" s="1"/>
  <c r="C27" i="12" l="1"/>
  <c r="C25" i="12" s="1"/>
  <c r="C32" i="12" s="1"/>
  <c r="B2" i="12" s="1"/>
  <c r="B3" i="12" s="1"/>
  <c r="C26" i="69"/>
  <c r="D22" i="69" s="1"/>
  <c r="F41" i="69"/>
  <c r="C44" i="69"/>
  <c r="D41" i="69" s="1"/>
  <c r="C23" i="69"/>
  <c r="C38" i="67"/>
  <c r="C66" i="15"/>
  <c r="C60" i="15"/>
  <c r="C59" i="15" s="1"/>
  <c r="C66" i="67"/>
  <c r="C60" i="67"/>
  <c r="C59" i="67" s="1"/>
  <c r="C26" i="67"/>
  <c r="C25" i="69"/>
  <c r="C42" i="11"/>
  <c r="C24" i="11"/>
  <c r="C26" i="11"/>
  <c r="D22" i="11" s="1"/>
  <c r="C44" i="11"/>
  <c r="D41" i="11" s="1"/>
  <c r="C43" i="11"/>
  <c r="C25" i="11"/>
  <c r="C23" i="11"/>
  <c r="C22" i="11" s="1"/>
  <c r="C31" i="11" s="1"/>
  <c r="C43" i="69"/>
  <c r="C23" i="67"/>
  <c r="C29" i="67" s="1"/>
  <c r="C24" i="69"/>
  <c r="Q36" i="43"/>
  <c r="M36" i="43"/>
  <c r="N36" i="43"/>
  <c r="P36" i="43"/>
  <c r="L37" i="43"/>
  <c r="O36" i="43"/>
  <c r="C44" i="68"/>
  <c r="D41" i="68" s="1"/>
  <c r="C26" i="68"/>
  <c r="D22" i="68" s="1"/>
  <c r="F41" i="68"/>
  <c r="C24" i="68"/>
  <c r="C42" i="68"/>
  <c r="C23" i="68"/>
  <c r="C23" i="15"/>
  <c r="C29" i="15" s="1"/>
  <c r="C43" i="68"/>
  <c r="C42" i="69"/>
  <c r="C41" i="69" l="1"/>
  <c r="C49" i="69" s="1"/>
  <c r="C51" i="69" s="1"/>
  <c r="C36" i="67"/>
  <c r="Q49" i="67"/>
  <c r="C57" i="67"/>
  <c r="C64" i="67" s="1"/>
  <c r="J14" i="67"/>
  <c r="C13" i="67"/>
  <c r="J59" i="67"/>
  <c r="J60" i="67" s="1"/>
  <c r="Q49" i="15"/>
  <c r="C36" i="15"/>
  <c r="C57" i="15"/>
  <c r="C64" i="15" s="1"/>
  <c r="C13" i="15"/>
  <c r="J14" i="15"/>
  <c r="J59" i="15"/>
  <c r="J60" i="15" s="1"/>
  <c r="Q37" i="43"/>
  <c r="M37" i="43"/>
  <c r="P37" i="43"/>
  <c r="O37" i="43"/>
  <c r="N37" i="43"/>
  <c r="C22" i="68"/>
  <c r="C31" i="68" s="1"/>
  <c r="C41" i="68"/>
  <c r="C49" i="68" s="1"/>
  <c r="C51" i="68" s="1"/>
  <c r="C41" i="11"/>
  <c r="C49" i="11" s="1"/>
  <c r="C51" i="11" s="1"/>
  <c r="C22" i="69"/>
  <c r="C31" i="69" s="1"/>
  <c r="C52" i="69" s="1"/>
  <c r="B2" i="69" s="1"/>
  <c r="B3" i="69" s="1"/>
  <c r="C52" i="68" l="1"/>
  <c r="B2" i="68" s="1"/>
  <c r="Q48" i="15"/>
  <c r="L46" i="15"/>
  <c r="J13" i="67"/>
  <c r="J23" i="67" s="1"/>
  <c r="J22" i="67"/>
  <c r="C57" i="69"/>
  <c r="C56" i="69" s="1"/>
  <c r="J22" i="15"/>
  <c r="J13" i="15"/>
  <c r="J23" i="15" s="1"/>
  <c r="C52" i="11"/>
  <c r="B2" i="11" s="1"/>
  <c r="B3" i="11" s="1"/>
  <c r="C37" i="15"/>
  <c r="C30" i="15" s="1"/>
  <c r="C39" i="15" s="1"/>
  <c r="C75" i="15"/>
  <c r="Q70" i="15"/>
  <c r="C56" i="15"/>
  <c r="C65" i="15" s="1"/>
  <c r="C58" i="15" s="1"/>
  <c r="C67" i="15" s="1"/>
  <c r="C68" i="15" s="1"/>
  <c r="Q48" i="67"/>
  <c r="L46" i="67"/>
  <c r="C56" i="67"/>
  <c r="C65" i="67" s="1"/>
  <c r="C58" i="67" s="1"/>
  <c r="C67" i="67" s="1"/>
  <c r="C68" i="67" s="1"/>
  <c r="C37" i="67"/>
  <c r="C30" i="67" s="1"/>
  <c r="C39" i="67" s="1"/>
  <c r="Q70" i="67"/>
  <c r="C75" i="67"/>
  <c r="C19" i="9"/>
  <c r="B3" i="68"/>
  <c r="C20" i="9"/>
  <c r="C21" i="9" l="1"/>
  <c r="C102" i="9"/>
  <c r="C57" i="68"/>
  <c r="C80" i="67"/>
  <c r="C79" i="67" s="1"/>
  <c r="C103" i="9"/>
  <c r="C40" i="15"/>
  <c r="C46" i="15" s="1"/>
  <c r="Q69" i="15"/>
  <c r="Q68" i="15" s="1"/>
  <c r="C71" i="67"/>
  <c r="C71" i="15"/>
  <c r="J16" i="15"/>
  <c r="J25" i="15" s="1"/>
  <c r="Q69" i="67"/>
  <c r="Q68" i="67" s="1"/>
  <c r="C40" i="67"/>
  <c r="C45" i="67" s="1"/>
  <c r="C46" i="67" s="1"/>
  <c r="C80" i="15"/>
  <c r="C79" i="15" s="1"/>
  <c r="C56" i="11"/>
  <c r="C57" i="11" s="1"/>
  <c r="J16" i="67"/>
  <c r="J25" i="67" s="1"/>
  <c r="D35" i="9"/>
  <c r="L51" i="15"/>
  <c r="L51" i="67"/>
  <c r="C56" i="68" l="1"/>
  <c r="Q67" i="67"/>
  <c r="L57" i="67"/>
  <c r="L60" i="67" s="1"/>
  <c r="Q67" i="15"/>
  <c r="Q47" i="15"/>
  <c r="Q53" i="15" s="1"/>
  <c r="B2" i="15"/>
  <c r="C43" i="15"/>
  <c r="Q56" i="15"/>
  <c r="Q62" i="15" s="1"/>
  <c r="Q65" i="15"/>
  <c r="Q75" i="15" s="1"/>
  <c r="C83" i="15"/>
  <c r="C82" i="15" s="1"/>
  <c r="Q65" i="67"/>
  <c r="D2" i="67"/>
  <c r="Q56" i="67"/>
  <c r="C43" i="67"/>
  <c r="Q47" i="67"/>
  <c r="Q53" i="67" s="1"/>
  <c r="C83" i="67"/>
  <c r="C82" i="67" s="1"/>
  <c r="D34" i="9"/>
  <c r="D19" i="9"/>
  <c r="AO6" i="1"/>
  <c r="B6" i="70" l="1"/>
  <c r="B2" i="70" s="1"/>
  <c r="B3" i="70" s="1"/>
  <c r="D102" i="9"/>
  <c r="D21" i="9"/>
  <c r="D22" i="9"/>
  <c r="G19" i="9"/>
  <c r="B2" i="67"/>
  <c r="B3" i="67"/>
  <c r="Q57" i="67"/>
  <c r="Q62" i="67" s="1"/>
  <c r="Q66" i="67"/>
  <c r="Q75" i="67" s="1"/>
  <c r="B3" i="15"/>
  <c r="D20" i="9"/>
  <c r="D103" i="9" l="1"/>
  <c r="G20" i="9"/>
  <c r="D14" i="74"/>
  <c r="C32" i="9"/>
  <c r="G21" i="9"/>
  <c r="H118" i="9" l="1"/>
  <c r="C35" i="9"/>
  <c r="F118" i="9" s="1"/>
  <c r="G14" i="74"/>
  <c r="B6" i="74" s="1"/>
  <c r="F14" i="74"/>
  <c r="E14" i="74"/>
  <c r="B5" i="74"/>
  <c r="C34" i="9" l="1"/>
  <c r="D118" i="9" s="1"/>
  <c r="J118" i="9" s="1"/>
  <c r="F119" i="9"/>
  <c r="F5" i="52" s="1"/>
  <c r="B53" i="72" s="1"/>
  <c r="G118" i="9"/>
  <c r="G4" i="52" s="1"/>
  <c r="B52" i="72" s="1"/>
  <c r="F4" i="52"/>
  <c r="B51" i="72" s="1"/>
  <c r="D6" i="74"/>
  <c r="D5" i="74"/>
  <c r="I118" i="9"/>
  <c r="H119" i="9"/>
  <c r="H5" i="52" s="1"/>
  <c r="H101" i="9"/>
  <c r="C104" i="9"/>
  <c r="H4" i="52"/>
  <c r="D4" i="52" l="1"/>
  <c r="B47" i="72" s="1"/>
  <c r="D119" i="9"/>
  <c r="D5" i="52" s="1"/>
  <c r="B49" i="72" s="1"/>
  <c r="H107" i="9"/>
  <c r="M48" i="9"/>
  <c r="D45" i="9"/>
  <c r="D5" i="53"/>
  <c r="E118" i="9"/>
  <c r="E4" i="52" s="1"/>
  <c r="B48" i="72" s="1"/>
  <c r="C105" i="9"/>
  <c r="I4" i="52"/>
  <c r="H102" i="9"/>
  <c r="D7" i="53" l="1"/>
  <c r="B21" i="72" s="1"/>
  <c r="C5" i="74"/>
  <c r="B20" i="72"/>
  <c r="D6" i="53"/>
  <c r="B22" i="72" s="1"/>
  <c r="C93" i="9"/>
  <c r="C86" i="9" s="1"/>
  <c r="C85" i="9"/>
  <c r="D55" i="9"/>
  <c r="M53" i="9" s="1"/>
  <c r="C72" i="9"/>
  <c r="C79" i="9" s="1"/>
  <c r="C64" i="9"/>
  <c r="C63" i="9" s="1"/>
  <c r="C67" i="9" s="1"/>
  <c r="D53" i="9"/>
  <c r="C78" i="9"/>
  <c r="C73" i="9" s="1"/>
  <c r="D52" i="9"/>
  <c r="H108" i="9"/>
  <c r="M49" i="9"/>
  <c r="D13" i="53"/>
  <c r="D122" i="9"/>
  <c r="C95" i="9" l="1"/>
  <c r="D14" i="53"/>
  <c r="B32" i="72" s="1"/>
  <c r="B30" i="72"/>
  <c r="D123" i="9"/>
  <c r="D9" i="52" s="1"/>
  <c r="D8" i="52"/>
  <c r="C80" i="9"/>
  <c r="E80" i="9" s="1"/>
  <c r="E81" i="9" s="1"/>
  <c r="L63" i="9"/>
  <c r="M63" i="9" s="1"/>
  <c r="L66" i="9"/>
  <c r="M66" i="9" s="1"/>
  <c r="L64" i="9"/>
  <c r="M64" i="9" s="1"/>
  <c r="L68" i="9"/>
  <c r="M68" i="9" s="1"/>
  <c r="L67" i="9"/>
  <c r="M67" i="9" s="1"/>
  <c r="L65" i="9"/>
  <c r="M65" i="9" s="1"/>
  <c r="C96" i="9"/>
  <c r="E96" i="9" s="1"/>
  <c r="E97" i="9" s="1"/>
  <c r="C97" i="9"/>
  <c r="D58" i="9" s="1"/>
  <c r="D56" i="9" s="1"/>
  <c r="M54" i="9" s="1"/>
  <c r="N57" i="9" s="1"/>
  <c r="D15" i="53"/>
  <c r="B31" i="72" s="1"/>
  <c r="C6" i="74"/>
  <c r="C68" i="9"/>
  <c r="D54" i="9" s="1"/>
  <c r="D59" i="9"/>
  <c r="M55" i="9" s="1"/>
  <c r="P57" i="9" l="1"/>
  <c r="N58" i="9"/>
  <c r="N59" i="9"/>
  <c r="M69" i="9"/>
  <c r="N69" i="9" s="1"/>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<sst xmlns="http://schemas.openxmlformats.org/spreadsheetml/2006/main" count="7936" uniqueCount="2798">
  <si>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</si>
  <si>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</si>
  <si>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</si>
  <si>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</si>
  <si>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</si>
  <si>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</si>
  <si>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</si>
  <si>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</si>
  <si>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</si>
  <si>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</si>
  <si>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</si>
  <si>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</si>
  <si>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</si>
  <si>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</si>
  <si>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</si>
  <si>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</si>
  <si>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</si>
  <si>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</si>
  <si>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</si>
  <si>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</si>
  <si>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</si>
  <si>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</si>
  <si>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</si>
  <si>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</si>
  <si>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</si>
  <si>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</si>
  <si>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</si>
  <si>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</si>
  <si>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</si>
  <si>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</si>
  <si>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</si>
  <si>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</si>
  <si>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</si>
  <si>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</si>
  <si>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</si>
  <si>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</si>
  <si>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</si>
  <si>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</si>
  <si>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</si>
  <si>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</si>
  <si>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</si>
  <si>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</si>
  <si>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</si>
  <si>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</si>
  <si>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</si>
  <si>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</si>
  <si>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</si>
  <si>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</si>
  <si>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</si>
  <si>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</si>
  <si>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</si>
  <si>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</si>
  <si>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</si>
  <si>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</si>
  <si>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</si>
  <si>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</si>
  <si>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</si>
  <si>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</si>
  <si>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</si>
  <si>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</si>
  <si>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</si>
  <si>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</si>
  <si>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</si>
  <si>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</si>
  <si>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</si>
  <si>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</si>
  <si>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</si>
  <si>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</si>
  <si>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</si>
  <si>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</si>
  <si>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</si>
  <si>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</si>
  <si>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</si>
  <si>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</si>
  <si>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</si>
  <si>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</si>
  <si>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</si>
  <si>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</si>
  <si>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</si>
  <si>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</si>
  <si>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</si>
  <si>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</si>
  <si>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</si>
  <si>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</si>
  <si>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</si>
  <si>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</si>
  <si>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</si>
  <si>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</si>
  <si>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</si>
  <si>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</si>
  <si>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</si>
  <si>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</si>
  <si>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</si>
  <si>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</si>
  <si>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</si>
  <si>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</si>
  <si>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</si>
  <si>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</si>
  <si>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</si>
  <si>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</si>
  <si>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</si>
  <si>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</si>
  <si>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</si>
  <si>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</si>
  <si>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</si>
  <si>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</si>
  <si>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</si>
  <si>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</si>
  <si>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</si>
  <si>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</si>
  <si>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</si>
  <si>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</si>
  <si>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</si>
  <si>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</si>
  <si>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</si>
  <si>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</si>
  <si>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</si>
  <si>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</si>
  <si>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</si>
  <si>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</si>
  <si>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</si>
  <si>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</si>
  <si>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</si>
  <si>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</si>
  <si>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</si>
  <si>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</si>
  <si>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</si>
  <si>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</si>
  <si>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</si>
  <si>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</si>
  <si>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</si>
  <si>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</si>
  <si>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</si>
  <si>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</si>
  <si>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</si>
  <si>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</si>
  <si>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</si>
  <si>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</si>
  <si>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</si>
  <si>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</si>
  <si>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</si>
  <si>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</si>
  <si>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</si>
  <si>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</si>
  <si>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</si>
  <si>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</si>
  <si>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</si>
  <si>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</si>
  <si>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</si>
  <si>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</si>
  <si>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</si>
  <si>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</si>
  <si>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</si>
  <si>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</si>
  <si>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</si>
  <si>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</si>
  <si>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</si>
  <si>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</si>
  <si>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</si>
  <si>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</si>
  <si>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</si>
  <si>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</si>
  <si>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</si>
  <si>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</si>
  <si>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</si>
  <si>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</si>
  <si>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</si>
  <si>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</si>
  <si>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</si>
  <si>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</si>
  <si>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</si>
  <si>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</si>
  <si>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</si>
  <si>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</si>
  <si>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</si>
  <si>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</si>
  <si>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</si>
  <si>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</si>
  <si>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</si>
  <si>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</si>
  <si>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</si>
  <si>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</si>
  <si>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</si>
  <si>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</si>
  <si>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</si>
  <si>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</si>
  <si>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</si>
  <si>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</si>
  <si>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</si>
  <si>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</si>
  <si>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</si>
  <si>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</si>
  <si>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</si>
  <si>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</si>
  <si>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</si>
  <si>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</si>
  <si>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</si>
  <si>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</si>
  <si>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</si>
  <si>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</si>
  <si>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</si>
  <si>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</si>
  <si>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</si>
  <si>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</si>
  <si>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</si>
  <si>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</si>
  <si>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</si>
  <si>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</si>
  <si>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</si>
  <si>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</si>
  <si>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</si>
  <si>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</si>
  <si>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</si>
  <si>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</si>
  <si>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</si>
  <si>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</si>
  <si>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</si>
  <si>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</si>
  <si>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</si>
  <si>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</si>
  <si>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</si>
  <si>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</si>
  <si>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</si>
  <si>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</si>
  <si>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</si>
  <si>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</si>
  <si>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</si>
  <si>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</si>
  <si>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</si>
  <si>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</si>
  <si>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</si>
  <si>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</si>
  <si>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</si>
  <si>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</si>
  <si>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</si>
  <si>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</si>
  <si>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</si>
  <si>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</si>
  <si>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</si>
  <si>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</si>
  <si>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</si>
  <si>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</si>
  <si>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</si>
  <si>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</si>
  <si>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</si>
  <si>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</si>
  <si>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</si>
  <si>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</si>
  <si>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</si>
  <si>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</si>
  <si>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</si>
  <si>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</si>
  <si>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</si>
  <si>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</si>
  <si>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</si>
  <si>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</si>
  <si>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</si>
  <si>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</si>
  <si>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</si>
  <si>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</si>
  <si>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</si>
  <si>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</si>
  <si>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</si>
  <si>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</si>
  <si>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</si>
  <si>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</si>
  <si>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</si>
  <si>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</si>
  <si>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</si>
  <si>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</si>
  <si>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</si>
  <si>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</si>
  <si>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</si>
  <si>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</si>
  <si>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</si>
  <si>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</si>
  <si>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</si>
  <si>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</si>
  <si>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</si>
  <si>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</si>
  <si>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</si>
  <si>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</si>
  <si>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</si>
  <si>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</si>
  <si>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</si>
  <si>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</si>
  <si>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</si>
  <si>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</si>
  <si>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</si>
  <si>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</si>
  <si>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</si>
  <si>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</si>
  <si>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</si>
  <si>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</si>
  <si>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</si>
  <si>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</si>
  <si>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</si>
  <si>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</si>
  <si>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</si>
  <si>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</si>
  <si>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</si>
  <si>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</si>
  <si>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</si>
  <si>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</si>
  <si>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</si>
  <si>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</si>
  <si>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</si>
  <si>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</si>
  <si>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</si>
  <si>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</si>
  <si>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</si>
  <si>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</si>
  <si>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</si>
  <si>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</si>
  <si>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</si>
  <si>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</si>
  <si>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</si>
  <si>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</si>
  <si>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</si>
  <si>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</si>
  <si>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</si>
  <si>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</si>
  <si>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</si>
  <si>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</si>
  <si>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</si>
  <si>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</si>
  <si>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</si>
  <si>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</si>
  <si>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</si>
  <si>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</si>
  <si>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</si>
  <si>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</si>
  <si>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</si>
  <si>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</si>
  <si>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</si>
  <si>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</si>
  <si>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</si>
  <si>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</si>
  <si>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</si>
  <si>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</si>
  <si>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</si>
  <si>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</si>
  <si>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</si>
  <si>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</si>
  <si>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</si>
  <si>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</si>
  <si>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</si>
  <si>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</si>
  <si>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</si>
  <si>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</si>
  <si>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</si>
  <si>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</si>
  <si>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</si>
  <si>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</si>
  <si>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</si>
  <si>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</si>
  <si>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</si>
  <si>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</si>
  <si>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</si>
  <si>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</si>
  <si>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</si>
  <si>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</si>
  <si>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</si>
  <si>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</si>
  <si>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</si>
  <si>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</si>
  <si>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</si>
  <si>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</si>
  <si>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</si>
  <si>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</si>
  <si>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</si>
  <si>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</si>
  <si>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</si>
  <si>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</si>
  <si>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</si>
  <si>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</si>
  <si>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</si>
  <si>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</si>
  <si>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</si>
  <si>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</si>
  <si>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</si>
  <si>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</si>
  <si>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</si>
  <si>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</si>
  <si>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</si>
  <si>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</si>
  <si>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</si>
  <si>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</si>
  <si>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</si>
  <si>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</si>
  <si>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</si>
  <si>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</si>
  <si>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</si>
  <si>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</si>
  <si>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</si>
  <si>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</si>
  <si>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</si>
  <si>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</si>
  <si>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</si>
  <si>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</si>
  <si>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</si>
  <si>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</si>
  <si>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</si>
  <si>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</si>
  <si>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</si>
  <si>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</si>
  <si>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</si>
  <si>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</si>
  <si>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</si>
  <si>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</si>
  <si>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</si>
  <si>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</si>
  <si>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</si>
  <si>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</si>
  <si>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</si>
  <si>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</si>
  <si>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</si>
  <si>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</si>
  <si>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</si>
  <si>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</si>
  <si>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</si>
  <si>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</si>
  <si>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</si>
  <si>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</si>
  <si>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</si>
  <si>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</si>
  <si>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</si>
  <si>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</si>
  <si>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</si>
  <si>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</si>
  <si>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</si>
  <si>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</si>
  <si>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</si>
  <si>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</si>
  <si>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</si>
  <si>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</si>
  <si>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</si>
  <si>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</si>
  <si>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</si>
  <si>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</si>
  <si>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</si>
  <si>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</si>
  <si>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</si>
  <si>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</si>
  <si>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</si>
  <si>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</si>
  <si>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</si>
  <si>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</si>
  <si>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</si>
  <si>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</si>
  <si>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</si>
  <si>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</si>
  <si>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</si>
  <si>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</si>
  <si>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</si>
  <si>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</si>
  <si>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</si>
  <si>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</si>
  <si>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</si>
  <si>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</si>
  <si>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</si>
  <si>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</si>
  <si>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</si>
  <si>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</si>
  <si>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</si>
  <si>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</si>
  <si>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</si>
  <si>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</si>
  <si>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</si>
  <si>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</si>
  <si>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</si>
  <si>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</si>
  <si>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</si>
  <si>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</si>
  <si>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</si>
  <si>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</si>
  <si>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</si>
  <si>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</si>
  <si>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</si>
  <si>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</si>
  <si>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</si>
  <si>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</si>
  <si>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</si>
  <si>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</si>
  <si>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</si>
  <si>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</si>
  <si>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</si>
  <si>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</si>
  <si>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</si>
  <si>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</si>
  <si>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</si>
  <si>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</si>
  <si>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</si>
  <si>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</si>
  <si>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</si>
  <si>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</si>
  <si>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</si>
  <si>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</si>
  <si>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</si>
  <si>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</si>
  <si>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</si>
  <si>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</si>
  <si>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</si>
  <si>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</si>
  <si>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</si>
  <si>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</si>
  <si>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</si>
  <si>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</si>
  <si>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</si>
  <si>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</si>
  <si>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</si>
  <si>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</si>
  <si>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</si>
  <si>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</si>
  <si>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</si>
  <si>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</si>
  <si>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</si>
  <si>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</si>
  <si>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</si>
  <si>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</si>
  <si>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</si>
  <si>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</si>
  <si>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</si>
  <si>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</si>
  <si>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</si>
  <si>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</si>
  <si>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</si>
  <si>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</si>
  <si>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</si>
  <si>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</si>
  <si>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</si>
  <si>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</si>
  <si>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</si>
  <si>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</si>
  <si>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</si>
  <si>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</si>
  <si>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</si>
  <si>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</si>
  <si>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</si>
  <si>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</si>
  <si>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</si>
  <si>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</si>
  <si>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</si>
  <si>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</si>
  <si>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</si>
  <si>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</si>
  <si>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</si>
  <si>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</si>
  <si>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</si>
  <si>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</si>
  <si>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</si>
  <si>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</si>
  <si>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</si>
  <si>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</si>
  <si>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</si>
  <si>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</si>
  <si>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</si>
  <si>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</si>
  <si>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</si>
  <si>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</si>
  <si>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</si>
  <si>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</si>
  <si>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</si>
  <si>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</si>
  <si>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</si>
  <si>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</si>
  <si>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</si>
  <si>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</si>
  <si>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</si>
  <si>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</si>
  <si>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</si>
  <si>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</si>
  <si>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</si>
  <si>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</si>
  <si>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</si>
  <si>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</si>
  <si>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</si>
  <si>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</si>
  <si>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</si>
  <si>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</si>
  <si>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</si>
  <si>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</si>
  <si>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</si>
  <si>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</si>
  <si>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</si>
  <si>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</si>
  <si>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</si>
  <si>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</si>
  <si>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</si>
  <si>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</si>
  <si>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</si>
  <si>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</si>
  <si>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</si>
  <si>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</si>
  <si>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</si>
  <si>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</si>
  <si>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</si>
  <si>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</si>
  <si>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</si>
  <si>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</si>
  <si>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</si>
  <si>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</si>
  <si>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</si>
  <si>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</si>
  <si>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</si>
  <si>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</si>
  <si>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</si>
  <si>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</si>
  <si>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</si>
  <si>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</si>
  <si>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</si>
  <si>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食品基地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</si>
  <si>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</si>
  <si>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</si>
  <si>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</si>
  <si>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</si>
  <si>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</si>
  <si>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</si>
  <si>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宋体"/>
        <family val="3"/>
        <charset val="134"/>
      </rPr>
      <t>序号</t>
    </r>
  </si>
  <si>
    <r>
      <rPr>
        <sz val="10"/>
        <color theme="1"/>
        <rFont val="宋体"/>
        <family val="3"/>
        <charset val="134"/>
      </rPr>
      <t>土地证号</t>
    </r>
  </si>
  <si>
    <r>
      <rPr>
        <sz val="10"/>
        <color theme="1"/>
        <rFont val="宋体"/>
        <family val="3"/>
        <charset val="134"/>
      </rPr>
      <t>所有权人</t>
    </r>
  </si>
  <si>
    <r>
      <rPr>
        <sz val="10"/>
        <color theme="1"/>
        <rFont val="宋体"/>
        <family val="3"/>
        <charset val="134"/>
      </rPr>
      <t>坐落</t>
    </r>
  </si>
  <si>
    <r>
      <rPr>
        <sz val="10"/>
        <color theme="1"/>
        <rFont val="宋体"/>
        <family val="3"/>
        <charset val="134"/>
      </rPr>
      <t>土地面积</t>
    </r>
  </si>
  <si>
    <r>
      <rPr>
        <sz val="10"/>
        <color theme="1"/>
        <rFont val="宋体"/>
        <family val="3"/>
        <charset val="134"/>
      </rPr>
      <t>用途</t>
    </r>
  </si>
  <si>
    <r>
      <rPr>
        <sz val="10"/>
        <color theme="1"/>
        <rFont val="宋体"/>
        <family val="3"/>
        <charset val="134"/>
      </rPr>
      <t>终止日期</t>
    </r>
  </si>
  <si>
    <r>
      <t>京兴国用（</t>
    </r>
    <r>
      <rPr>
        <sz val="10"/>
        <color theme="1"/>
        <rFont val="Arial"/>
        <family val="2"/>
      </rPr>
      <t>2002</t>
    </r>
    <r>
      <rPr>
        <sz val="10"/>
        <color theme="1"/>
        <rFont val="宋体"/>
        <family val="3"/>
        <charset val="134"/>
      </rPr>
      <t>出）字第</t>
    </r>
    <r>
      <rPr>
        <sz val="10"/>
        <color theme="1"/>
        <rFont val="Arial"/>
        <family val="2"/>
      </rPr>
      <t>076</t>
    </r>
    <r>
      <rPr>
        <sz val="10"/>
        <color theme="1"/>
        <rFont val="宋体"/>
        <family val="3"/>
        <charset val="134"/>
      </rPr>
      <t>号</t>
    </r>
  </si>
  <si>
    <r>
      <rPr>
        <sz val="10"/>
        <color theme="1"/>
        <rFont val="宋体"/>
        <family val="3"/>
        <charset val="134"/>
      </rPr>
      <t>北京资源亚太食品有限公司</t>
    </r>
  </si>
  <si>
    <r>
      <rPr>
        <sz val="10"/>
        <color theme="1"/>
        <rFont val="宋体"/>
        <family val="3"/>
        <charset val="134"/>
      </rPr>
      <t>大兴区黄村镇西磁各庄村</t>
    </r>
  </si>
  <si>
    <r>
      <rPr>
        <sz val="10"/>
        <color theme="1"/>
        <rFont val="宋体"/>
        <family val="3"/>
        <charset val="134"/>
      </rPr>
      <t>工业</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</si>
  <si>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077</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</si>
  <si>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078</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</si>
  <si>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079</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</si>
  <si>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080</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</si>
  <si>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081</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</si>
  <si>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082</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</si>
  <si>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083</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</si>
  <si>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084</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</si>
  <si>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085</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</si>
  <si>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086</t>
    </r>
    <r>
      <rPr>
        <sz val="10"/>
        <color theme="1"/>
        <rFont val="宋体"/>
        <family val="3"/>
        <charset val="134"/>
      </rPr>
      <t>号</t>
    </r>
  </si>
  <si>
    <r>
      <rPr>
        <sz val="10"/>
        <color theme="1"/>
        <rFont val="宋体"/>
        <family val="3"/>
        <charset val="134"/>
      </rPr>
      <t>合计</t>
    </r>
  </si>
  <si>
    <t>房屋所有权证号</t>
  </si>
  <si>
    <t>不动产权人</t>
  </si>
  <si>
    <t>坐落</t>
  </si>
  <si>
    <t>建筑面积</t>
  </si>
  <si>
    <t>结构</t>
  </si>
  <si>
    <t>建成年代</t>
  </si>
  <si>
    <t>总楼层</t>
  </si>
  <si>
    <t>所在楼层</t>
  </si>
  <si>
    <r>
      <t>京房权证兴股字第</t>
    </r>
    <r>
      <rPr>
        <sz val="10"/>
        <color theme="1"/>
        <rFont val="Arial"/>
        <family val="2"/>
      </rPr>
      <t>00004429</t>
    </r>
    <r>
      <rPr>
        <sz val="10"/>
        <color theme="1"/>
        <rFont val="宋体"/>
        <family val="3"/>
        <charset val="134"/>
      </rPr>
      <t>号</t>
    </r>
  </si>
  <si>
    <t>北京资源亚太食品有限公司</t>
  </si>
  <si>
    <r>
      <t>大兴区黄村镇西磁各庄村村委会北</t>
    </r>
    <r>
      <rPr>
        <sz val="10"/>
        <color theme="1"/>
        <rFont val="Arial"/>
        <family val="2"/>
      </rPr>
      <t>350</t>
    </r>
    <r>
      <rPr>
        <sz val="10"/>
        <color theme="1"/>
        <rFont val="宋体"/>
        <family val="3"/>
        <charset val="134"/>
      </rPr>
      <t>米</t>
    </r>
  </si>
  <si>
    <r>
      <rPr>
        <sz val="10"/>
        <color theme="1"/>
        <rFont val="Arial"/>
        <family val="2"/>
      </rPr>
      <t>1</t>
    </r>
    <r>
      <rPr>
        <sz val="10"/>
        <color theme="1"/>
        <rFont val="宋体"/>
        <family val="3"/>
        <charset val="134"/>
      </rPr>
      <t>号楼</t>
    </r>
  </si>
  <si>
    <t>钢</t>
  </si>
  <si>
    <r>
      <rPr>
        <sz val="10"/>
        <color theme="1"/>
        <rFont val="Arial"/>
        <family val="2"/>
      </rPr>
      <t>2号楼</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</si>
  <si>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</si>
  <si>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</si>
  <si>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</si>
  <si>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</si>
  <si>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</si>
  <si>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</si>
  <si>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</si>
  <si>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</si>
  <si>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</si>
  <si>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</si>
  <si>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</si>
  <si>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</si>
  <si>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</si>
  <si>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</si>
  <si>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</si>
  <si>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</si>
  <si>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</si>
  <si>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</si>
  <si>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</si>
  <si>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</si>
  <si>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</si>
  <si>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</si>
  <si>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</si>
  <si>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</si>
  <si>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</si>
  <si>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</si>
  <si>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</si>
  <si>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</si>
  <si>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</si>
  <si>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</si>
  <si>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</si>
  <si>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</si>
  <si>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</si>
  <si>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</si>
  <si>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</si>
  <si>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</si>
  <si>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</si>
  <si>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</si>
  <si>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</si>
  <si>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</si>
  <si>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</si>
  <si>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</si>
  <si>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</si>
  <si>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</si>
  <si>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</si>
  <si>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</si>
  <si>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钢结构</t>
  </si>
  <si>
    <r>
      <rPr>
        <sz val="11"/>
        <rFont val="宋体"/>
        <family val="3"/>
        <charset val="134"/>
      </rPr>
      <t>土地开发期</t>
    </r>
  </si>
  <si>
    <t>★默认为已完成的土地开发期★</t>
  </si>
  <si>
    <t>土地面积</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</si>
  <si>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</si>
  <si>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</si>
  <si>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</si>
  <si>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</si>
  <si>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</si>
  <si>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</si>
  <si>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</si>
  <si>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</si>
  <si>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</si>
  <si>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</si>
  <si>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</si>
  <si>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</si>
  <si>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</si>
  <si>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</si>
  <si>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</si>
  <si>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</si>
  <si>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</si>
  <si>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</si>
  <si>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</si>
  <si>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</si>
  <si>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</si>
  <si>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</si>
  <si>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</si>
  <si>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</si>
  <si>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</si>
  <si>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</si>
  <si>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</si>
  <si>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</si>
  <si>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</si>
  <si>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</si>
  <si>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</si>
  <si>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</si>
  <si>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</si>
  <si>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</si>
  <si>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</si>
  <si>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</si>
  <si>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</si>
  <si>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</si>
  <si>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</si>
  <si>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</si>
  <si>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</si>
  <si>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</si>
  <si>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</si>
  <si>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</si>
  <si>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</si>
  <si>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</si>
  <si>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</si>
  <si>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</si>
  <si>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</si>
  <si>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</si>
  <si>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</si>
  <si>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</si>
  <si>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</si>
  <si>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</si>
  <si>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</si>
  <si>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</si>
  <si>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</si>
  <si>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</si>
  <si>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</si>
  <si>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</si>
  <si>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</si>
  <si>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</si>
  <si>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</si>
  <si>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</si>
  <si>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</si>
  <si>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</si>
  <si>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</si>
  <si>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</si>
  <si>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</si>
  <si>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</si>
  <si>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</si>
  <si>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</si>
  <si>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</si>
  <si>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</si>
  <si>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</si>
  <si>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</si>
  <si>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</si>
  <si>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</si>
  <si>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</si>
  <si>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</si>
  <si>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</si>
  <si>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</si>
  <si>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</si>
  <si>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</si>
  <si>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</si>
  <si>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</si>
  <si>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</si>
  <si>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</si>
  <si>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</si>
  <si>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</si>
  <si>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</si>
  <si>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</si>
  <si>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</si>
  <si>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</si>
  <si>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</si>
  <si>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</si>
  <si>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</si>
  <si>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</si>
  <si>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</si>
  <si>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</si>
  <si>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</si>
  <si>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</si>
  <si>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</si>
  <si>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</si>
  <si>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</si>
  <si>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</si>
  <si>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</si>
  <si>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</si>
  <si>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</si>
  <si>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</si>
  <si>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</si>
  <si>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</si>
  <si>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</si>
  <si>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</si>
  <si>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</si>
  <si>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</si>
  <si>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</si>
  <si>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</si>
  <si>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</si>
  <si>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</si>
  <si>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</si>
  <si>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</si>
  <si>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</si>
  <si>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</si>
  <si>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</si>
  <si>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</si>
  <si>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</si>
  <si>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</si>
  <si>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</si>
  <si>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</si>
  <si>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</si>
  <si>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</si>
  <si>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</si>
  <si>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</si>
  <si>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</si>
  <si>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</si>
  <si>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</si>
  <si>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</si>
  <si>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</si>
  <si>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</si>
  <si>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</si>
  <si>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</si>
  <si>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</si>
  <si>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</si>
  <si>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</si>
  <si>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</si>
  <si>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</si>
  <si>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</si>
  <si>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</si>
  <si>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</si>
  <si>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</si>
  <si>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</si>
  <si>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</si>
  <si>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</si>
  <si>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</si>
  <si>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</si>
  <si>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</si>
  <si>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</si>
  <si>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</si>
  <si>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</si>
  <si>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</si>
  <si>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</si>
  <si>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</si>
  <si>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</si>
  <si>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</si>
  <si>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</si>
  <si>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</si>
  <si>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</si>
  <si>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</si>
  <si>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</si>
  <si>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</si>
  <si>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</si>
  <si>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</si>
  <si>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</si>
  <si>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</si>
  <si>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</si>
  <si>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</si>
  <si>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</si>
  <si>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</si>
  <si>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</si>
  <si>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</si>
  <si>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</si>
  <si>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</si>
  <si>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</si>
  <si>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</si>
  <si>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</si>
  <si>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</si>
  <si>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</si>
  <si>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</si>
  <si>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</si>
  <si>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</si>
  <si>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</si>
  <si>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</si>
  <si>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</si>
  <si>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</si>
  <si>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</si>
  <si>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</si>
  <si>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</si>
  <si>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</si>
  <si>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</si>
  <si>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</si>
  <si>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</si>
  <si>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</si>
  <si>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</si>
  <si>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</si>
  <si>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</si>
  <si>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</si>
  <si>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</si>
  <si>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</si>
  <si>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</si>
  <si>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</si>
  <si>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</si>
  <si>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</si>
  <si>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</si>
  <si>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</si>
  <si>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</si>
  <si>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</si>
  <si>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</si>
  <si>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</si>
  <si>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</si>
  <si>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</si>
  <si>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</si>
  <si>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</si>
  <si>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</si>
  <si>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</si>
  <si>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</si>
  <si>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</si>
  <si>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</si>
  <si>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</si>
  <si>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</si>
  <si>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</si>
  <si>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</si>
  <si>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</si>
  <si>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</si>
  <si>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</si>
  <si>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</si>
  <si>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</si>
  <si>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</si>
  <si>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</si>
  <si>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</si>
  <si>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</si>
  <si>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</si>
  <si>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</si>
  <si>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</si>
  <si>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</si>
  <si>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</si>
  <si>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</si>
  <si>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</si>
  <si>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</si>
  <si>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</si>
  <si>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</si>
  <si>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</si>
  <si>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</si>
  <si>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</si>
  <si>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</si>
  <si>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</si>
  <si>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</si>
  <si>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</si>
  <si>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</si>
  <si>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</si>
  <si>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</si>
  <si>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</si>
  <si>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</si>
  <si>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</si>
  <si>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</si>
  <si>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</si>
  <si>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</si>
  <si>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</si>
  <si>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</si>
  <si>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</si>
  <si>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</si>
  <si>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</si>
  <si>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</si>
  <si>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</si>
  <si>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</si>
  <si>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</si>
  <si>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</si>
  <si>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</si>
  <si>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</si>
  <si>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</si>
  <si>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</si>
  <si>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</si>
  <si>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</si>
  <si>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</si>
  <si>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</si>
  <si>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</si>
  <si>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</si>
  <si>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</si>
  <si>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</si>
  <si>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</si>
  <si>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</si>
  <si>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</si>
  <si>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</si>
  <si>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</si>
  <si>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</si>
  <si>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</si>
  <si>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</si>
  <si>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</si>
  <si>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</si>
  <si>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</si>
  <si>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</si>
  <si>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</si>
  <si>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</si>
  <si>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</si>
  <si>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</si>
  <si>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</si>
  <si>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</si>
  <si>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</si>
  <si>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</si>
  <si>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</si>
  <si>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</si>
  <si>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</si>
  <si>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</si>
  <si>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</si>
  <si>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</si>
  <si>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</si>
  <si>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</si>
  <si>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</si>
  <si>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</si>
  <si>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</si>
  <si>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</si>
  <si>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</si>
  <si>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</si>
  <si>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</si>
  <si>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</si>
  <si>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</si>
  <si>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</si>
  <si>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</si>
  <si>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</si>
  <si>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</si>
  <si>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</si>
  <si>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</si>
  <si>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</si>
  <si>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</si>
  <si>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</si>
  <si>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</si>
  <si>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</si>
  <si>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</si>
  <si>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</si>
  <si>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</si>
  <si>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</si>
  <si>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</si>
  <si>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</si>
  <si>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</si>
  <si>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</si>
  <si>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</si>
  <si>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</si>
  <si>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</si>
  <si>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</si>
  <si>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</si>
  <si>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</si>
  <si>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</si>
  <si>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</si>
  <si>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</si>
  <si>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</si>
  <si>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</si>
  <si>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</si>
  <si>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</si>
  <si>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</si>
  <si>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</si>
  <si>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</si>
  <si>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</si>
  <si>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</si>
  <si>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</si>
  <si>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</si>
  <si>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</si>
  <si>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</si>
  <si>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</si>
  <si>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</si>
  <si>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</si>
  <si>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</si>
  <si>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</si>
  <si>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</si>
  <si>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</si>
  <si>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</si>
  <si>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</si>
  <si>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</si>
  <si>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</si>
  <si>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</si>
  <si>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</si>
  <si>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</si>
  <si>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</si>
  <si>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</si>
  <si>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</si>
  <si>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</si>
  <si>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</si>
  <si>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</si>
  <si>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</si>
  <si>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</si>
  <si>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</si>
  <si>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</si>
  <si>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</si>
  <si>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</si>
  <si>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</si>
  <si>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</si>
  <si>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</si>
  <si>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</si>
  <si>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</si>
  <si>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</si>
  <si>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</si>
  <si>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</si>
  <si>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</si>
  <si>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</si>
  <si>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</si>
  <si>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</si>
  <si>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</si>
  <si>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</si>
  <si>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</si>
  <si>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</si>
  <si>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</si>
  <si>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</si>
  <si>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</si>
  <si>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</si>
  <si>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</si>
  <si>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</si>
  <si>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</si>
  <si>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</si>
  <si>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</si>
  <si>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</si>
  <si>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</si>
  <si>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</si>
  <si>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</si>
  <si>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</si>
  <si>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</si>
  <si>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</si>
  <si>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</si>
  <si>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</si>
  <si>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</si>
  <si>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</si>
  <si>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</si>
  <si>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</si>
  <si>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</si>
  <si>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</si>
  <si>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</si>
  <si>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</si>
  <si>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</si>
  <si>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</si>
  <si>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</si>
  <si>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</si>
  <si>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</si>
  <si>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</si>
  <si>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</si>
  <si>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</si>
  <si>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</si>
  <si>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</si>
  <si>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</si>
  <si>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</si>
  <si>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</si>
  <si>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</si>
  <si>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</si>
  <si>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</si>
  <si>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</si>
  <si>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</si>
  <si>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</si>
  <si>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</si>
  <si>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</si>
  <si>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</si>
  <si>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</si>
  <si>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</si>
  <si>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</si>
  <si>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</si>
  <si>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</si>
  <si>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</si>
  <si>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</si>
  <si>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</si>
  <si>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</si>
  <si>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</si>
  <si>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</si>
  <si>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</si>
  <si>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</si>
  <si>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</si>
  <si>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</si>
  <si>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</si>
  <si>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</si>
  <si>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</si>
  <si>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</si>
  <si>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</si>
  <si>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</si>
  <si>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</si>
  <si>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</si>
  <si>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</si>
  <si>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</si>
  <si>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</si>
  <si>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</si>
  <si>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</si>
  <si>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</si>
  <si>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</si>
  <si>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</si>
  <si>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</si>
  <si>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</si>
  <si>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</si>
  <si>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</si>
  <si>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</si>
  <si>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</si>
  <si>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</si>
  <si>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</si>
  <si>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</si>
  <si>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</si>
  <si>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</si>
  <si>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</si>
  <si>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</si>
  <si>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</si>
  <si>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</si>
  <si>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</si>
  <si>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</si>
  <si>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</si>
  <si>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</si>
  <si>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</si>
  <si>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</si>
  <si>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</si>
  <si>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</si>
  <si>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</si>
  <si>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</si>
  <si>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</si>
  <si>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</si>
  <si>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</si>
  <si>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</si>
  <si>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</si>
  <si>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</si>
  <si>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</si>
  <si>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</si>
  <si>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</si>
  <si>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</si>
  <si>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</si>
  <si>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</si>
  <si>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</si>
  <si>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</si>
  <si>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</si>
  <si>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</si>
  <si>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</si>
  <si>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</si>
  <si>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</si>
  <si>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</si>
  <si>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</si>
  <si>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</si>
  <si>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</si>
  <si>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</si>
  <si>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</si>
  <si>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</si>
  <si>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</si>
  <si>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</si>
  <si>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</si>
  <si>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</si>
  <si>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</si>
  <si>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</si>
  <si>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</si>
  <si>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</si>
  <si>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</si>
  <si>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</si>
  <si>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</si>
  <si>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</si>
  <si>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</si>
  <si>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</si>
  <si>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</si>
  <si>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</si>
  <si>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</si>
  <si>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</si>
  <si>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</si>
  <si>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</si>
  <si>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</si>
  <si>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</si>
  <si>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</si>
  <si>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</si>
  <si>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</si>
  <si>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</si>
  <si>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</si>
  <si>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</si>
  <si>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</si>
  <si>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</si>
  <si>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</si>
  <si>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</si>
  <si>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</si>
  <si>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</si>
  <si>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</si>
  <si>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</si>
  <si>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</si>
  <si>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</si>
  <si>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</si>
  <si>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</si>
  <si>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</si>
  <si>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</si>
  <si>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</si>
  <si>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</si>
  <si>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</si>
  <si>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</si>
  <si>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</si>
  <si>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</si>
  <si>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</si>
  <si>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</si>
  <si>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</si>
  <si>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</si>
  <si>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</si>
  <si>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</si>
  <si>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</si>
  <si>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</si>
  <si>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</si>
  <si>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</si>
  <si>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</si>
  <si>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</si>
  <si>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</si>
  <si>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</si>
  <si>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</si>
  <si>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</si>
  <si>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</si>
  <si>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</si>
  <si>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</si>
  <si>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</si>
  <si>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</si>
  <si>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</si>
  <si>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</si>
  <si>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</si>
  <si>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</si>
  <si>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</si>
  <si>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</si>
  <si>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</si>
  <si>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</si>
  <si>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</si>
  <si>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</si>
  <si>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</si>
  <si>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</si>
  <si>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</si>
  <si>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</si>
  <si>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</si>
  <si>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</si>
  <si>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</si>
  <si>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</si>
  <si>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</si>
  <si>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</si>
  <si>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</si>
  <si>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</si>
  <si>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</si>
  <si>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</si>
  <si>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</si>
  <si>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</si>
  <si>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</si>
  <si>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</si>
  <si>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</si>
  <si>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</si>
  <si>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</si>
  <si>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</si>
  <si>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</si>
  <si>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</si>
  <si>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</si>
  <si>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</si>
  <si>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</si>
  <si>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</si>
  <si>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</si>
  <si>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</si>
  <si>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</si>
  <si>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</si>
  <si>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</si>
  <si>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</si>
  <si>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</si>
  <si>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</si>
  <si>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</si>
  <si>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</si>
  <si>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</si>
  <si>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</si>
  <si>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</si>
  <si>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</si>
  <si>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</si>
  <si>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</si>
  <si>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</si>
  <si>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</si>
  <si>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</si>
  <si>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</si>
  <si>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</si>
  <si>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</si>
  <si>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</si>
  <si>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</si>
  <si>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</si>
  <si>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</si>
  <si>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</si>
  <si>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</si>
  <si>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</si>
  <si>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</si>
  <si>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</si>
  <si>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</si>
  <si>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</si>
  <si>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</si>
  <si>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</si>
  <si>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</si>
  <si>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</si>
  <si>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</si>
  <si>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</si>
  <si>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</si>
  <si>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</si>
  <si>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</si>
  <si>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</si>
  <si>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</si>
  <si>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</si>
  <si>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</si>
  <si>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</si>
  <si>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</si>
  <si>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</si>
  <si>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</si>
  <si>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</si>
  <si>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</si>
  <si>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</si>
  <si>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</si>
  <si>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</si>
  <si>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</si>
  <si>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</si>
  <si>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</si>
  <si>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</si>
  <si>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</si>
  <si>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</si>
  <si>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</si>
  <si>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</si>
  <si>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</si>
  <si>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</si>
  <si>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</si>
  <si>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</si>
  <si>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</si>
  <si>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</si>
  <si>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</si>
  <si>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</si>
  <si>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</si>
  <si>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</si>
  <si>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</si>
  <si>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</si>
  <si>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</si>
  <si>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</si>
  <si>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</si>
  <si>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</si>
  <si>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</si>
  <si>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</si>
  <si>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</si>
  <si>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</si>
  <si>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</si>
  <si>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</si>
  <si>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</si>
  <si>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</si>
  <si>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</si>
  <si>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</si>
  <si>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</si>
  <si>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</si>
  <si>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</si>
  <si>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</si>
  <si>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</si>
  <si>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</si>
  <si>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</si>
  <si>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</si>
  <si>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</si>
  <si>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</si>
  <si>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</si>
  <si>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</si>
  <si>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</si>
  <si>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</si>
  <si>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</si>
  <si>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</si>
  <si>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</si>
  <si>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</si>
  <si>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</si>
  <si>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</si>
  <si>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</si>
  <si>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</si>
  <si>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</si>
  <si>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</si>
  <si>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</si>
  <si>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</si>
  <si>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</si>
  <si>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</si>
  <si>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</si>
  <si>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</si>
  <si>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</si>
  <si>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</si>
  <si>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</si>
  <si>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</si>
  <si>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</si>
  <si>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</si>
  <si>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</si>
  <si>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</si>
  <si>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</si>
  <si>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</si>
  <si>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</si>
  <si>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</si>
  <si>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</si>
  <si>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</si>
  <si>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</si>
  <si>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</si>
  <si>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</si>
  <si>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</si>
  <si>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</si>
  <si>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</si>
  <si>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</si>
  <si>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</si>
  <si>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</si>
  <si>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</si>
  <si>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</si>
  <si>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</si>
  <si>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</si>
  <si>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</si>
  <si>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</si>
  <si>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</si>
  <si>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</si>
  <si>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</si>
  <si>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</si>
  <si>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</si>
  <si>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</si>
  <si>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</si>
  <si>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</si>
  <si>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</si>
  <si>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</si>
  <si>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</si>
  <si>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</si>
  <si>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</si>
  <si>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</si>
  <si>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</si>
  <si>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</si>
  <si>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</si>
  <si>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</si>
  <si>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</si>
  <si>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</si>
  <si>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</si>
  <si>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</si>
  <si>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</si>
  <si>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</si>
  <si>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</si>
  <si>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</si>
  <si>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</si>
  <si>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</si>
  <si>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</si>
  <si>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</si>
  <si>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</si>
  <si>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</si>
  <si>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</si>
  <si>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</si>
  <si>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</si>
  <si>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</si>
  <si>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</si>
  <si>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</si>
  <si>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</si>
  <si>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</si>
  <si>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</si>
  <si>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</si>
  <si>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</si>
  <si>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</si>
  <si>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</si>
  <si>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</si>
  <si>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</si>
  <si>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</si>
  <si>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</si>
  <si>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</si>
  <si>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</si>
  <si>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</si>
  <si>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</si>
  <si>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</si>
  <si>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</si>
  <si>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</si>
  <si>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</si>
  <si>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</si>
  <si>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</si>
  <si>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</si>
  <si>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</si>
  <si>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</si>
  <si>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</si>
  <si>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</si>
  <si>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</si>
  <si>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</si>
  <si>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</si>
  <si>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</si>
  <si>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</si>
  <si>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</si>
  <si>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</si>
  <si>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</si>
  <si>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</si>
  <si>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</si>
  <si>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</si>
  <si>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</si>
  <si>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</si>
  <si>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</si>
  <si>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</si>
  <si>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</si>
  <si>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</si>
  <si>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</si>
  <si>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</si>
  <si>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</si>
  <si>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</si>
  <si>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</si>
  <si>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</si>
  <si>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</si>
  <si>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</si>
  <si>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</si>
  <si>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</si>
  <si>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</si>
  <si>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</si>
  <si>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</si>
  <si>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</si>
  <si>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</si>
  <si>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</si>
  <si>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</si>
  <si>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</si>
  <si>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</si>
  <si>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</si>
  <si>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</si>
  <si>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</si>
  <si>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</si>
  <si>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</si>
  <si>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</si>
  <si>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</si>
  <si>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</si>
  <si>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</si>
  <si>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</si>
  <si>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</si>
  <si>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</si>
  <si>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</si>
  <si>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</si>
  <si>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</si>
  <si>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</si>
  <si>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</si>
  <si>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</si>
  <si>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</si>
  <si>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</si>
  <si>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</si>
  <si>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</si>
  <si>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</si>
  <si>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</si>
  <si>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</si>
  <si>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</si>
  <si>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</si>
  <si>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</si>
  <si>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</si>
  <si>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</si>
  <si>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</si>
  <si>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</si>
  <si>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</si>
  <si>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</si>
  <si>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</si>
  <si>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</si>
  <si>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</si>
  <si>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</si>
  <si>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</si>
  <si>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</si>
  <si>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</si>
  <si>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</si>
  <si>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</si>
  <si>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</si>
  <si>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</si>
  <si>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</si>
  <si>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</si>
  <si>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</si>
  <si>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</si>
  <si>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</si>
  <si>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</si>
  <si>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</si>
  <si>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</si>
  <si>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</si>
  <si>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</si>
  <si>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</si>
  <si>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</si>
  <si>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</si>
  <si>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</si>
  <si>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</si>
  <si>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</si>
  <si>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</si>
  <si>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</si>
  <si>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</si>
  <si>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</si>
  <si>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</si>
  <si>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</si>
  <si>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</si>
  <si>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</si>
  <si>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</si>
  <si>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</si>
  <si>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</si>
  <si>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</si>
  <si>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</si>
  <si>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</si>
  <si>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</si>
  <si>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</si>
  <si>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</si>
  <si>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</si>
  <si>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</si>
  <si>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</si>
  <si>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</si>
  <si>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</si>
  <si>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</si>
  <si>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</si>
  <si>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</si>
  <si>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</si>
  <si>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</si>
  <si>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</si>
  <si>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</si>
  <si>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</si>
  <si>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</si>
  <si>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</si>
  <si>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</si>
  <si>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</si>
  <si>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</si>
  <si>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</si>
  <si>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</si>
  <si>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</si>
  <si>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</si>
  <si>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</si>
  <si>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</si>
  <si>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</si>
  <si>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</si>
  <si>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</si>
  <si>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</si>
  <si>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</si>
  <si>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</si>
  <si>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</si>
  <si>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</si>
  <si>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</si>
  <si>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</si>
  <si>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</si>
  <si>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</si>
  <si>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</si>
  <si>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</si>
  <si>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</si>
  <si>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</si>
  <si>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</si>
  <si>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</si>
  <si>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</si>
  <si>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</si>
  <si>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</si>
  <si>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</si>
  <si>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</si>
  <si>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</si>
  <si>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</si>
  <si>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</si>
  <si>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</si>
  <si>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</si>
  <si>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</si>
  <si>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</si>
  <si>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</si>
  <si>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</si>
  <si>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</si>
  <si>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</si>
  <si>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</si>
  <si>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</si>
  <si>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</si>
  <si>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</si>
  <si>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</si>
  <si>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</si>
  <si>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</si>
  <si>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</si>
  <si>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</si>
  <si>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</si>
  <si>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</si>
  <si>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</si>
  <si>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</si>
  <si>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</si>
  <si>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</si>
  <si>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</si>
  <si>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</si>
  <si>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</si>
  <si>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</si>
  <si>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</si>
  <si>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</si>
  <si>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</si>
  <si>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</si>
  <si>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</si>
  <si>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</si>
  <si>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</si>
  <si>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</si>
  <si>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</si>
  <si>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</si>
  <si>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</si>
  <si>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</si>
  <si>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</si>
  <si>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</si>
  <si>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</si>
  <si>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</si>
  <si>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</si>
  <si>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</si>
  <si>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</si>
  <si>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</si>
  <si>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</si>
  <si>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</si>
  <si>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</si>
  <si>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</si>
  <si>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</si>
  <si>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</si>
  <si>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</si>
  <si>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</si>
  <si>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</si>
  <si>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</si>
  <si>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</si>
  <si>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</si>
  <si>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</si>
  <si>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</si>
  <si>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</si>
  <si>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</si>
  <si>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</si>
  <si>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</si>
  <si>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</si>
  <si>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</si>
  <si>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</si>
  <si>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</si>
  <si>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</si>
  <si>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</si>
  <si>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</si>
  <si>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</si>
  <si>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</si>
  <si>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</si>
  <si>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</si>
  <si>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</si>
  <si>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</si>
  <si>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</si>
  <si>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</si>
  <si>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</si>
  <si>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</si>
  <si>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</si>
  <si>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</si>
  <si>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</si>
  <si>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</si>
  <si>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</si>
  <si>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</si>
  <si>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</si>
  <si>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</si>
  <si>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</si>
  <si>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</si>
  <si>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</si>
  <si>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</si>
  <si>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</si>
  <si>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</si>
  <si>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</si>
  <si>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</si>
  <si>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</si>
  <si>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</si>
  <si>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</si>
  <si>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</si>
  <si>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</si>
  <si>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</si>
  <si>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</si>
  <si>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</si>
  <si>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</si>
  <si>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</si>
  <si>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</si>
  <si>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</si>
  <si>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</si>
  <si>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</si>
  <si>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</si>
  <si>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</si>
  <si>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</si>
  <si>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</si>
  <si>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</si>
  <si>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</si>
  <si>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</si>
  <si>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</si>
  <si>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</si>
  <si>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</si>
  <si>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</si>
  <si>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</si>
  <si>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</si>
  <si>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</si>
  <si>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</si>
  <si>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</si>
  <si>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</si>
  <si>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</si>
  <si>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</si>
  <si>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</si>
  <si>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</si>
  <si>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</si>
  <si>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</si>
  <si>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</si>
  <si>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</si>
  <si>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</si>
  <si>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</si>
  <si>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</si>
  <si>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</si>
  <si>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</si>
  <si>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</si>
  <si>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</si>
  <si>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</si>
  <si>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</si>
  <si>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</si>
  <si>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</si>
  <si>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</si>
  <si>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</si>
  <si>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</si>
  <si>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</si>
  <si>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</si>
  <si>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</si>
  <si>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</si>
  <si>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</si>
  <si>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</si>
  <si>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</si>
  <si>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</si>
  <si>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</si>
  <si>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</si>
  <si>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</si>
  <si>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</si>
  <si>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</si>
  <si>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</si>
  <si>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</si>
  <si>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</si>
  <si>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</si>
  <si>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</si>
  <si>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</si>
  <si>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</si>
  <si>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</si>
  <si>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</si>
  <si>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</si>
  <si>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</si>
  <si>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</si>
  <si>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</si>
  <si>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</si>
  <si>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</si>
  <si>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</si>
  <si>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</si>
  <si>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</si>
  <si>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</si>
  <si>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</si>
  <si>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</si>
  <si>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</si>
  <si>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</si>
  <si>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</si>
  <si>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</si>
  <si>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</si>
  <si>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</si>
  <si>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</si>
  <si>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</si>
  <si>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</si>
  <si>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</si>
  <si>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</si>
  <si>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</si>
  <si>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</si>
  <si>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</si>
  <si>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</si>
  <si>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</si>
  <si>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</si>
  <si>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</si>
  <si>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</si>
  <si>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</si>
  <si>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</si>
  <si>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</si>
  <si>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</si>
  <si>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</si>
  <si>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</si>
  <si>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</si>
  <si>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</si>
  <si>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</si>
  <si>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</si>
  <si>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</si>
  <si>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</si>
  <si>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</si>
  <si>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</si>
  <si>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</si>
  <si>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</si>
  <si>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</si>
  <si>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</si>
  <si>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</si>
  <si>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</si>
  <si>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</si>
  <si>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</si>
  <si>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</si>
  <si>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</si>
  <si>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</si>
  <si>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</si>
  <si>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</si>
  <si>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</si>
  <si>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</si>
  <si>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</si>
  <si>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</si>
  <si>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</si>
  <si>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</si>
  <si>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</si>
  <si>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</si>
  <si>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</si>
  <si>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</si>
  <si>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</si>
  <si>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</si>
  <si>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</si>
  <si>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</si>
  <si>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</si>
  <si>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</si>
  <si>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</si>
  <si>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</si>
  <si>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</si>
  <si>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</si>
  <si>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</si>
  <si>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</si>
  <si>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</si>
  <si>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</si>
  <si>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</si>
  <si>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</si>
  <si>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</si>
  <si>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</si>
  <si>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</si>
  <si>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</si>
  <si>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</si>
  <si>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</si>
  <si>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</si>
  <si>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</si>
  <si>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</si>
  <si>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</si>
  <si>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</si>
  <si>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</si>
  <si>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</si>
  <si>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</si>
  <si>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</si>
  <si>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</si>
  <si>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</si>
  <si>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</si>
  <si>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</si>
  <si>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</si>
  <si>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</si>
  <si>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</si>
  <si>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</si>
  <si>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</si>
  <si>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</si>
  <si>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</si>
  <si>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</si>
  <si>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</si>
  <si>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</si>
  <si>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</si>
  <si>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</si>
  <si>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</si>
  <si>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</si>
  <si>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</si>
  <si>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</si>
  <si>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</si>
  <si>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</si>
  <si>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</si>
  <si>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</si>
  <si>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</si>
  <si>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</si>
  <si>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</si>
  <si>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</si>
  <si>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</si>
  <si>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</si>
  <si>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</si>
  <si>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</si>
  <si>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</si>
  <si>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</si>
  <si>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</si>
  <si>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</si>
  <si>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</si>
  <si>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</si>
  <si>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</si>
  <si>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</si>
  <si>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</si>
  <si>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</si>
  <si>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</si>
  <si>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</si>
  <si>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</si>
  <si>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</si>
  <si>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</si>
  <si>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</si>
  <si>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</si>
  <si>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</si>
  <si>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</si>
  <si>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</si>
  <si>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</si>
  <si>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</si>
  <si>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</si>
  <si>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</si>
  <si>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</si>
  <si>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</si>
  <si>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</si>
  <si>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</si>
  <si>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</si>
  <si>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</si>
  <si>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</si>
  <si>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</si>
  <si>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</si>
  <si>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</si>
  <si>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</si>
  <si>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</si>
  <si>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</si>
  <si>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</si>
  <si>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</si>
  <si>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</si>
  <si>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</si>
  <si>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</si>
  <si>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</si>
  <si>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</si>
  <si>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</si>
  <si>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</si>
  <si>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</si>
  <si>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</si>
  <si>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</si>
  <si>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</si>
  <si>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</si>
  <si>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</si>
  <si>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</si>
  <si>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</si>
  <si>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</si>
  <si>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</si>
  <si>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</si>
  <si>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</si>
  <si>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</si>
  <si>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</si>
  <si>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</si>
  <si>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</si>
  <si>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</si>
  <si>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</si>
  <si>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</si>
  <si>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</si>
  <si>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</si>
  <si>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</si>
  <si>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</si>
  <si>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</si>
  <si>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</si>
  <si>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</si>
  <si>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</si>
  <si>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</si>
  <si>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</si>
  <si>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</si>
  <si>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</si>
  <si>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</si>
  <si>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</si>
  <si>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</si>
  <si>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</si>
  <si>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</si>
  <si>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</si>
  <si>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</si>
  <si>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</si>
  <si>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</si>
  <si>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</si>
  <si>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</si>
  <si>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</si>
  <si>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</si>
  <si>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</si>
  <si>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</si>
  <si>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</si>
  <si>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</si>
  <si>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</si>
  <si>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</si>
  <si>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</si>
  <si>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</si>
  <si>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</si>
  <si>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</si>
  <si>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</si>
  <si>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</si>
  <si>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</si>
  <si>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</si>
  <si>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</si>
  <si>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</si>
  <si>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</si>
  <si>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</si>
  <si>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</si>
  <si>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</si>
  <si>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</si>
  <si>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</si>
  <si>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</si>
  <si>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</si>
  <si>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</si>
  <si>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</si>
  <si>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</si>
  <si>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</si>
  <si>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</si>
  <si>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</si>
  <si>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</si>
  <si>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</si>
  <si>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</si>
  <si>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</si>
  <si>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</si>
  <si>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</si>
  <si>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</si>
  <si>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</si>
  <si>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</si>
  <si>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</si>
  <si>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</si>
  <si>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</si>
  <si>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</si>
  <si>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</si>
  <si>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</si>
  <si>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</si>
  <si>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</si>
  <si>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</si>
  <si>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</si>
  <si>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</si>
  <si>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</si>
  <si>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</si>
  <si>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</si>
  <si>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</si>
  <si>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</si>
  <si>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</si>
  <si>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</si>
  <si>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</si>
  <si>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</si>
  <si>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</si>
  <si>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</si>
  <si>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</si>
  <si>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</si>
  <si>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</si>
  <si>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</si>
  <si>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</si>
  <si>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</si>
  <si>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</si>
  <si>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</si>
  <si>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</si>
  <si>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</si>
  <si>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</si>
  <si>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</si>
  <si>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</si>
  <si>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</si>
  <si>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</si>
  <si>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</si>
  <si>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</si>
  <si>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</si>
  <si>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</si>
  <si>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</si>
  <si>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</si>
  <si>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</si>
  <si>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</si>
  <si>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</si>
  <si>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</si>
  <si>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</si>
  <si>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</si>
  <si>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</si>
  <si>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</si>
  <si>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</si>
  <si>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</si>
  <si>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</si>
  <si>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</si>
  <si>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</si>
  <si>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</si>
  <si>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</si>
  <si>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</si>
  <si>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</si>
  <si>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</si>
  <si>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</si>
  <si>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</si>
  <si>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</si>
  <si>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</si>
  <si>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</si>
  <si>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</si>
  <si>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</si>
  <si>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</si>
  <si>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</si>
  <si>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</si>
  <si>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</si>
  <si>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</si>
  <si>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</si>
  <si>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</si>
  <si>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</si>
  <si>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</si>
  <si>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</si>
  <si>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</si>
  <si>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</si>
  <si>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</si>
  <si>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</si>
  <si>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</si>
  <si>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</si>
  <si>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</si>
  <si>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</si>
  <si>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</si>
  <si>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</si>
  <si>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</si>
  <si>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</si>
  <si>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</si>
  <si>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</si>
  <si>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</si>
  <si>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</si>
  <si>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</si>
  <si>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</si>
  <si>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</si>
  <si>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</si>
  <si>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</si>
  <si>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</si>
  <si>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</si>
  <si>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</si>
  <si>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</si>
  <si>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</si>
  <si>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</si>
  <si>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</si>
  <si>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</si>
  <si>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</si>
  <si>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</si>
  <si>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</si>
  <si>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</si>
  <si>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</si>
  <si>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</si>
  <si>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</si>
  <si>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</si>
  <si>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</si>
  <si>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</si>
  <si>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</si>
  <si>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</si>
  <si>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</si>
  <si>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</si>
  <si>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</si>
  <si>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</si>
  <si>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</si>
  <si>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</si>
  <si>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</si>
  <si>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</si>
  <si>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</si>
  <si>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</si>
  <si>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</si>
  <si>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</si>
  <si>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</si>
  <si>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</si>
  <si>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</si>
  <si>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</si>
  <si>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</si>
  <si>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</si>
  <si>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</si>
  <si>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</si>
  <si>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</si>
  <si>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</si>
  <si>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</si>
  <si>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</si>
  <si>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</si>
  <si>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</si>
  <si>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</si>
  <si>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</si>
  <si>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</si>
  <si>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</si>
  <si>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</si>
  <si>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</si>
  <si>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</si>
  <si>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</si>
  <si>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</si>
  <si>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</si>
  <si>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</si>
  <si>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</si>
  <si>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</si>
  <si>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</si>
  <si>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</si>
  <si>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</si>
  <si>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</si>
  <si>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</si>
  <si>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</si>
  <si>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</si>
  <si>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</si>
  <si>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</si>
  <si>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</si>
  <si>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</si>
  <si>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</si>
  <si>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</si>
  <si>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</si>
  <si>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</si>
  <si>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</si>
  <si>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</si>
  <si>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</si>
  <si>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</si>
  <si>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</si>
  <si>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</si>
  <si>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</si>
  <si>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</si>
  <si>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</si>
  <si>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</si>
  <si>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</si>
  <si>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</si>
  <si>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</si>
  <si>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</si>
  <si>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</si>
  <si>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</si>
  <si>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</si>
  <si>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</si>
  <si>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</si>
  <si>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</si>
  <si>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</si>
  <si>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</si>
  <si>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</si>
  <si>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</si>
  <si>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</si>
  <si>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</si>
  <si>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</si>
  <si>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</si>
  <si>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</si>
  <si>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</si>
  <si>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</si>
  <si>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</si>
  <si>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</si>
  <si>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</si>
  <si>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</si>
  <si>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</si>
  <si>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</si>
  <si>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</si>
  <si>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</si>
  <si>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</si>
  <si>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</si>
  <si>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</si>
  <si>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</si>
  <si>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</si>
  <si>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</si>
  <si>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</si>
  <si>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</si>
  <si>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</si>
  <si>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</si>
  <si>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</si>
  <si>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</si>
  <si>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</si>
  <si>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</si>
  <si>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</si>
  <si>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</si>
  <si>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</si>
  <si>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</si>
  <si>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</si>
  <si>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</si>
  <si>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</si>
  <si>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</si>
  <si>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</si>
  <si>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</si>
  <si>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</si>
  <si>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</si>
  <si>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</si>
  <si>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</si>
  <si>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</si>
  <si>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</si>
  <si>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</si>
  <si>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</si>
  <si>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</si>
  <si>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</si>
  <si>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</si>
  <si>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</si>
  <si>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</si>
  <si>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</si>
  <si>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</si>
  <si>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</si>
  <si>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</si>
  <si>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</si>
  <si>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</si>
  <si>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</si>
  <si>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</si>
  <si>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</si>
  <si>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</si>
  <si>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</si>
  <si>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</si>
  <si>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</si>
  <si>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</si>
  <si>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</si>
  <si>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</si>
  <si>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</si>
  <si>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</si>
  <si>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</si>
  <si>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</si>
  <si>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</si>
  <si>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</si>
  <si>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</si>
  <si>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</si>
  <si>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</si>
  <si>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</si>
  <si>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</si>
  <si>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</si>
  <si>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</si>
  <si>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</si>
  <si>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</si>
  <si>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</si>
  <si>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</si>
  <si>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</si>
  <si>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</si>
  <si>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</si>
  <si>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</si>
  <si>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</si>
  <si>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</si>
  <si>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</si>
  <si>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</si>
  <si>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</si>
  <si>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</si>
  <si>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</si>
  <si>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</si>
  <si>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</si>
  <si>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</si>
  <si>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</si>
  <si>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</si>
  <si>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</si>
  <si>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</si>
  <si>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</si>
  <si>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</si>
  <si>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</si>
  <si>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</si>
  <si>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</si>
  <si>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</si>
  <si>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</si>
  <si>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</si>
  <si>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</si>
  <si>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</si>
  <si>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</si>
  <si>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</si>
  <si>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</si>
  <si>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</si>
  <si>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</si>
  <si>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</si>
  <si>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</si>
  <si>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</si>
  <si>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</si>
  <si>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</si>
  <si>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</si>
  <si>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</si>
  <si>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</si>
  <si>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</si>
  <si>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</si>
  <si>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</si>
  <si>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</si>
  <si>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</si>
  <si>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</si>
  <si>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</si>
  <si>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</si>
  <si>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</si>
  <si>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</si>
  <si>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</si>
  <si>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</si>
  <si>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</si>
  <si>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</si>
  <si>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</si>
  <si>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</si>
  <si>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</si>
  <si>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</si>
  <si>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</si>
  <si>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</si>
  <si>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</si>
  <si>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</si>
  <si>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</si>
  <si>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</si>
  <si>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</si>
  <si>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</si>
  <si>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</si>
  <si>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</si>
  <si>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</si>
  <si>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</si>
  <si>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</si>
  <si>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</si>
  <si>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</si>
  <si>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</si>
  <si>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</si>
  <si>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</si>
  <si>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</si>
  <si>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</si>
  <si>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</si>
  <si>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</si>
  <si>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</si>
  <si>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</si>
  <si>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</si>
  <si>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</si>
  <si>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</si>
  <si>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</si>
  <si>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</si>
  <si>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</si>
  <si>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</si>
  <si>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</si>
  <si>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</si>
  <si>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</si>
  <si>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</si>
  <si>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</si>
  <si>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</si>
  <si>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</si>
  <si>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</si>
  <si>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</si>
  <si>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</si>
  <si>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</si>
  <si>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</si>
  <si>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</si>
  <si>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</si>
  <si>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</si>
  <si>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</si>
  <si>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</si>
  <si>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</si>
  <si>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</si>
  <si>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</si>
  <si>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</si>
  <si>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</si>
  <si>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</si>
  <si>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</si>
  <si>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</si>
  <si>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</si>
  <si>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</si>
  <si>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</si>
  <si>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</si>
  <si>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</si>
  <si>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</si>
  <si>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</si>
  <si>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</si>
  <si>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</si>
  <si>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</si>
  <si>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</si>
  <si>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</si>
  <si>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</si>
  <si>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</si>
  <si>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</si>
  <si>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</si>
  <si>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</si>
  <si>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</si>
  <si>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</si>
  <si>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</si>
  <si>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</si>
  <si>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</si>
  <si>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</si>
  <si>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</si>
  <si>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</si>
  <si>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</si>
  <si>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</si>
  <si>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</si>
  <si>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</si>
  <si>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</si>
  <si>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</si>
  <si>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</si>
  <si>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</si>
  <si>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</si>
  <si>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</si>
  <si>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</si>
  <si>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</si>
  <si>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</si>
  <si>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</si>
  <si>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</si>
  <si>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</si>
  <si>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</si>
  <si>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</si>
  <si>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</si>
  <si>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</si>
  <si>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</si>
  <si>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</si>
  <si>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</si>
  <si>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</si>
  <si>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</si>
  <si>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</si>
  <si>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</si>
  <si>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</si>
  <si>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</si>
  <si>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</si>
  <si>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</si>
  <si>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</si>
  <si>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</si>
  <si>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</si>
  <si>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</si>
  <si>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</si>
  <si>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</si>
  <si>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</si>
  <si>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</si>
  <si>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</si>
  <si>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</si>
  <si>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</si>
  <si>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</si>
  <si>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</si>
  <si>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</si>
  <si>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</si>
  <si>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</si>
  <si>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</si>
  <si>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</si>
  <si>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</si>
  <si>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</si>
  <si>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</si>
  <si>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</si>
  <si>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</si>
  <si>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</si>
  <si>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</si>
  <si>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</si>
  <si>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</si>
  <si>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</si>
  <si>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</si>
  <si>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</si>
  <si>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</si>
  <si>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</si>
  <si>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</si>
  <si>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</si>
  <si>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</si>
  <si>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</si>
  <si>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</si>
  <si>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</si>
  <si>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</si>
  <si>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</si>
  <si>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</si>
  <si>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</si>
  <si>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</si>
  <si>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</si>
  <si>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</si>
  <si>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</si>
  <si>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</si>
  <si>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</si>
  <si>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</si>
  <si>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</si>
  <si>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</si>
  <si>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</si>
  <si>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</si>
  <si>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</si>
  <si>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</si>
  <si>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</si>
  <si>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</si>
  <si>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</si>
  <si>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</si>
  <si>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</si>
  <si>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</si>
  <si>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</si>
  <si>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</si>
  <si>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</si>
  <si>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</si>
  <si>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</si>
  <si>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</si>
  <si>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</si>
  <si>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</si>
  <si>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</si>
  <si>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</si>
  <si>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</si>
  <si>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</si>
  <si>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</si>
  <si>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</si>
  <si>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</si>
  <si>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</si>
  <si>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</si>
  <si>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</si>
  <si>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</si>
  <si>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</si>
  <si>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</si>
  <si>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</si>
  <si>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</si>
  <si>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</si>
  <si>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</si>
  <si>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</si>
  <si>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</si>
  <si>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</si>
  <si>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</si>
  <si>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</si>
  <si>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</si>
  <si>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</si>
  <si>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</si>
  <si>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</si>
  <si>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</si>
  <si>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</si>
  <si>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</si>
  <si>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</si>
  <si>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</si>
  <si>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</si>
  <si>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</si>
  <si>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</si>
  <si>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</si>
  <si>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</si>
  <si>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</si>
  <si>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</si>
  <si>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</si>
  <si>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</si>
  <si>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</si>
  <si>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</si>
  <si>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</si>
  <si>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</si>
  <si>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</si>
  <si>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</si>
  <si>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</si>
  <si>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</si>
  <si>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</si>
  <si>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</si>
  <si>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</si>
  <si>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</si>
  <si>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</si>
  <si>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</si>
  <si>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</si>
  <si>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</si>
  <si>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</si>
  <si>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</si>
  <si>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</si>
  <si>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</si>
  <si>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</si>
  <si>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</si>
  <si>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</si>
  <si>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</si>
  <si>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</si>
  <si>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</si>
  <si>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</si>
  <si>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</si>
  <si>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</si>
  <si>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</si>
  <si>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</si>
  <si>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</si>
  <si>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</si>
  <si>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</si>
  <si>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</si>
  <si>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</si>
  <si>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</si>
  <si>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</si>
  <si>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</si>
  <si>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</si>
  <si>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</si>
  <si>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</si>
  <si>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</si>
  <si>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</si>
  <si>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</si>
  <si>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</si>
  <si>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</si>
  <si>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</si>
  <si>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</si>
  <si>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</si>
  <si>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</si>
  <si>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</si>
  <si>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</si>
  <si>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</si>
  <si>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</si>
  <si>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</si>
  <si>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</si>
  <si>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</si>
  <si>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</si>
  <si>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</si>
  <si>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</si>
  <si>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</si>
  <si>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</si>
  <si>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</si>
  <si>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</si>
  <si>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</si>
  <si>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</si>
  <si>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</si>
  <si>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</si>
  <si>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</si>
  <si>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</si>
  <si>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</si>
  <si>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</si>
  <si>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</si>
  <si>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</si>
  <si>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亩</t>
    <phoneticPr fontId="230" type="noConversion"/>
  </si>
  <si>
    <r>
      <rPr>
        <sz val="10"/>
        <color indexed="8"/>
        <rFont val="宋体"/>
        <family val="3"/>
        <charset val="134"/>
      </rPr>
      <t>万</t>
    </r>
    <r>
      <rPr>
        <sz val="10"/>
        <color indexed="8"/>
        <rFont val="Arial"/>
        <family val="2"/>
      </rPr>
      <t>/</t>
    </r>
    <r>
      <rPr>
        <sz val="10"/>
        <color indexed="8"/>
        <rFont val="宋体"/>
        <family val="3"/>
        <charset val="134"/>
      </rPr>
      <t>亩</t>
    </r>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</si>
</sst>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1"/>
      <color indexed="10"/>
      <name val="宋体"/>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indexed="53"/>
      <name val="宋体"/>
      <family val="3"/>
      <charset val="134"/>
    </font>
    <font>
      <b/>
      <sz val="10"/>
      <color indexed="8"/>
      <name val="宋体"/>
      <family val="3"/>
      <charset val="134"/>
    </font>
    <font>
      <sz val="11"/>
      <name val="宋体"/>
      <family val="3"/>
      <charset val="134"/>
    </font>
    <font>
      <vertAlign val="subscript"/>
      <sz val="10"/>
      <color theme="1"/>
      <name val="Arial"/>
      <family val="2"/>
    </font>
    <font>
      <sz val="11"/>
      <color theme="9" tint="-0.249977111117893"/>
      <name val="宋体"/>
      <family val="3"/>
      <charset val="134"/>
    </font>
    <font>
      <b/>
      <sz val="11"/>
      <color indexed="8"/>
      <name val="宋体"/>
      <family val="3"/>
      <charset val="134"/>
    </font>
    <font>
      <b/>
      <sz val="14"/>
      <color theme="1"/>
      <name val="宋体"/>
      <family val="3"/>
      <charset val="134"/>
    </font>
    <font>
      <sz val="12"/>
      <color rgb="FF000000"/>
      <name val="宋体"/>
      <family val="3"/>
      <charset val="134"/>
    </font>
    <font>
      <sz val="9"/>
      <color indexed="8"/>
      <name val="仿宋_GB2312"/>
      <family val="3"/>
      <charset val="134"/>
    </font>
    <font>
      <b/>
      <i/>
      <sz val="14"/>
      <color theme="3" tint="0.39994506668294322"/>
      <name val="宋体"/>
      <family val="3"/>
      <charset val="134"/>
    </font>
    <font>
      <sz val="10"/>
      <color theme="9" tint="-0.249977111117893"/>
      <name val="宋体"/>
      <family val="3"/>
      <charset val="134"/>
    </font>
    <font>
      <b/>
      <sz val="11"/>
      <color theme="1"/>
      <name val="宋体"/>
      <family val="3"/>
      <charset val="134"/>
    </font>
    <font>
      <sz val="14"/>
      <color theme="1"/>
      <name val="宋体"/>
      <family val="3"/>
      <charset val="134"/>
    </font>
    <font>
      <b/>
      <sz val="11"/>
      <name val="宋体"/>
      <family val="3"/>
      <charset val="134"/>
    </font>
    <font>
      <sz val="8"/>
      <color indexed="8"/>
      <name val="仿宋_GB2312"/>
      <family val="3"/>
      <charset val="134"/>
    </font>
    <font>
      <sz val="10"/>
      <color rgb="FF707070"/>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b/>
      <sz val="14"/>
      <color rgb="FF000000"/>
      <name val="宋体"/>
      <family val="3"/>
      <charset val="134"/>
    </font>
    <font>
      <b/>
      <sz val="10"/>
      <color indexed="10"/>
      <name val="楷体_GB2312"/>
      <family val="3"/>
      <charset val="134"/>
    </font>
    <font>
      <b/>
      <sz val="10"/>
      <color indexed="53"/>
      <name val="宋体"/>
      <family val="3"/>
      <charset val="134"/>
    </font>
    <font>
      <sz val="8"/>
      <color indexed="8"/>
      <name val="宋体"/>
      <family val="3"/>
      <charset val="134"/>
    </font>
    <font>
      <b/>
      <sz val="18"/>
      <color theme="1"/>
      <name val="宋体"/>
      <family val="3"/>
      <charset val="134"/>
    </font>
    <font>
      <b/>
      <vertAlign val="subscript"/>
      <sz val="10"/>
      <name val="宋体"/>
      <family val="3"/>
      <charset val="134"/>
    </font>
    <font>
      <sz val="10"/>
      <color rgb="FF000000"/>
      <name val="宋体"/>
      <family val="3"/>
      <charset val="134"/>
    </font>
    <font>
      <sz val="10"/>
      <color rgb="FFFF0000"/>
      <name val="楷体_GB2312"/>
      <family val="3"/>
      <charset val="134"/>
    </font>
    <font>
      <b/>
      <sz val="16"/>
      <color indexed="10"/>
      <name val="宋体"/>
      <family val="3"/>
      <charset val="134"/>
    </font>
    <font>
      <sz val="10"/>
      <color indexed="10"/>
      <name val="宋体"/>
      <family val="3"/>
      <charset val="134"/>
    </font>
    <font>
      <sz val="12"/>
      <color theme="1"/>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sz val="14"/>
      <color rgb="FFFF0000"/>
      <name val="宋体"/>
      <family val="3"/>
      <charset val="134"/>
    </font>
    <font>
      <b/>
      <vertAlign val="subscript"/>
      <sz val="10"/>
      <name val="楷体_GB2312"/>
      <family val="3"/>
      <charset val="134"/>
    </font>
    <font>
      <i/>
      <sz val="10"/>
      <name val="楷体_GB2312"/>
      <family val="3"/>
      <charset val="134"/>
    </font>
    <font>
      <b/>
      <sz val="10"/>
      <color indexed="10"/>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sz val="14"/>
      <color theme="9" tint="-0.249977111117893"/>
      <name val="宋体"/>
      <family val="3"/>
      <charset val="134"/>
    </font>
    <font>
      <vertAlign val="superscript"/>
      <sz val="10"/>
      <color theme="1"/>
      <name val="Arial"/>
      <family val="2"/>
    </font>
    <font>
      <sz val="10"/>
      <color indexed="8"/>
      <name val="楷体_GB2312"/>
      <family val="3"/>
      <charset val="134"/>
    </font>
    <font>
      <vertAlign val="subscript"/>
      <sz val="10"/>
      <color indexed="8"/>
      <name val="宋体"/>
      <family val="3"/>
      <charset val="134"/>
    </font>
    <font>
      <b/>
      <i/>
      <sz val="11"/>
      <color theme="3" tint="0.39994506668294322"/>
      <name val="宋体"/>
      <family val="3"/>
      <charset val="134"/>
    </font>
    <font>
      <b/>
      <sz val="16"/>
      <color indexed="10"/>
      <name val="楷体_GB2312"/>
      <family val="3"/>
      <charset val="134"/>
    </font>
    <font>
      <vertAlign val="superscript"/>
      <sz val="10"/>
      <color theme="1"/>
      <name val="宋体"/>
      <family val="3"/>
      <charset val="134"/>
    </font>
    <font>
      <i/>
      <sz val="10"/>
      <name val="宋体"/>
      <family val="3"/>
      <charset val="134"/>
    </font>
    <font>
      <b/>
      <vertAlign val="subscript"/>
      <sz val="10"/>
      <name val="Arial"/>
      <family val="2"/>
    </font>
    <font>
      <i/>
      <sz val="14"/>
      <color theme="3" tint="0.39994506668294322"/>
      <name val="宋体"/>
      <family val="3"/>
      <charset val="134"/>
    </font>
    <font>
      <sz val="9"/>
      <color indexed="8"/>
      <name val="宋体"/>
      <family val="3"/>
      <charset val="134"/>
    </font>
    <font>
      <b/>
      <sz val="18"/>
      <color indexed="10"/>
      <name val="΢ȭхڬˎ̥"/>
      <charset val="134"/>
    </font>
    <font>
      <sz val="11"/>
      <color indexed="10"/>
      <name val="宋体"/>
      <family val="3"/>
      <charset val="134"/>
    </font>
    <font>
      <sz val="12"/>
      <name val="楷体_GB2312"/>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0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9"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1"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1"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6"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5"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188" fontId="55" fillId="7" borderId="0" xfId="0" applyNumberFormat="1" applyFont="1" applyFill="1" applyProtection="1">
      <alignment vertical="center"/>
      <protection locked="0"/>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0" fontId="117" fillId="0" borderId="0" xfId="0" applyFont="1" applyAlignment="1">
      <alignment horizontal="left" vertical="center"/>
    </xf>
    <xf numFmtId="14" fontId="24" fillId="0" borderId="0" xfId="0" applyNumberFormat="1" applyFont="1" applyAlignment="1">
      <alignment horizontal="left" vertical="center"/>
    </xf>
    <xf numFmtId="0" fontId="8" fillId="0" borderId="0" xfId="0" applyFont="1" applyAlignment="1">
      <alignment horizontal="left" vertical="center"/>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19"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7" xfId="16" applyFont="1" applyBorder="1" applyAlignment="1">
      <alignment vertical="center" wrapText="1"/>
    </xf>
    <xf numFmtId="0" fontId="76" fillId="0" borderId="134" xfId="16" applyFont="1" applyBorder="1" applyAlignment="1">
      <alignment horizontal="left"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8" fillId="13" borderId="0" xfId="0" applyFont="1" applyFill="1" applyProtection="1">
      <alignment vertical="center"/>
      <protection locked="0"/>
    </xf>
    <xf numFmtId="0" fontId="231" fillId="13" borderId="0" xfId="0" applyFont="1" applyFill="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18</xdr:row>
      <xdr:rowOff>142875</xdr:rowOff>
    </xdr:from>
    <xdr:to>
      <xdr:col>10</xdr:col>
      <xdr:colOff>370290</xdr:colOff>
      <xdr:row>62</xdr:row>
      <xdr:rowOff>37223</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228600" y="3057525"/>
          <a:ext cx="9476105" cy="7018655"/>
        </a:xfrm>
        <a:prstGeom prst="rect">
          <a:avLst/>
        </a:prstGeom>
      </xdr:spPr>
    </xdr:pic>
    <xdr:clientData/>
  </xdr:twoCellAnchor>
  <xdr:twoCellAnchor editAs="oneCell">
    <xdr:from>
      <xdr:col>0</xdr:col>
      <xdr:colOff>333375</xdr:colOff>
      <xdr:row>63</xdr:row>
      <xdr:rowOff>66675</xdr:rowOff>
    </xdr:from>
    <xdr:to>
      <xdr:col>10</xdr:col>
      <xdr:colOff>151256</xdr:colOff>
      <xdr:row>83</xdr:row>
      <xdr:rowOff>161508</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333375" y="10267950"/>
          <a:ext cx="9152255" cy="3333115"/>
        </a:xfrm>
        <a:prstGeom prst="rect">
          <a:avLst/>
        </a:prstGeom>
      </xdr:spPr>
    </xdr:pic>
    <xdr:clientData/>
  </xdr:twoCellAnchor>
  <xdr:twoCellAnchor editAs="oneCell">
    <xdr:from>
      <xdr:col>0</xdr:col>
      <xdr:colOff>419100</xdr:colOff>
      <xdr:row>84</xdr:row>
      <xdr:rowOff>76200</xdr:rowOff>
    </xdr:from>
    <xdr:to>
      <xdr:col>10</xdr:col>
      <xdr:colOff>646505</xdr:colOff>
      <xdr:row>127</xdr:row>
      <xdr:rowOff>103901</xdr:rowOff>
    </xdr:to>
    <xdr:pic>
      <xdr:nvPicPr>
        <xdr:cNvPr id="4" name="图片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419100" y="13677900"/>
          <a:ext cx="9561830"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估价对象为北京市房地产，为所有。根据《国有土地使用证》[]，估价对象（分摊）出让国有建设用地使用权面积为67351.83平方米，建筑面积为12749.85平方米。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估价对象为北京市房地产,属开发建设的，该项目尚在开发建设中。根据《国有土地使用证》[]，估价对象（分摊）出让国有建设用地使用权面积为67351.83平方米，规划建筑面积为12749.85平方米。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2025年5月14日</v>
      </c>
    </row>
    <row r="13" spans="1:2">
      <c r="A13" s="3160" t="s">
        <v>13</v>
      </c>
      <c r="B13" s="3161"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14031</v>
      </c>
    </row>
    <row r="21" spans="1:2">
      <c r="A21" s="3160" t="s">
        <v>21</v>
      </c>
      <c r="B21" s="3161">
        <f ca="1">'预评函-2'!D7</f>
        <v>11005</v>
      </c>
    </row>
    <row r="22" spans="1:2">
      <c r="A22" s="3160" t="s">
        <v>22</v>
      </c>
      <c r="B22" s="3161" t="str">
        <f ca="1">'预评函-2'!D6</f>
        <v>壹亿肆仟零叁拾壹万元整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14031</v>
      </c>
    </row>
    <row r="31" spans="1:2">
      <c r="A31" s="3160" t="s">
        <v>31</v>
      </c>
      <c r="B31" s="3161">
        <f ca="1">'预评函-2'!D15</f>
        <v>11005</v>
      </c>
    </row>
    <row r="32" spans="1:2">
      <c r="A32" s="3160" t="s">
        <v>32</v>
      </c>
      <c r="B32" s="3161" t="str">
        <f ca="1">'预评函-2'!D14</f>
        <v>壹亿肆仟零叁拾壹万元整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12749.85</v>
      </c>
    </row>
    <row r="44" spans="1:2">
      <c r="A44" s="3160" t="s">
        <v>44</v>
      </c>
      <c r="B44" s="3161" t="str">
        <f>'预评函-3'!C2</f>
        <v>(分摊)土地面积</v>
      </c>
    </row>
    <row r="45" spans="1:2">
      <c r="A45" s="3160" t="s">
        <v>45</v>
      </c>
      <c r="B45" s="3161">
        <f>'预评函-3'!C4</f>
        <v>67351.83</v>
      </c>
    </row>
    <row r="46" spans="1:2">
      <c r="A46" s="3160" t="s">
        <v>46</v>
      </c>
      <c r="B46" s="3161" t="str">
        <f>'预评函-3'!D2</f>
        <v>出让国有建设用地使用权价值</v>
      </c>
    </row>
    <row r="47" spans="1:2">
      <c r="A47" s="3160" t="s">
        <v>47</v>
      </c>
      <c r="B47" s="3161">
        <f ca="1">'预评函-3'!D4</f>
        <v>11141</v>
      </c>
    </row>
    <row r="48" spans="1:2">
      <c r="A48" s="3160" t="s">
        <v>48</v>
      </c>
      <c r="B48" s="3161">
        <f ca="1">'预评函-3'!E4</f>
        <v>8738</v>
      </c>
    </row>
    <row r="49" spans="1:2">
      <c r="A49" s="3160" t="s">
        <v>49</v>
      </c>
      <c r="B49" s="3161" t="str">
        <f ca="1">'预评函-3'!D5</f>
        <v>壹亿壹仟壹佰肆拾壹万元整</v>
      </c>
    </row>
    <row r="50" spans="1:2">
      <c r="A50" s="3160" t="s">
        <v>50</v>
      </c>
      <c r="B50" s="3161" t="str">
        <f>'预评函-3'!F2</f>
        <v>在建建筑物价值</v>
      </c>
    </row>
    <row r="51" spans="1:2">
      <c r="A51" s="3160" t="s">
        <v>51</v>
      </c>
      <c r="B51" s="3161">
        <f ca="1">'预评函-3'!F4</f>
        <v>2890</v>
      </c>
    </row>
    <row r="52" spans="1:2">
      <c r="A52" s="3160" t="s">
        <v>52</v>
      </c>
      <c r="B52" s="3161">
        <f ca="1">'预评函-3'!G4</f>
        <v>2267</v>
      </c>
    </row>
    <row r="53" spans="1:2">
      <c r="A53" s="3160" t="s">
        <v>53</v>
      </c>
      <c r="B53" s="3161" t="str">
        <f ca="1">'预评函-3'!F5</f>
        <v>贰仟捌佰玖拾万元整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4" customWidth="1"/>
    <col min="2" max="2" width="23.25" style="262"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style="262" customWidth="1"/>
    <col min="25" max="16384" width="9" style="262"/>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51" t="s">
        <v>124</v>
      </c>
      <c r="B2" s="3051" t="s">
        <v>229</v>
      </c>
      <c r="C2" s="3052"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51" t="s">
        <v>239</v>
      </c>
      <c r="B3" s="3053" t="s">
        <v>240</v>
      </c>
      <c r="C3" s="3052"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51" t="s">
        <v>249</v>
      </c>
      <c r="B4" s="3051" t="s">
        <v>250</v>
      </c>
      <c r="C4" s="3052"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51" t="s">
        <v>257</v>
      </c>
      <c r="B5" s="3051" t="s">
        <v>258</v>
      </c>
      <c r="C5" s="3052"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51" t="s">
        <v>265</v>
      </c>
      <c r="B6" s="3053" t="s">
        <v>266</v>
      </c>
      <c r="C6" s="3054"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51" t="s">
        <v>271</v>
      </c>
      <c r="B7" s="3053" t="s">
        <v>272</v>
      </c>
      <c r="C7" s="3052" t="s">
        <v>273</v>
      </c>
      <c r="F7" s="3046" t="s">
        <v>274</v>
      </c>
      <c r="H7" s="3046" t="s">
        <v>162</v>
      </c>
      <c r="I7" s="3046" t="s">
        <v>275</v>
      </c>
    </row>
    <row r="8" spans="1:23">
      <c r="A8" s="3051" t="s">
        <v>276</v>
      </c>
      <c r="B8" s="3051" t="s">
        <v>277</v>
      </c>
      <c r="C8" s="3052" t="s">
        <v>278</v>
      </c>
      <c r="F8" s="3046" t="s">
        <v>279</v>
      </c>
      <c r="H8" s="3046" t="s">
        <v>280</v>
      </c>
      <c r="I8" s="3046" t="s">
        <v>281</v>
      </c>
    </row>
    <row r="9" spans="1:23">
      <c r="A9" s="3051" t="s">
        <v>282</v>
      </c>
      <c r="B9" s="3051" t="s">
        <v>283</v>
      </c>
      <c r="C9" s="3052" t="s">
        <v>284</v>
      </c>
      <c r="F9" s="3046" t="s">
        <v>164</v>
      </c>
      <c r="H9" s="3046"/>
      <c r="I9" s="3045" t="s">
        <v>285</v>
      </c>
    </row>
    <row r="10" spans="1:23">
      <c r="A10" s="3051" t="s">
        <v>286</v>
      </c>
      <c r="B10" s="3051" t="s">
        <v>287</v>
      </c>
      <c r="C10" s="3052" t="s">
        <v>288</v>
      </c>
      <c r="F10" s="3046" t="s">
        <v>280</v>
      </c>
      <c r="I10" s="3045" t="s">
        <v>289</v>
      </c>
    </row>
    <row r="11" spans="1:23">
      <c r="A11" s="3051" t="s">
        <v>290</v>
      </c>
      <c r="B11" s="3051" t="s">
        <v>291</v>
      </c>
      <c r="C11" s="3052" t="s">
        <v>292</v>
      </c>
      <c r="F11" s="3046" t="s">
        <v>124</v>
      </c>
      <c r="I11" s="3045" t="s">
        <v>293</v>
      </c>
    </row>
    <row r="12" spans="1:23">
      <c r="A12" s="3051" t="s">
        <v>294</v>
      </c>
      <c r="B12" s="3051" t="s">
        <v>295</v>
      </c>
      <c r="C12" s="3052" t="s">
        <v>296</v>
      </c>
      <c r="I12" s="3045" t="s">
        <v>297</v>
      </c>
    </row>
    <row r="13" spans="1:23">
      <c r="A13" s="3051" t="s">
        <v>298</v>
      </c>
      <c r="B13" s="3051" t="s">
        <v>299</v>
      </c>
      <c r="C13" s="3052" t="s">
        <v>300</v>
      </c>
      <c r="I13" s="3045" t="s">
        <v>301</v>
      </c>
    </row>
    <row r="14" spans="1:23">
      <c r="A14" s="3051" t="s">
        <v>302</v>
      </c>
      <c r="B14" s="3051" t="s">
        <v>303</v>
      </c>
      <c r="C14" s="3046" t="s">
        <v>124</v>
      </c>
      <c r="I14" s="3045" t="s">
        <v>304</v>
      </c>
    </row>
    <row r="15" spans="1:23">
      <c r="A15" s="3051" t="s">
        <v>305</v>
      </c>
      <c r="B15" s="3051" t="s">
        <v>306</v>
      </c>
      <c r="C15" s="3052"/>
      <c r="I15" s="3045" t="s">
        <v>307</v>
      </c>
    </row>
    <row r="16" spans="1:23">
      <c r="A16" s="3051" t="s">
        <v>308</v>
      </c>
      <c r="B16" s="3051" t="s">
        <v>309</v>
      </c>
      <c r="C16" s="3052"/>
    </row>
    <row r="17" spans="1:3">
      <c r="A17" s="3051" t="s">
        <v>310</v>
      </c>
      <c r="B17" s="3051" t="s">
        <v>311</v>
      </c>
      <c r="C17" s="3052"/>
    </row>
    <row r="18" spans="1:3">
      <c r="A18" s="3051" t="s">
        <v>312</v>
      </c>
      <c r="B18" s="3051" t="s">
        <v>313</v>
      </c>
      <c r="C18" s="3052"/>
    </row>
    <row r="19" spans="1:3">
      <c r="A19" s="3051" t="s">
        <v>314</v>
      </c>
      <c r="B19" s="3051" t="s">
        <v>315</v>
      </c>
      <c r="C19" s="3052"/>
    </row>
    <row r="20" spans="1:3">
      <c r="A20" s="3051" t="s">
        <v>316</v>
      </c>
      <c r="B20" s="3051" t="s">
        <v>315</v>
      </c>
      <c r="C20" s="3052"/>
    </row>
    <row r="21" spans="1:3">
      <c r="A21" s="3051" t="s">
        <v>260</v>
      </c>
      <c r="B21" s="3051" t="s">
        <v>315</v>
      </c>
      <c r="C21" s="3052"/>
    </row>
    <row r="22" spans="1:3">
      <c r="A22" s="3051" t="s">
        <v>317</v>
      </c>
      <c r="B22" s="3051" t="s">
        <v>315</v>
      </c>
      <c r="C22" s="3052"/>
    </row>
    <row r="23" spans="1:3">
      <c r="A23" s="3051" t="s">
        <v>318</v>
      </c>
      <c r="B23" s="3051" t="s">
        <v>315</v>
      </c>
      <c r="C23" s="3052"/>
    </row>
    <row r="24" spans="1:3">
      <c r="A24" s="3051" t="s">
        <v>319</v>
      </c>
      <c r="B24" s="3051" t="s">
        <v>315</v>
      </c>
      <c r="C24" s="3052"/>
    </row>
    <row r="25" spans="1:3">
      <c r="A25" s="3051" t="s">
        <v>320</v>
      </c>
      <c r="B25" s="3051" t="s">
        <v>315</v>
      </c>
      <c r="C25" s="3052"/>
    </row>
    <row r="26" spans="1:3">
      <c r="A26" s="3051" t="s">
        <v>321</v>
      </c>
      <c r="B26" s="3051" t="s">
        <v>315</v>
      </c>
      <c r="C26" s="3052"/>
    </row>
    <row r="27" spans="1:3">
      <c r="A27" s="3051" t="s">
        <v>315</v>
      </c>
      <c r="B27" s="3051" t="s">
        <v>315</v>
      </c>
      <c r="C27" s="3052"/>
    </row>
    <row r="28" spans="1:3">
      <c r="A28" s="3051" t="s">
        <v>315</v>
      </c>
      <c r="B28" s="3051" t="s">
        <v>315</v>
      </c>
      <c r="C28" s="3052"/>
    </row>
    <row r="29" spans="1:3">
      <c r="A29" s="3051" t="s">
        <v>315</v>
      </c>
      <c r="B29" s="3051" t="s">
        <v>315</v>
      </c>
      <c r="C29" s="3052"/>
    </row>
    <row r="30" spans="1:3">
      <c r="A30" s="3051" t="s">
        <v>315</v>
      </c>
      <c r="B30" s="3051" t="s">
        <v>315</v>
      </c>
      <c r="C30" s="3052"/>
    </row>
    <row r="31" spans="1:3">
      <c r="A31" s="3051" t="s">
        <v>315</v>
      </c>
      <c r="B31" s="3051" t="s">
        <v>315</v>
      </c>
      <c r="C31" s="3052"/>
    </row>
    <row r="32" spans="1:3">
      <c r="A32" s="3051" t="s">
        <v>315</v>
      </c>
      <c r="B32" s="3051" t="s">
        <v>315</v>
      </c>
      <c r="C32" s="3052"/>
    </row>
    <row r="33" spans="1:3">
      <c r="A33" s="3051" t="s">
        <v>315</v>
      </c>
      <c r="B33" s="3051" t="s">
        <v>315</v>
      </c>
      <c r="C33" s="3052"/>
    </row>
    <row r="34" spans="1:3">
      <c r="A34" s="3051" t="s">
        <v>315</v>
      </c>
      <c r="B34" s="3051" t="s">
        <v>315</v>
      </c>
      <c r="C34" s="3052"/>
    </row>
    <row r="35" spans="1:3">
      <c r="A35" s="3051" t="s">
        <v>315</v>
      </c>
      <c r="B35" s="3051" t="s">
        <v>315</v>
      </c>
      <c r="C35" s="3052"/>
    </row>
    <row r="36" spans="1:3">
      <c r="A36" s="3051" t="s">
        <v>315</v>
      </c>
      <c r="B36" s="3051" t="s">
        <v>315</v>
      </c>
      <c r="C36" s="3052"/>
    </row>
    <row r="37" spans="1:3">
      <c r="A37" s="3051" t="s">
        <v>315</v>
      </c>
      <c r="B37" s="3051" t="s">
        <v>315</v>
      </c>
      <c r="C37" s="3052"/>
    </row>
    <row r="38" spans="1:3">
      <c r="A38" s="3051" t="s">
        <v>315</v>
      </c>
      <c r="B38" s="3051" t="s">
        <v>315</v>
      </c>
      <c r="C38" s="3052"/>
    </row>
    <row r="39" spans="1:3">
      <c r="A39" s="3051" t="s">
        <v>315</v>
      </c>
      <c r="B39" s="3051" t="s">
        <v>315</v>
      </c>
      <c r="C39" s="3052"/>
    </row>
    <row r="40" spans="1:3">
      <c r="A40" s="3051" t="s">
        <v>315</v>
      </c>
      <c r="B40" s="3051" t="s">
        <v>315</v>
      </c>
      <c r="C40" s="3052"/>
    </row>
    <row r="41" spans="1:3">
      <c r="A41" s="3051" t="s">
        <v>315</v>
      </c>
      <c r="B41" s="3051" t="s">
        <v>315</v>
      </c>
      <c r="C41" s="3052"/>
    </row>
    <row r="42" spans="1:3">
      <c r="A42" s="3051" t="s">
        <v>315</v>
      </c>
      <c r="B42" s="3051" t="s">
        <v>315</v>
      </c>
      <c r="C42" s="3052"/>
    </row>
    <row r="43" spans="1:3">
      <c r="A43" s="3051" t="s">
        <v>315</v>
      </c>
      <c r="B43" s="3051" t="s">
        <v>315</v>
      </c>
      <c r="C43" s="3052"/>
    </row>
    <row r="44" spans="1:3">
      <c r="A44" s="3051" t="s">
        <v>315</v>
      </c>
      <c r="B44" s="3051" t="s">
        <v>315</v>
      </c>
      <c r="C44" s="3052"/>
    </row>
    <row r="45" spans="1:3">
      <c r="A45" s="3051" t="s">
        <v>315</v>
      </c>
      <c r="B45" s="3051" t="s">
        <v>315</v>
      </c>
      <c r="C45" s="3052"/>
    </row>
    <row r="46" spans="1:3">
      <c r="A46" s="3051" t="s">
        <v>315</v>
      </c>
      <c r="B46" s="3051" t="s">
        <v>315</v>
      </c>
      <c r="C46" s="3052"/>
    </row>
    <row r="47" spans="1:3">
      <c r="A47" s="3051" t="s">
        <v>315</v>
      </c>
      <c r="B47" s="3051" t="s">
        <v>315</v>
      </c>
      <c r="C47" s="3052"/>
    </row>
    <row r="48" spans="1:3">
      <c r="A48" s="3051" t="s">
        <v>315</v>
      </c>
      <c r="B48" s="3051" t="s">
        <v>315</v>
      </c>
      <c r="C48" s="3052"/>
    </row>
    <row r="49" spans="1:4">
      <c r="A49" s="3051" t="s">
        <v>315</v>
      </c>
      <c r="B49" s="3051" t="s">
        <v>315</v>
      </c>
      <c r="C49" s="3052"/>
    </row>
    <row r="50" spans="1:4">
      <c r="A50" s="3051" t="s">
        <v>315</v>
      </c>
      <c r="B50" s="3051" t="s">
        <v>315</v>
      </c>
      <c r="C50" s="3052"/>
    </row>
    <row r="51" spans="1:4">
      <c r="A51" s="3055" t="s">
        <v>322</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5" t="s">
        <v>323</v>
      </c>
    </row>
    <row r="52" spans="1:4">
      <c r="A52" s="3055" t="s">
        <v>324</v>
      </c>
      <c r="B52" s="3055" t="s">
        <v>325</v>
      </c>
      <c r="C52" s="3045" t="s">
        <v>326</v>
      </c>
      <c r="D52" s="3045" t="s">
        <v>327</v>
      </c>
    </row>
    <row r="53" spans="1:4">
      <c r="A53" s="3208" t="s">
        <v>328</v>
      </c>
      <c r="B53" s="3055" t="s">
        <v>329</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3055" t="s">
        <v>330</v>
      </c>
      <c r="C54" s="3045" t="s">
        <v>331</v>
      </c>
    </row>
    <row r="55" spans="1:4">
      <c r="A55" s="3208"/>
      <c r="B55" s="3055" t="s">
        <v>332</v>
      </c>
      <c r="C55" s="3045" t="s">
        <v>333</v>
      </c>
    </row>
    <row r="56" spans="1:4">
      <c r="A56" s="3208"/>
      <c r="B56" s="3055" t="s">
        <v>334</v>
      </c>
      <c r="C56" s="3045" t="s">
        <v>335</v>
      </c>
    </row>
    <row r="57" spans="1:4">
      <c r="A57" s="3208"/>
      <c r="B57" s="3055" t="s">
        <v>336</v>
      </c>
      <c r="C57" s="3045" t="s">
        <v>337</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5" defaultRowHeight="13.5"/>
  <cols>
    <col min="1" max="7" width="15.25" style="2989"/>
    <col min="8" max="8" width="5.5" style="2989" customWidth="1"/>
    <col min="9" max="13" width="9.5" style="2990" customWidth="1"/>
    <col min="14" max="18" width="9.5" style="2989" customWidth="1"/>
    <col min="19" max="16384" width="15.25" style="2989"/>
  </cols>
  <sheetData>
    <row r="1" spans="1:18">
      <c r="A1" s="2991" t="s">
        <v>338</v>
      </c>
      <c r="B1" s="2992"/>
      <c r="C1" s="2992"/>
      <c r="D1" s="2992"/>
      <c r="E1" s="2992"/>
      <c r="F1" s="2993"/>
      <c r="I1" s="3039" t="s">
        <v>339</v>
      </c>
      <c r="J1" s="74"/>
      <c r="K1" s="74"/>
      <c r="L1" s="74"/>
      <c r="M1" s="74"/>
      <c r="N1" s="298"/>
      <c r="O1" s="298"/>
      <c r="P1" s="298"/>
      <c r="Q1" s="298"/>
      <c r="R1" s="298"/>
    </row>
    <row r="2" spans="1:18">
      <c r="A2" s="2994"/>
      <c r="B2" s="2995"/>
      <c r="C2" s="2995"/>
      <c r="D2" s="2995"/>
      <c r="E2" s="2995"/>
      <c r="F2" s="2996"/>
      <c r="I2" s="3209" t="s">
        <v>340</v>
      </c>
      <c r="J2" s="3209"/>
      <c r="K2" s="3209"/>
      <c r="L2" s="3209"/>
      <c r="M2" s="3209"/>
      <c r="N2" s="3209"/>
      <c r="O2" s="3209"/>
      <c r="P2" s="3209"/>
      <c r="Q2" s="3209"/>
      <c r="R2" s="3209"/>
    </row>
    <row r="3" spans="1:18">
      <c r="A3" s="446" t="s">
        <v>341</v>
      </c>
      <c r="B3" s="2997">
        <f>项目基本情况!D3</f>
        <v>45791</v>
      </c>
      <c r="C3" s="447"/>
      <c r="D3" s="447"/>
      <c r="E3" s="447"/>
      <c r="F3" s="2996"/>
      <c r="I3" s="3011"/>
      <c r="J3" s="3011" t="s">
        <v>342</v>
      </c>
      <c r="K3" s="3011" t="s">
        <v>343</v>
      </c>
      <c r="L3" s="3011" t="s">
        <v>344</v>
      </c>
      <c r="M3" s="3011" t="s">
        <v>345</v>
      </c>
      <c r="N3" s="3040" t="s">
        <v>346</v>
      </c>
      <c r="O3" s="3040" t="s">
        <v>347</v>
      </c>
      <c r="P3" s="3040" t="s">
        <v>348</v>
      </c>
      <c r="Q3" s="3040" t="s">
        <v>349</v>
      </c>
      <c r="R3" s="3040" t="s">
        <v>350</v>
      </c>
    </row>
    <row r="4" spans="1:18">
      <c r="A4" s="446" t="s">
        <v>351</v>
      </c>
      <c r="B4" s="447" t="s">
        <v>352</v>
      </c>
      <c r="C4" s="447" t="s">
        <v>353</v>
      </c>
      <c r="D4" s="447" t="s">
        <v>354</v>
      </c>
      <c r="E4" s="447" t="s">
        <v>355</v>
      </c>
      <c r="F4" s="2996"/>
      <c r="I4" s="3011" t="s">
        <v>356</v>
      </c>
      <c r="J4" s="3011">
        <v>80</v>
      </c>
      <c r="K4" s="3011">
        <v>70</v>
      </c>
      <c r="L4" s="3011">
        <v>20</v>
      </c>
      <c r="M4" s="3011">
        <v>30</v>
      </c>
      <c r="N4" s="447">
        <v>45</v>
      </c>
      <c r="O4" s="447">
        <v>60</v>
      </c>
      <c r="P4" s="447">
        <v>50</v>
      </c>
      <c r="Q4" s="447">
        <v>20</v>
      </c>
      <c r="R4" s="447">
        <v>375</v>
      </c>
    </row>
    <row r="5" spans="1:18">
      <c r="A5" s="2998">
        <v>40</v>
      </c>
      <c r="B5" s="2997">
        <v>46375</v>
      </c>
      <c r="C5" s="447">
        <f>ROUNDDOWN(MIN((B5-B3)/365,A5),2)</f>
        <v>1.6</v>
      </c>
      <c r="D5" s="2999">
        <f>IF(ISERROR(ROUND(POWER(1+E5,A5-C5)*(POWER(1+E5,C5)-1)/(POWER(1+E5,A5)-1),3)),0,ROUND(POWER(1+E5,A5-C5)*(POWER(1+E5,C5)-1)/(POWER(1+E5,A5)-1),4))</f>
        <v>7.6799999999999993E-2</v>
      </c>
      <c r="E5" s="3000">
        <v>0.04</v>
      </c>
      <c r="F5" s="2996"/>
      <c r="I5" s="3011" t="s">
        <v>357</v>
      </c>
      <c r="J5" s="3011">
        <v>70</v>
      </c>
      <c r="K5" s="3011">
        <v>60</v>
      </c>
      <c r="L5" s="3011">
        <v>15</v>
      </c>
      <c r="M5" s="3011">
        <v>25</v>
      </c>
      <c r="N5" s="447">
        <v>40</v>
      </c>
      <c r="O5" s="447">
        <v>50</v>
      </c>
      <c r="P5" s="447">
        <v>40</v>
      </c>
      <c r="Q5" s="447">
        <v>15</v>
      </c>
      <c r="R5" s="447">
        <v>315</v>
      </c>
    </row>
    <row r="6" spans="1:18">
      <c r="A6" s="2998">
        <v>50</v>
      </c>
      <c r="B6" s="2997">
        <v>50028</v>
      </c>
      <c r="C6" s="447">
        <f>ROUNDDOWN(MIN((B6-B3)/365,A6),2)</f>
        <v>11.6</v>
      </c>
      <c r="D6" s="2999">
        <f>IF(ISERROR(ROUND(POWER(1+E6,A6-C6)*(POWER(1+E6,C6)-1)/(POWER(1+E6,A6)-1),3)),0,ROUND(POWER(1+E6,A6-C6)*(POWER(1+E6,C6)-1)/(POWER(1+E6,A6)-1),4))</f>
        <v>0.4254</v>
      </c>
      <c r="E6" s="3000">
        <v>0.04</v>
      </c>
      <c r="F6" s="2996"/>
      <c r="I6" s="3011" t="s">
        <v>358</v>
      </c>
      <c r="J6" s="3011">
        <v>60</v>
      </c>
      <c r="K6" s="3011">
        <v>50</v>
      </c>
      <c r="L6" s="3011">
        <v>10</v>
      </c>
      <c r="M6" s="3011">
        <v>20</v>
      </c>
      <c r="N6" s="447">
        <v>35</v>
      </c>
      <c r="O6" s="447">
        <v>40</v>
      </c>
      <c r="P6" s="447">
        <v>30</v>
      </c>
      <c r="Q6" s="447">
        <v>10</v>
      </c>
      <c r="R6" s="447">
        <v>255</v>
      </c>
    </row>
    <row r="7" spans="1:18">
      <c r="A7" s="2998">
        <v>70</v>
      </c>
      <c r="B7" s="2997">
        <v>57333</v>
      </c>
      <c r="C7" s="447">
        <f>ROUNDDOWN(MIN((B7-B3)/365,A7),2)</f>
        <v>31.62</v>
      </c>
      <c r="D7" s="2999">
        <f>IF(ISERROR(ROUND(POWER(1+E7,A7-C7)*(POWER(1+E7,C7)-1)/(POWER(1+E7,A7)-1),3)),0,ROUND(POWER(1+E7,A7-C7)*(POWER(1+E7,C7)-1)/(POWER(1+E7,A7)-1),4))</f>
        <v>0.75939999999999996</v>
      </c>
      <c r="E7" s="3000">
        <v>0.04</v>
      </c>
      <c r="F7" s="2996"/>
    </row>
    <row r="8" spans="1:18">
      <c r="A8" s="2994"/>
      <c r="B8" s="2995"/>
      <c r="C8" s="2995"/>
      <c r="D8" s="2995"/>
      <c r="E8" s="2995"/>
      <c r="F8" s="2996"/>
    </row>
    <row r="9" spans="1:18">
      <c r="A9" s="446" t="s">
        <v>359</v>
      </c>
      <c r="B9" s="447"/>
      <c r="C9" s="447"/>
      <c r="D9" s="447"/>
      <c r="E9" s="447"/>
      <c r="F9" s="489"/>
    </row>
    <row r="10" spans="1:18">
      <c r="A10" s="446" t="s">
        <v>360</v>
      </c>
      <c r="B10" s="447"/>
      <c r="C10" s="447"/>
      <c r="D10" s="447" t="s">
        <v>355</v>
      </c>
      <c r="E10" s="447"/>
      <c r="F10" s="489" t="s">
        <v>354</v>
      </c>
    </row>
    <row r="11" spans="1:18">
      <c r="A11" s="446" t="s">
        <v>361</v>
      </c>
      <c r="B11" s="3001">
        <v>70</v>
      </c>
      <c r="C11" s="447" t="s">
        <v>362</v>
      </c>
      <c r="D11" s="3001">
        <v>4.4999999999999998E-2</v>
      </c>
      <c r="E11" s="447" t="s">
        <v>363</v>
      </c>
      <c r="F11" s="3002">
        <f>ROUND(1-(1/(POWER(1+D11,B11))),4)</f>
        <v>0.95409999999999995</v>
      </c>
    </row>
    <row r="12" spans="1:18">
      <c r="A12" s="446" t="s">
        <v>364</v>
      </c>
      <c r="B12" s="3001">
        <v>40</v>
      </c>
      <c r="C12" s="447" t="s">
        <v>365</v>
      </c>
      <c r="D12" s="3001">
        <v>4.4999999999999998E-2</v>
      </c>
      <c r="E12" s="447" t="s">
        <v>366</v>
      </c>
      <c r="F12" s="3002">
        <f>ROUND(1-(1/(POWER(1+D12,B12))),4)</f>
        <v>0.82809999999999995</v>
      </c>
    </row>
    <row r="13" spans="1:18">
      <c r="A13" s="446" t="s">
        <v>367</v>
      </c>
      <c r="B13" s="447"/>
      <c r="C13" s="447"/>
      <c r="D13" s="2995"/>
      <c r="E13" s="2995"/>
      <c r="F13" s="2996"/>
    </row>
    <row r="14" spans="1:18">
      <c r="A14" s="446" t="s">
        <v>368</v>
      </c>
      <c r="B14" s="3001">
        <v>5000</v>
      </c>
      <c r="C14" s="3003"/>
      <c r="D14" s="2995"/>
      <c r="E14" s="2995"/>
      <c r="F14" s="2996"/>
    </row>
    <row r="15" spans="1:18">
      <c r="A15" s="446" t="s">
        <v>369</v>
      </c>
      <c r="B15" s="447">
        <f>ROUND(B14*F12/F11,2)</f>
        <v>4339.6899999999996</v>
      </c>
      <c r="C15" s="447">
        <f>ROUND(F12/F11,4)</f>
        <v>0.8679</v>
      </c>
      <c r="D15" s="2995"/>
      <c r="E15" s="2995"/>
      <c r="F15" s="2996"/>
    </row>
    <row r="16" spans="1:18">
      <c r="A16" s="446" t="s">
        <v>370</v>
      </c>
      <c r="B16" s="447"/>
      <c r="C16" s="447"/>
      <c r="D16" s="2995"/>
      <c r="E16" s="2995"/>
      <c r="F16" s="2996"/>
    </row>
    <row r="17" spans="1:14">
      <c r="A17" s="446" t="s">
        <v>369</v>
      </c>
      <c r="B17" s="3001">
        <v>4810</v>
      </c>
      <c r="C17" s="3003"/>
      <c r="D17" s="2995"/>
      <c r="E17" s="2995"/>
      <c r="F17" s="2996"/>
    </row>
    <row r="18" spans="1:14">
      <c r="A18" s="3004" t="s">
        <v>368</v>
      </c>
      <c r="B18" s="492">
        <f>ROUND(B17*F11/F12,2)</f>
        <v>5541.87</v>
      </c>
      <c r="C18" s="492">
        <f>ROUND(F11/F12,4)</f>
        <v>1.1521999999999999</v>
      </c>
      <c r="D18" s="3005"/>
      <c r="E18" s="3005"/>
      <c r="F18" s="3006"/>
    </row>
    <row r="20" spans="1:14" s="2988" customFormat="1">
      <c r="A20" s="3007" t="s">
        <v>371</v>
      </c>
      <c r="B20" s="3008"/>
      <c r="C20" s="3008"/>
      <c r="D20" s="3008"/>
      <c r="E20" s="3008"/>
      <c r="F20" s="3008"/>
      <c r="G20" s="3009"/>
      <c r="I20" s="3041" t="s">
        <v>372</v>
      </c>
      <c r="J20" s="3041" t="s">
        <v>373</v>
      </c>
      <c r="K20" s="3041"/>
      <c r="L20" s="3041"/>
      <c r="M20" s="3041"/>
    </row>
    <row r="21" spans="1:14">
      <c r="A21" s="3010"/>
      <c r="B21" s="3011" t="s">
        <v>374</v>
      </c>
      <c r="C21" s="3011" t="s">
        <v>353</v>
      </c>
      <c r="D21" s="3011" t="s">
        <v>375</v>
      </c>
      <c r="E21" s="3011" t="s">
        <v>354</v>
      </c>
      <c r="F21" s="3011" t="s">
        <v>376</v>
      </c>
      <c r="G21" s="3012" t="s">
        <v>377</v>
      </c>
      <c r="I21" s="2990">
        <v>5</v>
      </c>
      <c r="J21" s="2990">
        <v>54.2</v>
      </c>
    </row>
    <row r="22" spans="1:14">
      <c r="A22" s="3010" t="s">
        <v>378</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v>
      </c>
    </row>
    <row r="23" spans="1:14">
      <c r="A23" s="3010" t="s">
        <v>379</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8.6999999999999904</v>
      </c>
      <c r="L23" s="2990" t="s">
        <v>380</v>
      </c>
      <c r="N23" s="3042" t="s">
        <v>381</v>
      </c>
    </row>
    <row r="24" spans="1:14">
      <c r="A24" s="3010" t="s">
        <v>382</v>
      </c>
      <c r="B24" s="3013">
        <v>70</v>
      </c>
      <c r="C24" s="3013">
        <v>50</v>
      </c>
      <c r="D24" s="3014">
        <v>0.04</v>
      </c>
      <c r="E24" s="3011">
        <f t="shared" si="0"/>
        <v>0.91800000000000004</v>
      </c>
      <c r="F24" s="3014">
        <f>F23</f>
        <v>0.7</v>
      </c>
      <c r="G24" s="3012">
        <f t="shared" si="1"/>
        <v>94.3</v>
      </c>
      <c r="I24" s="2990">
        <v>20</v>
      </c>
      <c r="J24" s="2990">
        <v>81</v>
      </c>
      <c r="K24" s="2990">
        <f t="shared" si="2"/>
        <v>6.9000000000000101</v>
      </c>
      <c r="L24" s="2990" t="s">
        <v>383</v>
      </c>
      <c r="N24" s="3042">
        <v>10</v>
      </c>
    </row>
    <row r="25" spans="1:14">
      <c r="A25" s="3010" t="s">
        <v>384</v>
      </c>
      <c r="B25" s="3013">
        <v>70</v>
      </c>
      <c r="C25" s="3013">
        <v>60</v>
      </c>
      <c r="D25" s="3014">
        <v>0.04</v>
      </c>
      <c r="E25" s="3011">
        <f t="shared" si="0"/>
        <v>0.96699999999999997</v>
      </c>
      <c r="F25" s="3014">
        <f>F24</f>
        <v>0.7</v>
      </c>
      <c r="G25" s="3012">
        <f t="shared" si="1"/>
        <v>97.7</v>
      </c>
      <c r="I25" s="2990">
        <v>25</v>
      </c>
      <c r="J25" s="2990">
        <v>86.3</v>
      </c>
      <c r="K25" s="2990">
        <f t="shared" si="2"/>
        <v>5.3</v>
      </c>
      <c r="L25" s="2990" t="s">
        <v>385</v>
      </c>
      <c r="N25" s="3042">
        <v>8</v>
      </c>
    </row>
    <row r="26" spans="1:14">
      <c r="A26" s="73"/>
      <c r="B26" s="74"/>
      <c r="C26" s="74"/>
      <c r="D26" s="74"/>
      <c r="E26" s="74"/>
      <c r="F26" s="74"/>
      <c r="G26" s="3015"/>
      <c r="I26" s="2990">
        <v>30</v>
      </c>
      <c r="J26" s="2990">
        <v>90.5</v>
      </c>
      <c r="K26" s="2990">
        <f t="shared" si="2"/>
        <v>4.2</v>
      </c>
      <c r="L26" s="2990" t="s">
        <v>386</v>
      </c>
      <c r="N26" s="3042">
        <v>5</v>
      </c>
    </row>
    <row r="27" spans="1:14">
      <c r="A27" s="73" t="s">
        <v>387</v>
      </c>
      <c r="B27" s="74"/>
      <c r="C27" s="74"/>
      <c r="D27" s="74"/>
      <c r="E27" s="74"/>
      <c r="F27" s="74"/>
      <c r="G27" s="3015"/>
      <c r="I27" s="2990">
        <v>35</v>
      </c>
      <c r="J27" s="2990">
        <v>93.8</v>
      </c>
      <c r="K27" s="2990">
        <f t="shared" si="2"/>
        <v>3.3</v>
      </c>
      <c r="L27" s="2990" t="s">
        <v>388</v>
      </c>
      <c r="N27" s="3042">
        <v>3</v>
      </c>
    </row>
    <row r="28" spans="1:14">
      <c r="A28" s="73" t="s">
        <v>389</v>
      </c>
      <c r="B28" s="74"/>
      <c r="C28" s="74"/>
      <c r="D28" s="74"/>
      <c r="E28" s="74"/>
      <c r="F28" s="74"/>
      <c r="G28" s="3015"/>
      <c r="I28" s="2990">
        <v>40</v>
      </c>
      <c r="J28" s="2990">
        <v>96.4</v>
      </c>
      <c r="K28" s="2990">
        <f t="shared" si="2"/>
        <v>2.6000000000000099</v>
      </c>
      <c r="L28" s="2990" t="s">
        <v>390</v>
      </c>
      <c r="N28" s="3042">
        <v>2</v>
      </c>
    </row>
    <row r="29" spans="1:14">
      <c r="A29" s="73" t="s">
        <v>391</v>
      </c>
      <c r="B29" s="74"/>
      <c r="C29" s="74"/>
      <c r="D29" s="74"/>
      <c r="E29" s="74"/>
      <c r="F29" s="74"/>
      <c r="G29" s="3015"/>
      <c r="I29" s="2990">
        <v>45</v>
      </c>
      <c r="J29" s="2990">
        <v>98.4</v>
      </c>
      <c r="K29" s="2990">
        <f t="shared" si="2"/>
        <v>2</v>
      </c>
    </row>
    <row r="30" spans="1:14">
      <c r="A30" s="73" t="s">
        <v>392</v>
      </c>
      <c r="B30" s="74"/>
      <c r="C30" s="74"/>
      <c r="D30" s="74"/>
      <c r="E30" s="74"/>
      <c r="F30" s="74"/>
      <c r="G30" s="3015"/>
      <c r="I30" s="2990">
        <v>50</v>
      </c>
      <c r="J30" s="2990">
        <v>100</v>
      </c>
      <c r="K30" s="2990">
        <f t="shared" si="2"/>
        <v>1.5999999999999901</v>
      </c>
    </row>
    <row r="31" spans="1:14">
      <c r="A31" s="73" t="s">
        <v>393</v>
      </c>
      <c r="B31" s="74"/>
      <c r="C31" s="74"/>
      <c r="D31" s="74"/>
      <c r="E31" s="74"/>
      <c r="F31" s="74"/>
      <c r="G31" s="3015"/>
      <c r="I31" s="2990" t="s">
        <v>394</v>
      </c>
    </row>
    <row r="32" spans="1:14">
      <c r="A32" s="73" t="s">
        <v>395</v>
      </c>
      <c r="B32" s="74"/>
      <c r="C32" s="74"/>
      <c r="D32" s="74"/>
      <c r="E32" s="74"/>
      <c r="F32" s="74"/>
      <c r="G32" s="3015"/>
    </row>
    <row r="33" spans="1:14">
      <c r="A33" s="73" t="s">
        <v>396</v>
      </c>
      <c r="B33" s="74"/>
      <c r="C33" s="74"/>
      <c r="D33" s="74"/>
      <c r="E33" s="74"/>
      <c r="F33" s="74"/>
      <c r="G33" s="3015"/>
      <c r="I33" s="2990" t="s">
        <v>372</v>
      </c>
      <c r="J33" s="2990" t="s">
        <v>397</v>
      </c>
    </row>
    <row r="34" spans="1:14">
      <c r="A34" s="73" t="s">
        <v>398</v>
      </c>
      <c r="B34" s="74"/>
      <c r="C34" s="74"/>
      <c r="D34" s="74"/>
      <c r="E34" s="74"/>
      <c r="F34" s="74"/>
      <c r="G34" s="3015"/>
      <c r="I34" s="2990">
        <v>5</v>
      </c>
      <c r="J34" s="2990">
        <v>55.1</v>
      </c>
    </row>
    <row r="35" spans="1:14">
      <c r="A35" s="73" t="s">
        <v>399</v>
      </c>
      <c r="B35" s="74"/>
      <c r="C35" s="74"/>
      <c r="D35" s="74"/>
      <c r="E35" s="74"/>
      <c r="F35" s="74"/>
      <c r="G35" s="3015"/>
      <c r="I35" s="2990">
        <v>10</v>
      </c>
      <c r="J35" s="2990">
        <v>67</v>
      </c>
      <c r="K35" s="2990">
        <f>J35-J34</f>
        <v>11.9</v>
      </c>
    </row>
    <row r="36" spans="1:14">
      <c r="A36" s="73" t="s">
        <v>400</v>
      </c>
      <c r="B36" s="74"/>
      <c r="C36" s="74"/>
      <c r="D36" s="74"/>
      <c r="E36" s="74"/>
      <c r="F36" s="74"/>
      <c r="G36" s="3015"/>
      <c r="I36" s="2990">
        <v>15</v>
      </c>
      <c r="J36" s="2990">
        <v>76.3</v>
      </c>
      <c r="K36" s="2990">
        <f t="shared" ref="K36:K41" si="3">J36-J35</f>
        <v>9.3000000000000007</v>
      </c>
      <c r="L36" s="2990" t="s">
        <v>380</v>
      </c>
      <c r="N36" s="3042" t="s">
        <v>381</v>
      </c>
    </row>
    <row r="37" spans="1:14">
      <c r="A37" s="73" t="s">
        <v>401</v>
      </c>
      <c r="B37" s="74"/>
      <c r="C37" s="74"/>
      <c r="D37" s="74"/>
      <c r="E37" s="74"/>
      <c r="F37" s="74"/>
      <c r="G37" s="3015"/>
      <c r="I37" s="2990">
        <v>20</v>
      </c>
      <c r="J37" s="2990">
        <v>83.6</v>
      </c>
      <c r="K37" s="2990">
        <f t="shared" si="3"/>
        <v>7.3</v>
      </c>
      <c r="L37" s="2990" t="s">
        <v>383</v>
      </c>
      <c r="N37" s="3042">
        <v>10</v>
      </c>
    </row>
    <row r="38" spans="1:14">
      <c r="A38" s="73" t="s">
        <v>402</v>
      </c>
      <c r="B38" s="74"/>
      <c r="C38" s="74"/>
      <c r="D38" s="74"/>
      <c r="E38" s="74"/>
      <c r="F38" s="74"/>
      <c r="G38" s="3015"/>
      <c r="I38" s="2990">
        <v>25</v>
      </c>
      <c r="J38" s="2990">
        <v>89.3</v>
      </c>
      <c r="K38" s="2990">
        <f t="shared" si="3"/>
        <v>5.7</v>
      </c>
      <c r="L38" s="2990" t="s">
        <v>385</v>
      </c>
      <c r="N38" s="3042">
        <v>8</v>
      </c>
    </row>
    <row r="39" spans="1:14">
      <c r="A39" s="73"/>
      <c r="B39" s="74"/>
      <c r="C39" s="74"/>
      <c r="D39" s="74"/>
      <c r="E39" s="74"/>
      <c r="F39" s="74"/>
      <c r="G39" s="3015"/>
      <c r="I39" s="2990">
        <v>30</v>
      </c>
      <c r="J39" s="2990">
        <v>93.8</v>
      </c>
      <c r="K39" s="2990">
        <f t="shared" si="3"/>
        <v>4.5</v>
      </c>
      <c r="L39" s="2990" t="s">
        <v>386</v>
      </c>
      <c r="N39" s="3042">
        <v>6</v>
      </c>
    </row>
    <row r="40" spans="1:14">
      <c r="A40" s="3016" t="s">
        <v>403</v>
      </c>
      <c r="B40" s="3017"/>
      <c r="C40" s="3017"/>
      <c r="D40" s="3017"/>
      <c r="E40" s="3017"/>
      <c r="F40" s="3017"/>
      <c r="G40" s="3018"/>
      <c r="I40" s="2990">
        <v>35</v>
      </c>
      <c r="J40" s="2990">
        <v>97.2</v>
      </c>
      <c r="K40" s="2990">
        <f t="shared" si="3"/>
        <v>3.4000000000000101</v>
      </c>
      <c r="L40" s="2990" t="s">
        <v>388</v>
      </c>
      <c r="N40" s="3042">
        <v>3</v>
      </c>
    </row>
    <row r="41" spans="1:14">
      <c r="A41" s="3019" t="s">
        <v>404</v>
      </c>
      <c r="B41" s="3020" t="s">
        <v>405</v>
      </c>
      <c r="C41" s="3021" t="s">
        <v>406</v>
      </c>
      <c r="D41" s="3021" t="s">
        <v>407</v>
      </c>
      <c r="E41" s="3022"/>
      <c r="F41" s="3023"/>
      <c r="G41" s="3024"/>
      <c r="I41" s="2990">
        <v>40</v>
      </c>
      <c r="J41" s="2990">
        <v>100</v>
      </c>
      <c r="K41" s="2990">
        <f t="shared" si="3"/>
        <v>2.8</v>
      </c>
    </row>
    <row r="42" spans="1:14">
      <c r="A42" s="3019" t="s">
        <v>408</v>
      </c>
      <c r="B42" s="3020" t="s">
        <v>409</v>
      </c>
      <c r="C42" s="3021" t="s">
        <v>409</v>
      </c>
      <c r="D42" s="3025" t="s">
        <v>410</v>
      </c>
      <c r="E42" s="3017" t="s">
        <v>411</v>
      </c>
      <c r="F42" s="3017"/>
      <c r="G42" s="3018"/>
    </row>
    <row r="43" spans="1:14">
      <c r="A43" s="3019" t="s">
        <v>412</v>
      </c>
      <c r="B43" s="3020" t="s">
        <v>413</v>
      </c>
      <c r="C43" s="3021" t="s">
        <v>414</v>
      </c>
      <c r="D43" s="3021" t="s">
        <v>415</v>
      </c>
      <c r="E43" s="3022" t="s">
        <v>416</v>
      </c>
      <c r="F43" s="3023"/>
      <c r="G43" s="3024"/>
      <c r="I43" s="2990" t="s">
        <v>372</v>
      </c>
      <c r="J43" s="2990" t="s">
        <v>417</v>
      </c>
    </row>
    <row r="44" spans="1:14">
      <c r="A44" s="3019" t="s">
        <v>418</v>
      </c>
      <c r="B44" s="3020" t="s">
        <v>419</v>
      </c>
      <c r="C44" s="3021" t="s">
        <v>420</v>
      </c>
      <c r="D44" s="3025">
        <v>0.5</v>
      </c>
      <c r="E44" s="3022" t="s">
        <v>421</v>
      </c>
      <c r="F44" s="3023"/>
      <c r="G44" s="3024"/>
      <c r="I44" s="2990">
        <v>30</v>
      </c>
      <c r="J44" s="2990">
        <v>81.7</v>
      </c>
    </row>
    <row r="45" spans="1:14">
      <c r="A45" s="3026" t="s">
        <v>422</v>
      </c>
      <c r="B45" s="3027" t="s">
        <v>409</v>
      </c>
      <c r="C45" s="3028" t="s">
        <v>409</v>
      </c>
      <c r="D45" s="3028" t="s">
        <v>423</v>
      </c>
      <c r="E45" s="3029" t="s">
        <v>424</v>
      </c>
      <c r="F45" s="3029"/>
      <c r="G45" s="3030"/>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425</v>
      </c>
    </row>
    <row r="50" spans="1:4">
      <c r="A50" s="3031" t="s">
        <v>426</v>
      </c>
      <c r="B50" s="3031" t="s">
        <v>427</v>
      </c>
      <c r="C50" s="3031" t="s">
        <v>428</v>
      </c>
      <c r="D50" s="3031" t="s">
        <v>429</v>
      </c>
    </row>
    <row r="51" spans="1:4">
      <c r="A51" s="3031" t="s">
        <v>430</v>
      </c>
      <c r="B51" s="3003">
        <f>B52+B53</f>
        <v>15000</v>
      </c>
      <c r="C51" s="3032">
        <f>D51/B51</f>
        <v>2666.6666666666702</v>
      </c>
      <c r="D51" s="3003">
        <f>D52+D53</f>
        <v>40000000</v>
      </c>
    </row>
    <row r="52" spans="1:4">
      <c r="A52" s="3033" t="s">
        <v>431</v>
      </c>
      <c r="B52" s="3034">
        <v>10000</v>
      </c>
      <c r="C52" s="3034">
        <v>1500</v>
      </c>
      <c r="D52" s="3035">
        <f>C52*B52</f>
        <v>15000000</v>
      </c>
    </row>
    <row r="53" spans="1:4">
      <c r="A53" s="3033" t="s">
        <v>432</v>
      </c>
      <c r="B53" s="3034">
        <v>5000</v>
      </c>
      <c r="C53" s="3034">
        <v>5000</v>
      </c>
      <c r="D53" s="3035">
        <f>C53*B53</f>
        <v>25000000</v>
      </c>
    </row>
    <row r="54" spans="1:4">
      <c r="A54" s="3031" t="s">
        <v>433</v>
      </c>
      <c r="B54" s="3003">
        <f>B51</f>
        <v>15000</v>
      </c>
      <c r="C54" s="3001">
        <v>700</v>
      </c>
      <c r="D54" s="3003">
        <f t="shared" ref="D54:D55" si="5">C54*B54</f>
        <v>10500000</v>
      </c>
    </row>
    <row r="55" spans="1:4">
      <c r="A55" s="3031" t="s">
        <v>434</v>
      </c>
      <c r="B55" s="3003">
        <f>B51</f>
        <v>15000</v>
      </c>
      <c r="C55" s="3001">
        <v>1500</v>
      </c>
      <c r="D55" s="3003">
        <f t="shared" si="5"/>
        <v>22500000</v>
      </c>
    </row>
    <row r="56" spans="1:4">
      <c r="A56" s="3031" t="s">
        <v>435</v>
      </c>
      <c r="B56" s="3003">
        <f>B51</f>
        <v>15000</v>
      </c>
      <c r="C56" s="3036">
        <f>C51+C54+C55</f>
        <v>4866.6666666666697</v>
      </c>
      <c r="D56" s="3003">
        <f>D51+D54+D55</f>
        <v>73000000</v>
      </c>
    </row>
    <row r="58" spans="1:4">
      <c r="A58" s="3031" t="s">
        <v>436</v>
      </c>
      <c r="B58" s="3037">
        <v>0.05</v>
      </c>
      <c r="C58" s="3003">
        <f>C56*(1+B58)</f>
        <v>5110</v>
      </c>
      <c r="D58" s="3003">
        <f>D56*B58</f>
        <v>3650000</v>
      </c>
    </row>
    <row r="60" spans="1:4">
      <c r="A60" s="3031" t="s">
        <v>437</v>
      </c>
      <c r="B60" s="3001">
        <v>3500</v>
      </c>
      <c r="C60" s="3001">
        <f>C53</f>
        <v>5000</v>
      </c>
      <c r="D60" s="3003">
        <f>C60*B60</f>
        <v>17500000</v>
      </c>
    </row>
    <row r="62" spans="1:4">
      <c r="A62" s="3031" t="s">
        <v>350</v>
      </c>
      <c r="B62" s="3001">
        <f>B51</f>
        <v>15000</v>
      </c>
      <c r="C62" s="3038">
        <f>D62/B62</f>
        <v>6276.6666666666697</v>
      </c>
      <c r="D62" s="3001">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38" sqref="E38"/>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2" customWidth="1"/>
    <col min="10" max="10" width="10" style="2725" customWidth="1"/>
    <col min="11" max="11" width="10" style="2873" customWidth="1"/>
    <col min="12" max="13" width="10" style="2874" customWidth="1"/>
    <col min="14" max="14" width="10" style="2725" customWidth="1"/>
    <col min="15" max="15" width="10" style="891" customWidth="1"/>
    <col min="16" max="17" width="10" style="2725"/>
    <col min="18" max="18" width="10" style="2725" customWidth="1"/>
    <col min="19" max="30" width="10" style="2725"/>
    <col min="31" max="16384" width="10" style="2548"/>
  </cols>
  <sheetData>
    <row r="1" spans="1:30">
      <c r="A1" s="2875" t="s">
        <v>438</v>
      </c>
      <c r="B1" s="3210" t="str">
        <f>IF(B10="北京市","北京市",C10)&amp;F10&amp;IF(结果表!G1="在建","出让国有建设用地使用权及在建建筑物",IF(结果表!G1="土地","出让国有建设用地使用权",))&amp;B9&amp;"预评估"</f>
        <v>北京市房地产抵押价值预评估</v>
      </c>
      <c r="C1" s="3211"/>
      <c r="D1" s="3211"/>
      <c r="E1" s="3211"/>
      <c r="F1" s="3211"/>
      <c r="G1" s="3211"/>
      <c r="H1" s="3211"/>
      <c r="I1" s="3212"/>
      <c r="J1" s="2509"/>
      <c r="K1" s="2956"/>
      <c r="L1" s="2965"/>
      <c r="M1" s="2965"/>
      <c r="N1" s="2876"/>
      <c r="O1" s="2332"/>
      <c r="P1" s="2876"/>
      <c r="Q1" s="2876"/>
      <c r="R1" s="2876"/>
      <c r="S1" s="2210"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6" t="s">
        <v>439</v>
      </c>
      <c r="B2" s="893"/>
      <c r="D2" s="2877"/>
      <c r="E2" s="2878"/>
      <c r="F2" s="2878"/>
      <c r="G2" s="2647"/>
      <c r="H2" s="2647"/>
      <c r="I2" s="2647"/>
      <c r="J2" s="2509"/>
      <c r="K2" s="2956"/>
      <c r="L2" s="2965"/>
      <c r="M2" s="2965"/>
      <c r="N2" s="2876"/>
      <c r="O2" s="2332"/>
      <c r="P2" s="2876"/>
      <c r="Q2" s="2876"/>
      <c r="R2" s="2876"/>
      <c r="S2" s="2210"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9"/>
      <c r="C3" s="2880" t="s">
        <v>441</v>
      </c>
      <c r="D3" s="2879">
        <v>45791</v>
      </c>
      <c r="E3" s="2647"/>
      <c r="F3" s="2647"/>
      <c r="G3" s="2647"/>
      <c r="H3" s="2647"/>
      <c r="I3" s="2647"/>
      <c r="J3" s="2509"/>
      <c r="K3" s="2956"/>
      <c r="L3" s="2965"/>
      <c r="M3" s="2965"/>
      <c r="N3" s="2876"/>
      <c r="O3" s="2332"/>
      <c r="P3" s="2876"/>
      <c r="Q3" s="2876"/>
      <c r="R3" s="2876"/>
      <c r="S3" s="2210"/>
      <c r="T3" s="2548"/>
      <c r="U3" s="2548"/>
      <c r="V3" s="2548"/>
      <c r="W3" s="2548"/>
      <c r="X3" s="2548"/>
      <c r="Y3" s="2548"/>
      <c r="Z3" s="2548"/>
      <c r="AA3" s="2548"/>
      <c r="AB3" s="2548"/>
    </row>
    <row r="4" spans="1:30">
      <c r="A4" s="1878" t="s">
        <v>442</v>
      </c>
      <c r="B4" s="2881"/>
      <c r="C4" s="2882">
        <f>SUMIF(注册房地产估价师,B4,估价师及机构信息!B3:B24)</f>
        <v>0</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09"/>
      <c r="K4" s="2316" t="str">
        <f>CONCATENATE(B4,"（注册号：",C4,")、",D4,"（注册号：",E4,")")</f>
        <v>（注册号：0)、（注册号：0)</v>
      </c>
      <c r="L4" s="2965"/>
      <c r="M4" s="2965"/>
      <c r="N4" s="2876"/>
      <c r="O4" s="2332"/>
      <c r="P4" s="2876"/>
      <c r="Q4" s="2876"/>
      <c r="R4" s="2876"/>
      <c r="S4" s="2210"/>
      <c r="T4" s="2548"/>
      <c r="U4" s="2548"/>
      <c r="V4" s="2548"/>
      <c r="W4" s="2548"/>
      <c r="X4" s="2548"/>
      <c r="Y4" s="2548"/>
      <c r="Z4" s="2548"/>
      <c r="AA4" s="2548"/>
      <c r="AB4" s="2548"/>
    </row>
    <row r="5" spans="1:30">
      <c r="A5" s="2883" t="s">
        <v>443</v>
      </c>
      <c r="B5" s="2884"/>
      <c r="C5" s="2885"/>
      <c r="D5" s="2886"/>
      <c r="E5" s="2647"/>
      <c r="F5" s="2647"/>
      <c r="G5" s="2647"/>
      <c r="H5" s="2647"/>
      <c r="I5" s="2647"/>
      <c r="J5" s="2509"/>
      <c r="K5" s="2316" t="str">
        <f>IF(F4="——","",IF(H4="——",F4&amp;"（注册号："&amp;G4&amp;")",CONCATENATE(F4,"（注册号：",G4,")、",H4,"（注册号：",I4,")")))</f>
        <v>（注册号：0)、（注册号：0)</v>
      </c>
      <c r="L5" s="2965"/>
      <c r="M5" s="2965"/>
      <c r="N5" s="2876"/>
      <c r="O5" s="2332"/>
      <c r="P5" s="2876"/>
      <c r="Q5" s="2876"/>
      <c r="R5" s="2876"/>
      <c r="S5" s="2548"/>
      <c r="T5" s="2548"/>
      <c r="U5" s="2548"/>
      <c r="V5" s="2548"/>
      <c r="W5" s="2548"/>
      <c r="X5" s="2548"/>
      <c r="Y5" s="2548"/>
      <c r="Z5" s="2548"/>
      <c r="AA5" s="2548"/>
      <c r="AB5" s="2548"/>
    </row>
    <row r="6" spans="1:30">
      <c r="A6" s="2887" t="s">
        <v>444</v>
      </c>
      <c r="B6" s="2888"/>
      <c r="C6" s="2889"/>
      <c r="D6" s="2890"/>
      <c r="E6" s="2878"/>
      <c r="F6" s="2647"/>
      <c r="G6" s="2647"/>
      <c r="H6" s="2647"/>
      <c r="I6" s="2647"/>
      <c r="J6" s="2509"/>
      <c r="K6" s="2966" t="str">
        <f>IF(COUNTIF(B6,"*上海银行*"),"上海银行","")</f>
        <v/>
      </c>
      <c r="L6" s="2967"/>
      <c r="M6" s="2967"/>
      <c r="N6" s="2509"/>
      <c r="O6" s="2333"/>
      <c r="P6" s="2509"/>
      <c r="Q6" s="2509"/>
      <c r="R6" s="2509"/>
    </row>
    <row r="7" spans="1:30">
      <c r="A7" s="2887" t="s">
        <v>445</v>
      </c>
      <c r="B7" s="2891"/>
      <c r="C7" s="2889"/>
      <c r="D7" s="2890"/>
      <c r="E7" s="2878"/>
      <c r="F7" s="2647"/>
      <c r="G7" s="2647"/>
      <c r="H7" s="2647"/>
      <c r="I7" s="2647"/>
      <c r="J7" s="2509"/>
      <c r="K7" s="2968"/>
      <c r="L7" s="2967"/>
      <c r="M7" s="2967"/>
      <c r="N7" s="2509"/>
      <c r="O7" s="2333"/>
      <c r="P7" s="2509"/>
      <c r="Q7" s="2509"/>
      <c r="R7" s="2509"/>
    </row>
    <row r="8" spans="1:30">
      <c r="A8" s="2892" t="s">
        <v>446</v>
      </c>
      <c r="B8" s="2893" t="s">
        <v>325</v>
      </c>
      <c r="C8" s="2894"/>
      <c r="D8" s="3236" t="s">
        <v>447</v>
      </c>
      <c r="E8" s="2895" t="s">
        <v>330</v>
      </c>
      <c r="F8" s="2896"/>
      <c r="G8" s="2647"/>
      <c r="H8" s="2647"/>
      <c r="I8" s="2647"/>
      <c r="J8" s="2509"/>
      <c r="K8" s="2969"/>
      <c r="L8" s="2967"/>
      <c r="M8" s="2967"/>
      <c r="N8" s="2509"/>
      <c r="O8" s="2333"/>
      <c r="P8" s="2509"/>
      <c r="Q8" s="2509"/>
      <c r="R8" s="2509"/>
    </row>
    <row r="9" spans="1:30">
      <c r="A9" s="2897" t="s">
        <v>448</v>
      </c>
      <c r="B9" s="2898" t="s">
        <v>330</v>
      </c>
      <c r="C9" s="2899"/>
      <c r="D9" s="3237"/>
      <c r="E9" s="2898"/>
      <c r="F9" s="2900"/>
      <c r="G9" s="2901"/>
      <c r="H9" s="2901"/>
      <c r="I9" s="2901"/>
      <c r="J9" s="2509"/>
      <c r="K9" s="2968"/>
      <c r="L9" s="2967"/>
      <c r="M9" s="2967"/>
      <c r="N9" s="2509"/>
      <c r="O9" s="2333"/>
      <c r="P9" s="2509"/>
      <c r="Q9" s="2509"/>
      <c r="R9" s="2509"/>
    </row>
    <row r="10" spans="1:30">
      <c r="A10" s="2902" t="s">
        <v>449</v>
      </c>
      <c r="B10" s="2903" t="s">
        <v>450</v>
      </c>
      <c r="C10" s="2904"/>
      <c r="D10" s="2886"/>
      <c r="E10" s="2905" t="s">
        <v>451</v>
      </c>
      <c r="F10" s="2906"/>
      <c r="G10" s="2907"/>
      <c r="H10" s="2908"/>
      <c r="I10" s="2970"/>
      <c r="J10" s="2509"/>
      <c r="K10" s="2968"/>
      <c r="L10" s="2967"/>
      <c r="M10" s="2967"/>
      <c r="N10" s="2509"/>
      <c r="O10" s="2333"/>
      <c r="P10" s="2509"/>
      <c r="Q10" s="2509"/>
      <c r="R10" s="2509"/>
    </row>
    <row r="11" spans="1:30">
      <c r="A11" s="2909" t="s">
        <v>452</v>
      </c>
      <c r="B11" s="2910" t="s">
        <v>453</v>
      </c>
      <c r="C11" s="2911"/>
      <c r="D11" s="2912"/>
      <c r="E11" s="2876"/>
      <c r="F11" s="2876"/>
      <c r="G11" s="2876"/>
      <c r="H11" s="2876"/>
      <c r="I11" s="2876"/>
      <c r="J11" s="2971"/>
      <c r="K11" s="2967"/>
      <c r="L11" s="2967"/>
      <c r="M11" s="2967"/>
      <c r="N11" s="2509"/>
      <c r="O11" s="2333"/>
      <c r="P11" s="2509"/>
      <c r="Q11" s="2509"/>
      <c r="R11" s="2509"/>
    </row>
    <row r="12" spans="1:30">
      <c r="A12" s="2913" t="s">
        <v>454</v>
      </c>
      <c r="B12" s="1897" t="s">
        <v>455</v>
      </c>
      <c r="C12" s="2914" t="s">
        <v>456</v>
      </c>
      <c r="D12" s="2914" t="s">
        <v>457</v>
      </c>
      <c r="E12" s="2914" t="s">
        <v>458</v>
      </c>
      <c r="F12" s="2914" t="s">
        <v>459</v>
      </c>
      <c r="G12" s="2914" t="s">
        <v>460</v>
      </c>
      <c r="H12" s="2914" t="s">
        <v>461</v>
      </c>
      <c r="I12" s="2957" t="s">
        <v>280</v>
      </c>
      <c r="J12" s="2972"/>
      <c r="K12" s="2967"/>
      <c r="L12" s="2967"/>
      <c r="M12" s="2509"/>
      <c r="N12" s="2333"/>
      <c r="O12" s="2509"/>
      <c r="P12" s="2509"/>
      <c r="Q12" s="2509"/>
      <c r="AD12" s="2548"/>
    </row>
    <row r="13" spans="1:30">
      <c r="A13" s="2915" t="s">
        <v>462</v>
      </c>
      <c r="B13" s="2916" t="s">
        <v>463</v>
      </c>
      <c r="C13" s="2917"/>
      <c r="D13" s="2917"/>
      <c r="E13" s="2917"/>
      <c r="F13" s="2917"/>
      <c r="G13" s="2917"/>
      <c r="H13" s="2917">
        <v>55623</v>
      </c>
      <c r="I13" s="2917"/>
      <c r="J13" s="2972"/>
      <c r="K13" s="2967"/>
      <c r="L13" s="2967"/>
      <c r="M13" s="2509"/>
      <c r="N13" s="2333"/>
      <c r="O13" s="2509"/>
      <c r="P13" s="2509"/>
      <c r="Q13" s="2509"/>
      <c r="AD13" s="2548"/>
    </row>
    <row r="14" spans="1:30">
      <c r="A14" s="1883"/>
      <c r="B14" s="2916" t="s">
        <v>464</v>
      </c>
      <c r="C14" s="2918"/>
      <c r="D14" s="2918"/>
      <c r="E14" s="2918"/>
      <c r="F14" s="2918"/>
      <c r="G14" s="2918"/>
      <c r="H14" s="2918">
        <v>50</v>
      </c>
      <c r="I14" s="2918"/>
      <c r="J14" s="2973"/>
      <c r="K14" s="2967"/>
      <c r="L14" s="2967"/>
      <c r="M14" s="2509"/>
      <c r="N14" s="2333"/>
      <c r="O14" s="2509"/>
      <c r="P14" s="2509"/>
      <c r="Q14" s="2509"/>
      <c r="AD14" s="2548"/>
    </row>
    <row r="15" spans="1:30">
      <c r="A15" s="1890"/>
      <c r="B15" s="2919" t="s">
        <v>465</v>
      </c>
      <c r="C15" s="2920" t="str">
        <f>IF(A13="出让",IF(C13="","",ROUNDDOWN(MIN((C13-$D$3)/365,C14),2)),C14)</f>
        <v/>
      </c>
      <c r="D15" s="2920" t="str">
        <f>IF(A13="出让",IF(D13="","",ROUNDDOWN(MIN((D13-$D$3)/365,D14),2)),D14)</f>
        <v/>
      </c>
      <c r="E15" s="2920" t="str">
        <f>IF(A13="出让",IF(E13="","",ROUNDDOWN(MIN((E13-$D$3)/365,E14),2)),E14)</f>
        <v/>
      </c>
      <c r="F15" s="2920" t="str">
        <f>IF(A13="出让",IF(F13="","",ROUNDDOWN(MIN((F13-$D$3)/365,F14),2)),F14)</f>
        <v/>
      </c>
      <c r="G15" s="2920" t="str">
        <f>IF(A13="出让",IF(G13="","",ROUNDDOWN(MIN((G13-$D$3)/365,G14),2)),G14)</f>
        <v/>
      </c>
      <c r="H15" s="2920">
        <f>IF(A13="出让",IF(H13="","",ROUNDDOWN(MIN((H13-$D$3)/365,H14),2)),H14)</f>
        <v>26.93</v>
      </c>
      <c r="I15" s="2920" t="str">
        <f>IF(A13="出让",IF(I13="","",ROUNDDOWN(MIN((I13-$D$3)/365,I14),2)),I14)</f>
        <v/>
      </c>
      <c r="J15" s="2974"/>
      <c r="K15" s="2333"/>
      <c r="L15" s="2333"/>
      <c r="M15" s="2509"/>
      <c r="N15" s="2333"/>
      <c r="O15" s="2509"/>
      <c r="P15" s="2509"/>
      <c r="Q15" s="2509"/>
      <c r="AD15" s="2548"/>
    </row>
    <row r="16" spans="1:30">
      <c r="A16" s="2905" t="s">
        <v>466</v>
      </c>
      <c r="B16" s="3213"/>
      <c r="C16" s="3214"/>
      <c r="D16" s="3215"/>
      <c r="E16" s="2921" t="s">
        <v>467</v>
      </c>
      <c r="F16" s="3216"/>
      <c r="G16" s="3217"/>
      <c r="H16" s="3217"/>
      <c r="I16" s="3218"/>
      <c r="J16" s="2509"/>
      <c r="K16" s="2975"/>
      <c r="L16" s="2333"/>
      <c r="M16" s="2333"/>
      <c r="N16" s="2509"/>
      <c r="O16" s="2333"/>
      <c r="P16" s="2509"/>
      <c r="Q16" s="2509"/>
      <c r="R16" s="2509"/>
    </row>
    <row r="17" spans="1:28">
      <c r="A17" s="1867" t="s">
        <v>468</v>
      </c>
      <c r="B17" s="1856" t="s">
        <v>469</v>
      </c>
      <c r="C17" s="949">
        <f>'数据-汇总表'!E3</f>
        <v>12749.85</v>
      </c>
      <c r="D17" s="1909" t="s">
        <v>470</v>
      </c>
      <c r="E17" s="3219" t="s">
        <v>471</v>
      </c>
      <c r="F17" s="3220"/>
      <c r="G17" s="3220"/>
      <c r="H17" s="3220"/>
      <c r="I17" s="3221"/>
      <c r="J17" s="2509"/>
      <c r="K17" s="2976"/>
      <c r="L17" s="2333"/>
      <c r="M17" s="2333"/>
      <c r="N17" s="2509"/>
      <c r="O17" s="2333"/>
      <c r="P17" s="2509"/>
      <c r="Q17" s="2509"/>
      <c r="R17" s="2509"/>
      <c r="S17" s="2509"/>
      <c r="T17" s="2509"/>
      <c r="U17" s="2509"/>
      <c r="V17" s="2509"/>
    </row>
    <row r="18" spans="1:28" ht="24">
      <c r="A18" s="2922" t="s">
        <v>472</v>
      </c>
      <c r="B18" s="1878" t="s">
        <v>473</v>
      </c>
      <c r="C18" s="2923">
        <f>'数据-汇总表'!D3</f>
        <v>67351.83</v>
      </c>
      <c r="D18" s="1902" t="s">
        <v>470</v>
      </c>
      <c r="E18" s="3222" t="s">
        <v>474</v>
      </c>
      <c r="F18" s="3223"/>
      <c r="G18" s="3223"/>
      <c r="H18" s="3223"/>
      <c r="I18" s="3224"/>
      <c r="J18" s="2509"/>
      <c r="K18" s="2976"/>
      <c r="L18" s="2333"/>
      <c r="M18" s="2333"/>
      <c r="N18" s="2509"/>
      <c r="O18" s="2333"/>
      <c r="P18" s="2509"/>
      <c r="Q18" s="2509"/>
      <c r="R18" s="2509"/>
      <c r="S18" s="2509"/>
      <c r="T18" s="2509"/>
      <c r="U18" s="2509"/>
      <c r="V18" s="2509"/>
    </row>
    <row r="19" spans="1:28" ht="36">
      <c r="A19" s="1919" t="s">
        <v>475</v>
      </c>
      <c r="B19" s="1860" t="s">
        <v>476</v>
      </c>
      <c r="C19" s="2924"/>
      <c r="D19" s="2925" t="s">
        <v>477</v>
      </c>
      <c r="E19" s="2926"/>
      <c r="F19" s="2927" t="str">
        <f>IF(AND(C19="是",E19="否"),"是否提供他项权证或相关说明","")</f>
        <v/>
      </c>
      <c r="G19" s="2928"/>
      <c r="H19" s="2647"/>
      <c r="I19" s="2647"/>
      <c r="J19" s="2509"/>
      <c r="K19" s="2968"/>
      <c r="L19" s="2967"/>
      <c r="M19" s="2967"/>
      <c r="N19" s="2509"/>
      <c r="O19" s="2333"/>
      <c r="P19" s="2509"/>
      <c r="Q19" s="2509"/>
      <c r="R19" s="2509"/>
      <c r="S19" s="2509"/>
      <c r="T19" s="2509"/>
      <c r="U19" s="2509"/>
      <c r="V19" s="2509"/>
    </row>
    <row r="20" spans="1:28">
      <c r="A20" s="2929" t="s">
        <v>478</v>
      </c>
      <c r="B20" s="3225" t="s">
        <v>479</v>
      </c>
      <c r="C20" s="3226"/>
      <c r="D20" s="3227" t="s">
        <v>480</v>
      </c>
      <c r="E20" s="3228"/>
      <c r="F20" s="2930" t="s">
        <v>481</v>
      </c>
      <c r="G20" s="2647"/>
      <c r="H20" s="2647"/>
      <c r="I20" s="2647"/>
      <c r="J20" s="2509"/>
      <c r="K20" s="3238"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2"/>
      <c r="P20" s="2876"/>
      <c r="Q20" s="2876"/>
      <c r="R20" s="2876"/>
      <c r="S20" s="2876"/>
      <c r="T20" s="2876"/>
      <c r="U20" s="2876"/>
      <c r="V20" s="2876"/>
      <c r="W20" s="2548"/>
      <c r="X20" s="2548"/>
      <c r="Y20" s="2548"/>
      <c r="Z20" s="2548"/>
      <c r="AA20" s="2548"/>
      <c r="AB20" s="2548"/>
    </row>
    <row r="21" spans="1:28" ht="24">
      <c r="A21" s="2929"/>
      <c r="B21" s="2931" t="s">
        <v>483</v>
      </c>
      <c r="C21" s="2535" t="s">
        <v>484</v>
      </c>
      <c r="D21" s="2932" t="s">
        <v>485</v>
      </c>
      <c r="E21" s="2933" t="s">
        <v>484</v>
      </c>
      <c r="F21" s="2934"/>
      <c r="G21" s="2647"/>
      <c r="H21" s="2647"/>
      <c r="I21" s="2647"/>
      <c r="J21" s="2509"/>
      <c r="K21" s="3238"/>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2"/>
      <c r="P21" s="2876"/>
      <c r="Q21" s="2876"/>
      <c r="R21" s="2876"/>
      <c r="S21" s="2876"/>
      <c r="T21" s="2876"/>
      <c r="U21" s="2876"/>
      <c r="V21" s="2876"/>
      <c r="W21" s="2548"/>
      <c r="X21" s="2548"/>
      <c r="Y21" s="2548"/>
      <c r="Z21" s="2548"/>
      <c r="AA21" s="2548"/>
      <c r="AB21" s="2548"/>
    </row>
    <row r="22" spans="1:28" ht="24">
      <c r="A22" s="2929"/>
      <c r="B22" s="2935" t="s">
        <v>486</v>
      </c>
      <c r="C22" s="2535" t="s">
        <v>487</v>
      </c>
      <c r="D22" s="2647"/>
      <c r="E22" s="2647"/>
      <c r="F22" s="2647"/>
      <c r="G22" s="2647"/>
      <c r="H22" s="2647"/>
      <c r="I22" s="2647"/>
      <c r="J22" s="2509"/>
      <c r="K22" s="3238"/>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2"/>
      <c r="P22" s="2876"/>
      <c r="Q22" s="2876"/>
      <c r="R22" s="2876"/>
      <c r="S22" s="2876"/>
      <c r="T22" s="2876"/>
      <c r="U22" s="2876"/>
      <c r="V22" s="2876"/>
      <c r="W22" s="2548"/>
      <c r="X22" s="2548"/>
      <c r="Y22" s="2548"/>
      <c r="Z22" s="2548"/>
      <c r="AA22" s="2548"/>
      <c r="AB22" s="2548"/>
    </row>
    <row r="23" spans="1:28">
      <c r="A23" s="2936" t="s">
        <v>488</v>
      </c>
      <c r="B23" s="2532" t="s">
        <v>489</v>
      </c>
      <c r="C23" s="2937"/>
      <c r="D23" s="2938" t="s">
        <v>489</v>
      </c>
      <c r="E23" s="2939"/>
      <c r="F23" s="2647"/>
      <c r="G23" s="2647"/>
      <c r="H23" s="2647"/>
      <c r="I23" s="2647"/>
      <c r="J23" s="2509"/>
      <c r="K23" s="2966"/>
      <c r="L23" s="935"/>
      <c r="M23" s="2967"/>
      <c r="N23" s="2509"/>
      <c r="O23" s="2333"/>
      <c r="P23" s="2509"/>
      <c r="Q23" s="2509"/>
      <c r="R23" s="2509"/>
      <c r="S23" s="2509"/>
      <c r="T23" s="2509"/>
      <c r="U23" s="2509"/>
      <c r="V23" s="2509"/>
    </row>
    <row r="24" spans="1:28">
      <c r="A24" s="2936"/>
      <c r="B24" s="2532" t="s">
        <v>490</v>
      </c>
      <c r="C24" s="2508"/>
      <c r="D24" s="2936" t="s">
        <v>490</v>
      </c>
      <c r="E24" s="2940"/>
      <c r="F24" s="2647"/>
      <c r="G24" s="2647"/>
      <c r="H24" s="2647"/>
      <c r="I24" s="2647"/>
      <c r="J24" s="2509"/>
      <c r="K24" s="2966"/>
      <c r="L24" s="935"/>
      <c r="M24" s="2967"/>
      <c r="N24" s="2509"/>
      <c r="O24" s="2333"/>
      <c r="P24" s="2509"/>
      <c r="Q24" s="2509"/>
      <c r="R24" s="2509"/>
      <c r="S24" s="2509"/>
      <c r="T24" s="2509"/>
      <c r="U24" s="2509"/>
      <c r="V24" s="2509"/>
    </row>
    <row r="25" spans="1:28">
      <c r="A25" s="2936"/>
      <c r="B25" s="2532" t="s">
        <v>491</v>
      </c>
      <c r="C25" s="2508"/>
      <c r="D25" s="2936" t="s">
        <v>491</v>
      </c>
      <c r="E25" s="2940"/>
      <c r="F25" s="2647"/>
      <c r="G25" s="2647"/>
      <c r="H25" s="2647"/>
      <c r="I25" s="2647"/>
      <c r="J25" s="2509"/>
      <c r="K25" s="2968"/>
      <c r="L25" s="2967"/>
      <c r="M25" s="2967"/>
      <c r="N25" s="2509"/>
      <c r="O25" s="2333"/>
      <c r="P25" s="2509"/>
      <c r="Q25" s="2509"/>
      <c r="R25" s="2509"/>
      <c r="S25" s="2509"/>
      <c r="T25" s="2509"/>
      <c r="U25" s="2509"/>
      <c r="V25" s="2509"/>
    </row>
    <row r="26" spans="1:28">
      <c r="A26" s="2941"/>
      <c r="B26" s="2942" t="s">
        <v>492</v>
      </c>
      <c r="C26" s="2943"/>
      <c r="D26" s="2941" t="s">
        <v>492</v>
      </c>
      <c r="E26" s="2944"/>
      <c r="F26" s="2901"/>
      <c r="G26" s="2901"/>
      <c r="H26" s="2901"/>
      <c r="I26" s="2901"/>
      <c r="J26" s="2509"/>
      <c r="K26" s="2968"/>
      <c r="L26" s="2967"/>
      <c r="M26" s="2967"/>
      <c r="N26" s="2509"/>
      <c r="O26" s="2333"/>
      <c r="P26" s="2509"/>
      <c r="Q26" s="2509"/>
      <c r="R26" s="2509"/>
      <c r="S26" s="2509"/>
      <c r="T26" s="2509"/>
      <c r="U26" s="2509"/>
      <c r="V26" s="2509"/>
    </row>
    <row r="27" spans="1:28">
      <c r="A27" s="3232" t="s">
        <v>493</v>
      </c>
      <c r="B27" s="1890" t="s">
        <v>494</v>
      </c>
      <c r="C27" s="2945"/>
      <c r="D27" s="2946"/>
      <c r="E27" s="2647"/>
      <c r="F27" s="2647"/>
      <c r="G27" s="2647"/>
      <c r="H27" s="2647"/>
      <c r="I27" s="2647"/>
      <c r="J27" s="2509"/>
      <c r="K27" s="2975"/>
      <c r="L27" s="2333"/>
      <c r="M27" s="2333"/>
      <c r="N27" s="2509"/>
      <c r="O27" s="2333"/>
      <c r="P27" s="2509"/>
      <c r="Q27" s="2509"/>
      <c r="R27" s="2509"/>
      <c r="S27" s="2509"/>
      <c r="T27" s="2509"/>
      <c r="U27" s="2509"/>
      <c r="V27" s="2509"/>
    </row>
    <row r="28" spans="1:28">
      <c r="A28" s="3232"/>
      <c r="B28" s="1856" t="s">
        <v>495</v>
      </c>
      <c r="C28" s="2947"/>
      <c r="D28" s="2948"/>
      <c r="E28" s="2647"/>
      <c r="F28" s="2647"/>
      <c r="G28" s="2647"/>
      <c r="H28" s="2647"/>
      <c r="I28" s="2647"/>
      <c r="J28" s="2509"/>
      <c r="K28" s="2968"/>
      <c r="L28" s="2967"/>
      <c r="M28" s="2967"/>
      <c r="N28" s="2509"/>
      <c r="O28" s="2333"/>
      <c r="P28" s="2509"/>
      <c r="Q28" s="2509"/>
      <c r="R28" s="2509"/>
      <c r="S28" s="2509"/>
      <c r="T28" s="2509"/>
      <c r="U28" s="2509"/>
      <c r="V28" s="2509"/>
    </row>
    <row r="29" spans="1:28">
      <c r="A29" s="3232"/>
      <c r="B29" s="1856" t="s">
        <v>496</v>
      </c>
      <c r="C29" s="2949"/>
      <c r="D29" s="2950"/>
      <c r="E29" s="2647"/>
      <c r="F29" s="2647"/>
      <c r="G29" s="2647"/>
      <c r="H29" s="2647"/>
      <c r="I29" s="2647"/>
      <c r="J29" s="2509"/>
      <c r="K29" s="2968"/>
      <c r="L29" s="2967"/>
      <c r="M29" s="2967"/>
      <c r="N29" s="2509"/>
      <c r="O29" s="2333"/>
      <c r="P29" s="2509"/>
      <c r="Q29" s="2509"/>
      <c r="R29" s="2509"/>
      <c r="S29" s="2509"/>
      <c r="T29" s="2509"/>
      <c r="U29" s="2509"/>
      <c r="V29" s="2509"/>
    </row>
    <row r="30" spans="1:28">
      <c r="A30" s="3233"/>
      <c r="B30" s="1856" t="s">
        <v>497</v>
      </c>
      <c r="C30" s="3229"/>
      <c r="D30" s="3230"/>
      <c r="E30" s="2647"/>
      <c r="F30" s="2647"/>
      <c r="G30" s="2647"/>
      <c r="H30" s="2647"/>
      <c r="I30" s="2647"/>
      <c r="J30" s="2509"/>
      <c r="K30" s="2968"/>
      <c r="L30" s="2967"/>
      <c r="M30" s="2967"/>
      <c r="N30" s="2509"/>
      <c r="O30" s="2333"/>
      <c r="P30" s="2509"/>
      <c r="Q30" s="2509"/>
      <c r="R30" s="2509"/>
      <c r="S30" s="2509"/>
      <c r="T30" s="2509"/>
      <c r="U30" s="2509"/>
      <c r="V30" s="2509"/>
    </row>
    <row r="31" spans="1:28">
      <c r="A31" s="3234" t="s">
        <v>498</v>
      </c>
      <c r="B31" s="2951"/>
      <c r="C31" s="2006" t="str">
        <f>IF(B31="现房","成新及维护状况正常否",IF(B31="在建","工程状态是否正常",IF(B31="土地","是否闲置","-")))</f>
        <v>-</v>
      </c>
      <c r="D31" s="2101"/>
      <c r="E31" s="2952"/>
      <c r="F31" s="2647"/>
      <c r="G31" s="2647"/>
      <c r="H31" s="2647"/>
      <c r="I31" s="2647"/>
      <c r="J31" s="2509"/>
      <c r="K31" s="2966"/>
      <c r="L31" s="2967"/>
      <c r="M31" s="2967"/>
      <c r="N31" s="2509"/>
      <c r="O31" s="2333"/>
      <c r="P31" s="2509"/>
      <c r="Q31" s="2509"/>
      <c r="R31" s="2509"/>
      <c r="S31" s="2509"/>
      <c r="T31" s="2509"/>
      <c r="U31" s="2509"/>
      <c r="V31" s="2509"/>
    </row>
    <row r="32" spans="1:28">
      <c r="A32" s="3235"/>
      <c r="B32" s="2951"/>
      <c r="C32" s="2006" t="str">
        <f>IF(B32="现房","成新及维护状况是否正常",IF(B32="在建","工程状态是否正常",IF(B32="土地","是否闲置","-")))</f>
        <v>-</v>
      </c>
      <c r="D32" s="2101"/>
      <c r="E32" s="2952"/>
      <c r="F32" s="2647"/>
      <c r="G32" s="2647"/>
      <c r="H32" s="2647"/>
      <c r="I32" s="2647"/>
      <c r="J32" s="2509"/>
      <c r="K32" s="2968"/>
      <c r="L32" s="2967"/>
      <c r="M32" s="2967"/>
      <c r="N32" s="2509"/>
      <c r="O32" s="2333"/>
      <c r="P32" s="2509"/>
      <c r="Q32" s="2509"/>
      <c r="R32" s="2509"/>
      <c r="S32" s="2509"/>
      <c r="T32" s="2509"/>
      <c r="U32" s="2509"/>
      <c r="V32" s="2509"/>
    </row>
    <row r="33" spans="1:30">
      <c r="A33" s="3235"/>
      <c r="B33" s="2953"/>
      <c r="C33" s="2312" t="str">
        <f>IF(B33="现房","成新及维护状况是否正常",IF(B33="在建","工程状态是否正常",IF(B33="土地","是否闲置","-")))</f>
        <v>-</v>
      </c>
      <c r="D33" s="1865"/>
      <c r="E33" s="2954"/>
      <c r="F33" s="2647"/>
      <c r="G33" s="2647"/>
      <c r="H33" s="2647"/>
      <c r="I33" s="2647"/>
      <c r="J33" s="2509"/>
      <c r="K33" s="2968"/>
      <c r="L33" s="2967"/>
      <c r="M33" s="2967"/>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31" t="s">
        <v>507</v>
      </c>
      <c r="T34" s="1897" t="str">
        <f>NUMBERSTRING(7-K34,1)&amp;"通"</f>
        <v>七通</v>
      </c>
      <c r="U34" s="2509"/>
      <c r="V34" s="2509"/>
    </row>
    <row r="35" spans="1:30">
      <c r="A35" s="2955"/>
      <c r="B35" s="3231" t="s">
        <v>508</v>
      </c>
      <c r="C35" s="3231"/>
      <c r="D35" s="3231"/>
      <c r="E35" s="3231"/>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31"/>
      <c r="T35" s="895" t="str">
        <f>IF(T34="一通",L35,IF(T34="二通",M35,IF(T34="三通",N35,IF(T34="四通",O35,IF(T34="五通",P35,IF(T34="六通",Q35,R35))))))</f>
        <v>、、、、、、</v>
      </c>
      <c r="U35" s="2509"/>
      <c r="V35" s="2509"/>
    </row>
    <row r="36" spans="1:30">
      <c r="A36" s="2956"/>
      <c r="B36" s="949" t="s">
        <v>457</v>
      </c>
      <c r="C36" s="949" t="s">
        <v>458</v>
      </c>
      <c r="D36" s="949" t="s">
        <v>456</v>
      </c>
      <c r="E36" s="949" t="s">
        <v>461</v>
      </c>
      <c r="F36" s="2957" t="s">
        <v>280</v>
      </c>
      <c r="G36" s="2647"/>
      <c r="H36" s="2647"/>
      <c r="I36" s="2647"/>
      <c r="J36" s="2509"/>
      <c r="K36" s="2968"/>
      <c r="L36" s="2967"/>
      <c r="M36" s="2967"/>
      <c r="N36" s="2509"/>
      <c r="O36" s="2333"/>
      <c r="P36" s="2509"/>
      <c r="Q36" s="2509"/>
      <c r="R36" s="2509"/>
      <c r="S36" s="2509"/>
      <c r="T36" s="2509"/>
      <c r="U36" s="2509"/>
      <c r="V36" s="2509"/>
    </row>
    <row r="37" spans="1:30">
      <c r="A37" s="2958" t="s">
        <v>509</v>
      </c>
      <c r="B37" s="2959"/>
      <c r="C37" s="2959"/>
      <c r="D37" s="2959"/>
      <c r="E37" s="2959" t="s">
        <v>278</v>
      </c>
      <c r="F37" s="2959"/>
      <c r="G37" s="2647"/>
      <c r="H37" s="2647"/>
      <c r="I37" s="2647"/>
      <c r="J37" s="2509"/>
      <c r="K37" s="2968"/>
      <c r="L37" s="2967"/>
      <c r="M37" s="2967"/>
      <c r="N37" s="2509"/>
      <c r="O37" s="2333"/>
      <c r="P37" s="2509"/>
      <c r="Q37" s="2509"/>
      <c r="R37" s="2509"/>
      <c r="S37" s="2509"/>
      <c r="T37" s="2509"/>
      <c r="U37" s="2509"/>
      <c r="V37" s="2509"/>
    </row>
    <row r="38" spans="1:30">
      <c r="A38" s="2960" t="s">
        <v>510</v>
      </c>
      <c r="B38" s="2961"/>
      <c r="C38" s="2961"/>
      <c r="D38" s="2961"/>
      <c r="E38" s="2961" t="s">
        <v>511</v>
      </c>
      <c r="F38" s="2961"/>
      <c r="G38" s="2901"/>
      <c r="H38" s="2901"/>
      <c r="I38" s="2901"/>
      <c r="J38" s="2509"/>
      <c r="K38" s="2968"/>
      <c r="L38" s="2967"/>
      <c r="M38" s="2967"/>
      <c r="N38" s="2509"/>
      <c r="O38" s="2333"/>
      <c r="P38" s="2509"/>
      <c r="Q38" s="2509"/>
      <c r="R38" s="2509"/>
      <c r="S38" s="2509"/>
      <c r="T38" s="2509"/>
      <c r="U38" s="2509"/>
      <c r="V38" s="2509"/>
    </row>
    <row r="39" spans="1:30" s="2872" customFormat="1">
      <c r="A39" s="2962" t="s">
        <v>512</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2"/>
      <c r="J40" s="2509"/>
      <c r="K40" s="2966"/>
      <c r="L40" s="2333"/>
      <c r="M40" s="2333"/>
      <c r="N40" s="2509"/>
      <c r="O40" s="2333"/>
      <c r="P40" s="2509"/>
      <c r="Q40" s="2509"/>
      <c r="R40" s="2509"/>
      <c r="S40" s="2509"/>
      <c r="T40" s="2509"/>
      <c r="U40" s="2509"/>
      <c r="V40" s="2509"/>
    </row>
    <row r="41" spans="1:30">
      <c r="A41" s="2964" t="s">
        <v>513</v>
      </c>
      <c r="B41" s="2221"/>
      <c r="C41" s="2101"/>
      <c r="D41" s="2876"/>
      <c r="E41" s="2876"/>
      <c r="F41" s="2876"/>
      <c r="G41" s="2876"/>
      <c r="H41" s="2876"/>
      <c r="I41" s="2332"/>
      <c r="J41" s="2509"/>
      <c r="K41" s="2968"/>
      <c r="L41" s="2967"/>
      <c r="M41" s="2967"/>
      <c r="N41" s="2509"/>
      <c r="O41" s="2333"/>
      <c r="P41" s="2509"/>
      <c r="Q41" s="2509"/>
      <c r="R41" s="2509"/>
      <c r="S41" s="2509"/>
      <c r="T41" s="2509"/>
      <c r="U41" s="2509"/>
      <c r="V41" s="2509"/>
    </row>
    <row r="42" spans="1:30" ht="25.5">
      <c r="A42" s="1897" t="s">
        <v>514</v>
      </c>
      <c r="B42" s="949" t="s">
        <v>515</v>
      </c>
      <c r="C42" s="949" t="s">
        <v>516</v>
      </c>
      <c r="D42" s="949" t="s">
        <v>517</v>
      </c>
      <c r="E42" s="949" t="s">
        <v>518</v>
      </c>
      <c r="F42" s="949" t="s">
        <v>519</v>
      </c>
      <c r="G42" s="949" t="s">
        <v>520</v>
      </c>
      <c r="H42" s="949" t="s">
        <v>521</v>
      </c>
      <c r="I42" s="949" t="s">
        <v>522</v>
      </c>
      <c r="J42" s="2980" t="s">
        <v>523</v>
      </c>
      <c r="K42" s="2981" t="s">
        <v>524</v>
      </c>
      <c r="L42" s="2981" t="s">
        <v>525</v>
      </c>
      <c r="M42" s="2981" t="s">
        <v>526</v>
      </c>
      <c r="N42" s="2982" t="s">
        <v>527</v>
      </c>
      <c r="O42" s="2982" t="s">
        <v>528</v>
      </c>
      <c r="P42" s="2982" t="s">
        <v>529</v>
      </c>
      <c r="Q42" s="2987" t="s">
        <v>530</v>
      </c>
      <c r="R42" s="2987" t="s">
        <v>531</v>
      </c>
      <c r="S42" s="2509"/>
      <c r="T42" s="2509"/>
      <c r="U42" s="2509"/>
      <c r="V42" s="2509"/>
    </row>
    <row r="43" spans="1:30" s="2725" customFormat="1">
      <c r="A43" s="2819"/>
      <c r="B43" s="904"/>
      <c r="C43" s="904"/>
      <c r="D43" s="904"/>
      <c r="E43" s="904"/>
      <c r="F43" s="904"/>
      <c r="G43" s="904"/>
      <c r="H43" s="904"/>
      <c r="I43" s="904"/>
      <c r="J43" s="2983"/>
      <c r="K43" s="2984"/>
      <c r="L43" s="2984"/>
      <c r="M43" s="904"/>
      <c r="N43" s="904"/>
      <c r="O43" s="904"/>
      <c r="P43" s="904"/>
      <c r="Q43" s="904"/>
      <c r="R43" s="904"/>
      <c r="S43" s="2509"/>
      <c r="T43" s="2509"/>
      <c r="U43" s="2509"/>
      <c r="V43" s="2509"/>
    </row>
    <row r="44" spans="1:30" s="2725" customFormat="1">
      <c r="A44" s="2819"/>
      <c r="B44" s="2819"/>
      <c r="C44" s="904"/>
      <c r="D44" s="904"/>
      <c r="E44" s="904"/>
      <c r="F44" s="904"/>
      <c r="G44" s="904"/>
      <c r="H44" s="904"/>
      <c r="I44" s="904"/>
      <c r="J44" s="2983"/>
      <c r="K44" s="2984"/>
      <c r="L44" s="2984"/>
      <c r="M44" s="904"/>
      <c r="N44" s="904"/>
      <c r="O44" s="904"/>
      <c r="P44" s="904"/>
      <c r="Q44" s="904"/>
      <c r="R44" s="904"/>
      <c r="S44" s="2509"/>
      <c r="T44" s="2509"/>
      <c r="U44" s="2509"/>
      <c r="V44" s="2509"/>
    </row>
    <row r="45" spans="1:30" s="2725" customFormat="1">
      <c r="A45" s="2819"/>
      <c r="B45" s="2819"/>
      <c r="C45" s="904"/>
      <c r="D45" s="904"/>
      <c r="E45" s="904"/>
      <c r="F45" s="904"/>
      <c r="G45" s="904"/>
      <c r="H45" s="904"/>
      <c r="I45" s="904"/>
      <c r="J45" s="2983"/>
      <c r="K45" s="2984"/>
      <c r="L45" s="2984"/>
      <c r="M45" s="904"/>
      <c r="N45" s="904"/>
      <c r="O45" s="904"/>
      <c r="P45" s="904"/>
      <c r="Q45" s="904"/>
      <c r="R45" s="904"/>
      <c r="S45" s="2509"/>
      <c r="T45" s="2509"/>
      <c r="U45" s="2509"/>
      <c r="V45" s="2509"/>
    </row>
    <row r="46" spans="1:30" s="2725" customFormat="1">
      <c r="A46" s="2819"/>
      <c r="B46" s="2819"/>
      <c r="C46" s="904"/>
      <c r="D46" s="904"/>
      <c r="E46" s="904"/>
      <c r="F46" s="904"/>
      <c r="G46" s="904"/>
      <c r="H46" s="904"/>
      <c r="I46" s="904"/>
      <c r="J46" s="2983"/>
      <c r="K46" s="2984"/>
      <c r="L46" s="2984"/>
      <c r="M46" s="904"/>
      <c r="N46" s="904"/>
      <c r="O46" s="904"/>
      <c r="P46" s="904"/>
      <c r="Q46" s="904"/>
      <c r="R46" s="904"/>
      <c r="S46" s="2509"/>
      <c r="T46" s="2509"/>
      <c r="U46" s="2509"/>
      <c r="V46" s="2509"/>
    </row>
    <row r="47" spans="1:30" s="2725" customFormat="1">
      <c r="A47" s="2819"/>
      <c r="B47" s="2819"/>
      <c r="C47" s="904"/>
      <c r="D47" s="904"/>
      <c r="E47" s="904"/>
      <c r="F47" s="904"/>
      <c r="G47" s="904"/>
      <c r="H47" s="904"/>
      <c r="I47" s="904"/>
      <c r="J47" s="2983"/>
      <c r="K47" s="2984"/>
      <c r="L47" s="2984"/>
      <c r="M47" s="904"/>
      <c r="N47" s="904"/>
      <c r="O47" s="904"/>
      <c r="P47" s="904"/>
      <c r="Q47" s="904"/>
      <c r="R47" s="904"/>
      <c r="S47" s="2509"/>
      <c r="T47" s="2509"/>
      <c r="U47" s="2509"/>
      <c r="V47" s="2509"/>
    </row>
    <row r="48" spans="1:30" s="2725" customFormat="1">
      <c r="A48" s="2819"/>
      <c r="B48" s="2819"/>
      <c r="C48" s="904"/>
      <c r="D48" s="904"/>
      <c r="E48" s="904"/>
      <c r="F48" s="904"/>
      <c r="G48" s="904"/>
      <c r="H48" s="904"/>
      <c r="I48" s="904"/>
      <c r="J48" s="2983"/>
      <c r="K48" s="2984"/>
      <c r="L48" s="2984"/>
      <c r="M48" s="904"/>
      <c r="N48" s="904"/>
      <c r="O48" s="904"/>
      <c r="P48" s="904"/>
      <c r="Q48" s="904"/>
      <c r="R48" s="904"/>
      <c r="S48" s="2509"/>
      <c r="T48" s="2509"/>
      <c r="U48" s="2509"/>
      <c r="V48" s="2509"/>
    </row>
    <row r="49" spans="1:22" s="2725" customFormat="1">
      <c r="A49" s="2819"/>
      <c r="B49" s="2819"/>
      <c r="C49" s="904"/>
      <c r="D49" s="904"/>
      <c r="E49" s="904"/>
      <c r="F49" s="904"/>
      <c r="G49" s="904"/>
      <c r="H49" s="904"/>
      <c r="I49" s="904"/>
      <c r="J49" s="2983"/>
      <c r="K49" s="2984"/>
      <c r="L49" s="2984"/>
      <c r="M49" s="904"/>
      <c r="N49" s="904"/>
      <c r="O49" s="904"/>
      <c r="P49" s="904"/>
      <c r="Q49" s="904"/>
      <c r="R49" s="904"/>
      <c r="S49" s="2509"/>
      <c r="T49" s="2509"/>
      <c r="U49" s="2509"/>
      <c r="V49" s="2509"/>
    </row>
    <row r="50" spans="1:22" s="2725" customFormat="1">
      <c r="A50" s="2819"/>
      <c r="B50" s="2819"/>
      <c r="C50" s="904"/>
      <c r="D50" s="904"/>
      <c r="E50" s="904"/>
      <c r="F50" s="904"/>
      <c r="G50" s="904"/>
      <c r="H50" s="904"/>
      <c r="I50" s="904"/>
      <c r="J50" s="2983"/>
      <c r="K50" s="2984"/>
      <c r="L50" s="2984"/>
      <c r="M50" s="904"/>
      <c r="N50" s="904"/>
      <c r="O50" s="904"/>
      <c r="P50" s="904"/>
      <c r="Q50" s="904"/>
      <c r="R50" s="904"/>
      <c r="S50" s="2509"/>
      <c r="T50" s="2509"/>
      <c r="U50" s="2509"/>
      <c r="V50" s="2509"/>
    </row>
    <row r="51" spans="1:22" s="2725" customFormat="1">
      <c r="A51" s="2819"/>
      <c r="B51" s="2819"/>
      <c r="C51" s="904"/>
      <c r="D51" s="904"/>
      <c r="E51" s="904"/>
      <c r="F51" s="904"/>
      <c r="G51" s="904"/>
      <c r="H51" s="904"/>
      <c r="I51" s="904"/>
      <c r="J51" s="2983"/>
      <c r="K51" s="2984"/>
      <c r="L51" s="2984"/>
      <c r="M51" s="904"/>
      <c r="N51" s="904"/>
      <c r="O51" s="904"/>
      <c r="P51" s="904"/>
      <c r="Q51" s="904"/>
      <c r="R51" s="904"/>
    </row>
    <row r="52" spans="1:22" s="2725" customFormat="1">
      <c r="A52" s="2819"/>
      <c r="B52" s="2819"/>
      <c r="C52" s="2819"/>
      <c r="D52" s="2819"/>
      <c r="E52" s="2819"/>
      <c r="F52" s="904"/>
      <c r="G52" s="2819"/>
      <c r="H52" s="2819"/>
      <c r="I52" s="2819"/>
      <c r="J52" s="2985"/>
      <c r="K52" s="2984"/>
      <c r="L52" s="2984"/>
      <c r="M52" s="2984"/>
      <c r="N52" s="2819"/>
      <c r="O52" s="2819"/>
      <c r="P52" s="2819"/>
      <c r="Q52" s="2819"/>
      <c r="R52" s="2819"/>
    </row>
    <row r="53" spans="1:22" s="2725" customFormat="1">
      <c r="A53" s="2819"/>
      <c r="B53" s="2819"/>
      <c r="C53" s="2819"/>
      <c r="D53" s="2819"/>
      <c r="E53" s="2819"/>
      <c r="F53" s="904"/>
      <c r="G53" s="2819"/>
      <c r="H53" s="2819"/>
      <c r="I53" s="2819"/>
      <c r="J53" s="2985"/>
      <c r="K53" s="2984"/>
      <c r="L53" s="2984"/>
      <c r="M53" s="2984"/>
      <c r="N53" s="2819"/>
      <c r="O53" s="2819"/>
      <c r="P53" s="2819"/>
      <c r="Q53" s="2819"/>
      <c r="R53" s="2819"/>
    </row>
    <row r="54" spans="1:22" s="2725" customFormat="1">
      <c r="A54" s="2819"/>
      <c r="B54" s="2819"/>
      <c r="C54" s="2819"/>
      <c r="D54" s="2819"/>
      <c r="E54" s="2819"/>
      <c r="F54" s="904"/>
      <c r="G54" s="2819"/>
      <c r="H54" s="2819"/>
      <c r="I54" s="2819"/>
      <c r="J54" s="2985"/>
      <c r="K54" s="2984"/>
      <c r="L54" s="2984"/>
      <c r="M54" s="2984"/>
      <c r="N54" s="2819"/>
      <c r="O54" s="2819"/>
      <c r="P54" s="2819"/>
      <c r="Q54" s="2819"/>
      <c r="R54" s="2819"/>
    </row>
    <row r="55" spans="1:22" s="2725" customFormat="1">
      <c r="A55" s="2819"/>
      <c r="B55" s="2819"/>
      <c r="C55" s="2819"/>
      <c r="D55" s="2819"/>
      <c r="E55" s="2819"/>
      <c r="F55" s="904"/>
      <c r="G55" s="2819"/>
      <c r="H55" s="2819"/>
      <c r="I55" s="2819"/>
      <c r="J55" s="2985"/>
      <c r="K55" s="2984"/>
      <c r="L55" s="2984"/>
      <c r="M55" s="2984"/>
      <c r="N55" s="2819"/>
      <c r="O55" s="2819"/>
      <c r="P55" s="2819"/>
      <c r="Q55" s="2819"/>
      <c r="R55" s="2819"/>
    </row>
    <row r="56" spans="1:22" s="2725" customFormat="1">
      <c r="A56" s="2819"/>
      <c r="B56" s="2819"/>
      <c r="C56" s="2819"/>
      <c r="D56" s="2819"/>
      <c r="E56" s="2819"/>
      <c r="F56" s="904"/>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295" t="s">
        <v>532</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533</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49" t="s">
        <v>473</v>
      </c>
      <c r="B2" s="949" t="s">
        <v>469</v>
      </c>
      <c r="C2" s="949" t="s">
        <v>534</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51" t="s">
        <v>535</v>
      </c>
      <c r="AZ2" s="2852" t="s">
        <v>536</v>
      </c>
      <c r="BA2" s="949" t="s">
        <v>537</v>
      </c>
      <c r="BB2" s="2332"/>
      <c r="BC2" s="2332"/>
      <c r="BD2" s="2332"/>
      <c r="BE2" s="2332"/>
      <c r="BF2" s="2332"/>
      <c r="BG2" s="2332"/>
      <c r="BH2" s="2332"/>
      <c r="BI2" s="2332"/>
      <c r="BJ2" s="2332"/>
      <c r="BK2" s="2332"/>
      <c r="BL2" s="2332"/>
      <c r="BM2" s="2332"/>
      <c r="BN2" s="2332"/>
      <c r="BO2" s="2332"/>
      <c r="BP2" s="2332"/>
      <c r="BQ2" s="2332"/>
      <c r="BR2" s="2332"/>
      <c r="BS2" s="2332"/>
      <c r="BT2" s="2332"/>
    </row>
    <row r="3" spans="1:72" s="2792" customFormat="1" ht="12.75">
      <c r="A3" s="2797">
        <f>Sheet1!E13</f>
        <v>67351.83</v>
      </c>
      <c r="B3" s="2798">
        <f>IF(C3="否",G5-AT5,G5)</f>
        <v>12749.85</v>
      </c>
      <c r="C3" s="2799" t="s">
        <v>538</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53"/>
      <c r="AZ3" s="904"/>
      <c r="BA3" s="2840"/>
      <c r="BB3" s="2332"/>
      <c r="BC3" s="2332"/>
      <c r="BD3" s="2332"/>
      <c r="BE3" s="2332"/>
      <c r="BF3" s="2332"/>
      <c r="BG3" s="2332"/>
      <c r="BH3" s="2332"/>
      <c r="BI3" s="2332"/>
      <c r="BJ3" s="2332"/>
      <c r="BK3" s="2332"/>
      <c r="BL3" s="2332"/>
      <c r="BM3" s="2332"/>
      <c r="BN3" s="2332"/>
      <c r="BO3" s="2332"/>
      <c r="BP3" s="2332"/>
      <c r="BQ3" s="2332"/>
      <c r="BR3" s="2332"/>
      <c r="BS3" s="2332"/>
      <c r="BT3" s="2332"/>
    </row>
    <row r="4" spans="1:72" s="2792" customFormat="1" ht="12.75">
      <c r="A4" s="566"/>
      <c r="B4" s="2800"/>
      <c r="C4" s="2801"/>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54"/>
      <c r="BB4" s="2332"/>
      <c r="BC4" s="2332"/>
      <c r="BD4" s="2332"/>
      <c r="BE4" s="2332"/>
      <c r="BF4" s="2332"/>
      <c r="BG4" s="2332"/>
      <c r="BH4" s="2332"/>
      <c r="BI4" s="2332"/>
      <c r="BJ4" s="2332"/>
      <c r="BK4" s="2332"/>
      <c r="BL4" s="2332"/>
      <c r="BM4" s="2332"/>
      <c r="BN4" s="2332"/>
      <c r="BO4" s="2332"/>
      <c r="BP4" s="2332"/>
      <c r="BQ4" s="2332"/>
      <c r="BR4" s="2332"/>
      <c r="BS4" s="2332"/>
      <c r="BT4" s="2332"/>
    </row>
    <row r="5" spans="1:72" s="2792" customFormat="1" ht="12.75">
      <c r="A5" s="2006" t="s">
        <v>539</v>
      </c>
      <c r="B5" s="2219"/>
      <c r="C5" s="2219"/>
      <c r="D5" s="2342"/>
      <c r="E5" s="2802" t="s">
        <v>124</v>
      </c>
      <c r="F5" s="2802">
        <f>SUM(F13:F587)</f>
        <v>0</v>
      </c>
      <c r="G5" s="2802">
        <f>SUM(G13:G587)</f>
        <v>12749.85</v>
      </c>
      <c r="H5" s="2802">
        <f t="shared" ref="H5:AT5" si="0">SUM(H13:H656)</f>
        <v>12749.85</v>
      </c>
      <c r="I5" s="2802">
        <f t="shared" si="0"/>
        <v>12749.85</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18"/>
      <c r="AV5" s="2006" t="s">
        <v>539</v>
      </c>
      <c r="AW5" s="2219"/>
      <c r="AX5" s="2219"/>
      <c r="AY5" s="899" t="s">
        <v>124</v>
      </c>
      <c r="AZ5" s="2855">
        <f t="shared" ref="AZ5:BT5" si="1">SUM(AZ13:AZ656)</f>
        <v>12749.85</v>
      </c>
      <c r="BA5" s="2855">
        <f t="shared" si="1"/>
        <v>12749.85</v>
      </c>
      <c r="BB5" s="2855">
        <f t="shared" si="1"/>
        <v>12749.85</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2.75">
      <c r="A6" s="2006" t="s">
        <v>540</v>
      </c>
      <c r="B6" s="2803"/>
      <c r="C6" s="2803"/>
      <c r="D6" s="2804"/>
      <c r="E6" s="2802">
        <f>H6+AC6+AT6</f>
        <v>67351.83</v>
      </c>
      <c r="F6" s="2802" t="s">
        <v>124</v>
      </c>
      <c r="G6" s="2802" t="s">
        <v>124</v>
      </c>
      <c r="H6" s="2805">
        <f>SUMIF(I$12:AB$12,"总值",I6:AB6)</f>
        <v>67351.83</v>
      </c>
      <c r="I6" s="2802">
        <f t="shared" ref="I6:AB6" si="2">ROUND($A$3*I5/$B$3,2)</f>
        <v>67351.83</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2006" t="s">
        <v>540</v>
      </c>
      <c r="AW6" s="2803"/>
      <c r="AX6" s="2803"/>
      <c r="AY6" s="2856">
        <f>IF(AY3&gt;0,AY3,ROUND($A$3*AZ5/$B$3,2))</f>
        <v>67351.83</v>
      </c>
      <c r="AZ6" s="2802" t="s">
        <v>124</v>
      </c>
      <c r="BA6" s="2802">
        <f>ROUND($AY$6*BA5/$AZ$5,2)</f>
        <v>67351.83</v>
      </c>
      <c r="BB6" s="2802">
        <f>ROUND($AY$6*BB5/$AZ$5,2)</f>
        <v>67351.83</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4.75">
      <c r="A7" s="2806" t="s">
        <v>541</v>
      </c>
      <c r="B7" s="2806" t="s">
        <v>542</v>
      </c>
      <c r="C7" s="2806" t="s">
        <v>515</v>
      </c>
      <c r="D7" s="2806" t="s">
        <v>543</v>
      </c>
      <c r="E7" s="2806" t="s">
        <v>540</v>
      </c>
      <c r="F7" s="2806" t="s">
        <v>544</v>
      </c>
      <c r="G7" s="2312" t="s">
        <v>545</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2"/>
      <c r="AU7" s="2807" t="s">
        <v>546</v>
      </c>
      <c r="AV7" s="2845" t="s">
        <v>541</v>
      </c>
      <c r="AW7" s="2332" t="s">
        <v>542</v>
      </c>
      <c r="AX7" s="2845" t="s">
        <v>515</v>
      </c>
      <c r="AY7" s="2219" t="s">
        <v>547</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0" customFormat="1" ht="24">
      <c r="A8" s="2808"/>
      <c r="B8" s="2808"/>
      <c r="C8" s="2808"/>
      <c r="D8" s="2808"/>
      <c r="E8" s="2808"/>
      <c r="F8" s="2808"/>
      <c r="G8" s="2809" t="s">
        <v>548</v>
      </c>
      <c r="H8" s="2810" t="s">
        <v>549</v>
      </c>
      <c r="I8" s="2825"/>
      <c r="J8" s="948"/>
      <c r="K8" s="948"/>
      <c r="L8" s="948"/>
      <c r="M8" s="948"/>
      <c r="N8" s="948"/>
      <c r="O8" s="948"/>
      <c r="P8" s="948"/>
      <c r="Q8" s="948"/>
      <c r="R8" s="948"/>
      <c r="S8" s="948"/>
      <c r="T8" s="948"/>
      <c r="U8" s="948"/>
      <c r="V8" s="2832"/>
      <c r="W8" s="948"/>
      <c r="X8" s="948"/>
      <c r="Y8" s="948"/>
      <c r="Z8" s="948"/>
      <c r="AA8" s="2832"/>
      <c r="AB8" s="2834"/>
      <c r="AC8" s="2149" t="s">
        <v>550</v>
      </c>
      <c r="AD8" s="2835"/>
      <c r="AE8" s="2836"/>
      <c r="AF8" s="948"/>
      <c r="AG8" s="948"/>
      <c r="AH8" s="948"/>
      <c r="AI8" s="948"/>
      <c r="AJ8" s="948"/>
      <c r="AK8" s="948"/>
      <c r="AL8" s="948"/>
      <c r="AM8" s="948"/>
      <c r="AN8" s="948"/>
      <c r="AO8" s="948"/>
      <c r="AP8" s="948"/>
      <c r="AQ8" s="948"/>
      <c r="AR8" s="948"/>
      <c r="AS8" s="948"/>
      <c r="AT8" s="1849" t="s">
        <v>551</v>
      </c>
      <c r="AU8" s="2808" t="s">
        <v>552</v>
      </c>
      <c r="AV8" s="1849"/>
      <c r="AW8" s="2293"/>
      <c r="AX8" s="1849"/>
      <c r="AY8" s="2332" t="s">
        <v>540</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8"/>
      <c r="B9" s="2808"/>
      <c r="C9" s="2808"/>
      <c r="D9" s="2808"/>
      <c r="E9" s="2808"/>
      <c r="F9" s="2808"/>
      <c r="G9" s="1849"/>
      <c r="H9" s="2811" t="s">
        <v>553</v>
      </c>
      <c r="I9" s="2826" t="s">
        <v>431</v>
      </c>
      <c r="J9" s="2149"/>
      <c r="K9" s="2826"/>
      <c r="L9" s="2149"/>
      <c r="M9" s="2826"/>
      <c r="N9" s="2149"/>
      <c r="O9" s="2826"/>
      <c r="P9" s="2149"/>
      <c r="Q9" s="2826"/>
      <c r="R9" s="2149"/>
      <c r="S9" s="2826"/>
      <c r="T9" s="2149"/>
      <c r="U9" s="2826"/>
      <c r="V9" s="2149"/>
      <c r="W9" s="2826"/>
      <c r="X9" s="2833"/>
      <c r="Y9" s="2826"/>
      <c r="Z9" s="2149"/>
      <c r="AA9" s="2826"/>
      <c r="AB9" s="2149"/>
      <c r="AC9" s="2809" t="s">
        <v>553</v>
      </c>
      <c r="AD9" s="2006" t="s">
        <v>554</v>
      </c>
      <c r="AE9" s="1861"/>
      <c r="AF9" s="2006" t="s">
        <v>555</v>
      </c>
      <c r="AG9" s="1861"/>
      <c r="AH9" s="2006" t="s">
        <v>554</v>
      </c>
      <c r="AI9" s="1861"/>
      <c r="AJ9" s="2006" t="s">
        <v>555</v>
      </c>
      <c r="AK9" s="1861"/>
      <c r="AL9" s="2006" t="s">
        <v>554</v>
      </c>
      <c r="AM9" s="1861"/>
      <c r="AN9" s="2006" t="s">
        <v>555</v>
      </c>
      <c r="AO9" s="1861"/>
      <c r="AP9" s="2006" t="s">
        <v>554</v>
      </c>
      <c r="AQ9" s="1861"/>
      <c r="AR9" s="2006" t="s">
        <v>555</v>
      </c>
      <c r="AS9" s="2846"/>
      <c r="AT9" s="2808"/>
      <c r="AU9" s="2808" t="s">
        <v>556</v>
      </c>
      <c r="AV9" s="1849"/>
      <c r="AW9" s="2293"/>
      <c r="AX9" s="1849"/>
      <c r="AY9" s="2812"/>
      <c r="AZ9" s="2812" t="s">
        <v>548</v>
      </c>
      <c r="BA9" s="2857" t="s">
        <v>557</v>
      </c>
      <c r="BB9" s="2858"/>
      <c r="BC9" s="1906"/>
      <c r="BD9" s="1906"/>
      <c r="BE9" s="1906"/>
      <c r="BF9" s="1906"/>
      <c r="BG9" s="1906"/>
      <c r="BH9" s="1906"/>
      <c r="BI9" s="1906"/>
      <c r="BJ9" s="1906"/>
      <c r="BK9" s="2862"/>
      <c r="BL9" s="2006" t="s">
        <v>558</v>
      </c>
      <c r="BM9" s="948"/>
      <c r="BN9" s="2825"/>
      <c r="BO9" s="948"/>
      <c r="BP9" s="948"/>
      <c r="BQ9" s="948"/>
      <c r="BR9" s="948"/>
      <c r="BS9" s="948"/>
      <c r="BT9" s="1895"/>
    </row>
    <row r="10" spans="1:72" s="2550" customFormat="1" ht="12.75">
      <c r="A10" s="2808"/>
      <c r="B10" s="2808"/>
      <c r="C10" s="2808"/>
      <c r="D10" s="2808"/>
      <c r="E10" s="2808"/>
      <c r="F10" s="2808"/>
      <c r="G10" s="1849"/>
      <c r="H10" s="2812"/>
      <c r="I10" s="2826" t="s">
        <v>408</v>
      </c>
      <c r="J10" s="2149"/>
      <c r="K10" s="2827"/>
      <c r="L10" s="2149"/>
      <c r="M10" s="2827"/>
      <c r="N10" s="2149"/>
      <c r="O10" s="2827"/>
      <c r="P10" s="2149"/>
      <c r="Q10" s="2827"/>
      <c r="R10" s="2149"/>
      <c r="S10" s="2827"/>
      <c r="T10" s="2149"/>
      <c r="U10" s="2827"/>
      <c r="V10" s="2149"/>
      <c r="W10" s="2827"/>
      <c r="X10" s="2149"/>
      <c r="Y10" s="2827"/>
      <c r="Z10" s="2149"/>
      <c r="AA10" s="2827"/>
      <c r="AB10" s="2149"/>
      <c r="AC10" s="1849"/>
      <c r="AD10" s="2006" t="s">
        <v>559</v>
      </c>
      <c r="AE10" s="2837"/>
      <c r="AF10" s="2006" t="s">
        <v>559</v>
      </c>
      <c r="AG10" s="2837"/>
      <c r="AH10" s="2006" t="s">
        <v>560</v>
      </c>
      <c r="AI10" s="2837"/>
      <c r="AJ10" s="2006" t="s">
        <v>560</v>
      </c>
      <c r="AK10" s="2837"/>
      <c r="AL10" s="2006" t="s">
        <v>561</v>
      </c>
      <c r="AM10" s="1861"/>
      <c r="AN10" s="2006" t="s">
        <v>561</v>
      </c>
      <c r="AO10" s="1861"/>
      <c r="AP10" s="2006" t="s">
        <v>562</v>
      </c>
      <c r="AQ10" s="1861"/>
      <c r="AR10" s="2006" t="s">
        <v>562</v>
      </c>
      <c r="AS10" s="1861"/>
      <c r="AT10" s="2808"/>
      <c r="AU10" s="2808"/>
      <c r="AV10" s="1849"/>
      <c r="AW10" s="2293"/>
      <c r="AX10" s="1849"/>
      <c r="AY10" s="2812"/>
      <c r="AZ10" s="2812"/>
      <c r="BA10" s="2813" t="s">
        <v>553</v>
      </c>
      <c r="BB10" s="2859" t="str">
        <f>I9</f>
        <v>地上</v>
      </c>
      <c r="BC10" s="1918">
        <f>K9</f>
        <v>0</v>
      </c>
      <c r="BD10" s="1918">
        <f>M9</f>
        <v>0</v>
      </c>
      <c r="BE10" s="1918">
        <f>O9</f>
        <v>0</v>
      </c>
      <c r="BF10" s="1918">
        <f>Q9</f>
        <v>0</v>
      </c>
      <c r="BG10" s="1918">
        <f>S9</f>
        <v>0</v>
      </c>
      <c r="BH10" s="1918">
        <f>U9</f>
        <v>0</v>
      </c>
      <c r="BI10" s="1918">
        <f>W9</f>
        <v>0</v>
      </c>
      <c r="BJ10" s="1918">
        <f>Y9</f>
        <v>0</v>
      </c>
      <c r="BK10" s="1918">
        <f>AA9</f>
        <v>0</v>
      </c>
      <c r="BL10" s="1914" t="s">
        <v>553</v>
      </c>
      <c r="BM10" s="947" t="str">
        <f>AD9</f>
        <v>地上</v>
      </c>
      <c r="BN10" s="1918" t="str">
        <f>AF9</f>
        <v>地下</v>
      </c>
      <c r="BO10" s="947" t="str">
        <f>AH9</f>
        <v>地上</v>
      </c>
      <c r="BP10" s="1918" t="str">
        <f>AJ9</f>
        <v>地下</v>
      </c>
      <c r="BQ10" s="947" t="str">
        <f>AL9</f>
        <v>地上</v>
      </c>
      <c r="BR10" s="1918" t="str">
        <f>AN9</f>
        <v>地下</v>
      </c>
      <c r="BS10" s="947" t="str">
        <f>AP9</f>
        <v>地上</v>
      </c>
      <c r="BT10" s="2866" t="str">
        <f>AR9</f>
        <v>地下</v>
      </c>
    </row>
    <row r="11" spans="1:72" s="2550" customFormat="1" ht="12.75">
      <c r="A11" s="2808"/>
      <c r="B11" s="2808"/>
      <c r="C11" s="2808"/>
      <c r="D11" s="2808"/>
      <c r="E11" s="2808"/>
      <c r="F11" s="2808"/>
      <c r="G11" s="1849"/>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49"/>
      <c r="AD11" s="2838" t="s">
        <v>563</v>
      </c>
      <c r="AE11" s="999"/>
      <c r="AF11" s="2838" t="s">
        <v>563</v>
      </c>
      <c r="AG11" s="999"/>
      <c r="AH11" s="2838" t="s">
        <v>564</v>
      </c>
      <c r="AI11" s="2842"/>
      <c r="AJ11" s="2838" t="s">
        <v>564</v>
      </c>
      <c r="AK11" s="999"/>
      <c r="AL11" s="947"/>
      <c r="AM11" s="999"/>
      <c r="AN11" s="947"/>
      <c r="AO11" s="999"/>
      <c r="AP11" s="947"/>
      <c r="AQ11" s="999"/>
      <c r="AR11" s="947"/>
      <c r="AS11" s="999"/>
      <c r="AT11" s="2293"/>
      <c r="AU11" s="2808"/>
      <c r="AV11" s="1849"/>
      <c r="AW11" s="2293"/>
      <c r="AX11" s="1849"/>
      <c r="AY11" s="2812"/>
      <c r="AZ11" s="2812"/>
      <c r="BA11" s="2812"/>
      <c r="BB11" s="2834" t="str">
        <f>I10</f>
        <v>工业</v>
      </c>
      <c r="BC11" s="2834">
        <f>K10</f>
        <v>0</v>
      </c>
      <c r="BD11" s="2834">
        <f>M10</f>
        <v>0</v>
      </c>
      <c r="BE11" s="2834">
        <f>O10</f>
        <v>0</v>
      </c>
      <c r="BF11" s="2834">
        <f>Q10</f>
        <v>0</v>
      </c>
      <c r="BG11" s="2834">
        <f>S10</f>
        <v>0</v>
      </c>
      <c r="BH11" s="2834">
        <f>U10</f>
        <v>0</v>
      </c>
      <c r="BI11" s="2834">
        <f>W10</f>
        <v>0</v>
      </c>
      <c r="BJ11" s="2834">
        <f>Y10</f>
        <v>0</v>
      </c>
      <c r="BK11" s="2834">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7" t="str">
        <f>AR10</f>
        <v>未注明</v>
      </c>
    </row>
    <row r="12" spans="1:72" s="2792" customFormat="1" ht="12.75">
      <c r="A12" s="2814"/>
      <c r="B12" s="2814"/>
      <c r="C12" s="2814"/>
      <c r="D12" s="2814"/>
      <c r="E12" s="2814"/>
      <c r="F12" s="2814"/>
      <c r="G12" s="560"/>
      <c r="H12" s="2815"/>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9"/>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14" t="s">
        <v>566</v>
      </c>
      <c r="AT12" s="2847"/>
      <c r="AU12" s="2814"/>
      <c r="AV12" s="2848"/>
      <c r="AW12" s="2332"/>
      <c r="AX12" s="2848"/>
      <c r="AY12" s="2860"/>
      <c r="AZ12" s="2812"/>
      <c r="BA12" s="2813"/>
      <c r="BB12" s="946">
        <f>I11</f>
        <v>0</v>
      </c>
      <c r="BC12" s="2861">
        <f>K11</f>
        <v>0</v>
      </c>
      <c r="BD12" s="2861">
        <f>M11</f>
        <v>0</v>
      </c>
      <c r="BE12" s="2834">
        <f>O11</f>
        <v>0</v>
      </c>
      <c r="BF12" s="2834">
        <f>Q11</f>
        <v>0</v>
      </c>
      <c r="BG12" s="2834">
        <f>S11</f>
        <v>0</v>
      </c>
      <c r="BH12" s="2834">
        <f>U11</f>
        <v>0</v>
      </c>
      <c r="BI12" s="2834">
        <f>W11</f>
        <v>0</v>
      </c>
      <c r="BJ12" s="2834">
        <f>Y11</f>
        <v>0</v>
      </c>
      <c r="BK12" s="2834">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7">
        <f>AR11</f>
        <v>0</v>
      </c>
    </row>
    <row r="13" spans="1:72" s="2792" customFormat="1" ht="12.75">
      <c r="A13" s="904"/>
      <c r="B13" s="904"/>
      <c r="C13" s="904"/>
      <c r="D13" s="2816" t="s">
        <v>567</v>
      </c>
      <c r="E13" s="2802">
        <f>IF($C$3="是",ROUND($A$3*G13/$B$3,2),ROUND($A$3*(G13-AT13)/$B$3,2))</f>
        <v>67351.83</v>
      </c>
      <c r="F13" s="2817"/>
      <c r="G13" s="2818">
        <f>H13+AC13+AT13</f>
        <v>12749.85</v>
      </c>
      <c r="H13" s="2805">
        <f>SUMIF(I$12:AB$12,"总值",I13:AB13)</f>
        <v>12749.85</v>
      </c>
      <c r="I13" s="2830">
        <f>Sheet1!E15</f>
        <v>12749.85</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49">
        <f t="shared" ref="AV13:AX17" si="6">A13</f>
        <v>0</v>
      </c>
      <c r="AW13" s="949">
        <f t="shared" si="6"/>
        <v>0</v>
      </c>
      <c r="AX13" s="949">
        <f t="shared" si="6"/>
        <v>0</v>
      </c>
      <c r="AY13" s="2342">
        <f>ROUND($AY$6*AZ13/$AZ$5,2)</f>
        <v>67351.83</v>
      </c>
      <c r="AZ13" s="2802">
        <f>BA13+BL13</f>
        <v>12749.85</v>
      </c>
      <c r="BA13" s="2802">
        <f>SUM(BB13:BK13)</f>
        <v>12749.85</v>
      </c>
      <c r="BB13" s="2802">
        <f>IF($D13="是",I13-J13,0)</f>
        <v>12749.85</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2.75">
      <c r="A14" s="904"/>
      <c r="B14" s="904"/>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49">
        <f t="shared" si="6"/>
        <v>0</v>
      </c>
      <c r="AW14" s="949">
        <f t="shared" si="6"/>
        <v>0</v>
      </c>
      <c r="AX14" s="949">
        <f t="shared" si="6"/>
        <v>0</v>
      </c>
      <c r="AY14" s="2342">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2.75">
      <c r="A15" s="904"/>
      <c r="B15" s="904"/>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49">
        <f t="shared" si="6"/>
        <v>0</v>
      </c>
      <c r="AW15" s="949">
        <f t="shared" si="6"/>
        <v>0</v>
      </c>
      <c r="AX15" s="949">
        <f t="shared" si="6"/>
        <v>0</v>
      </c>
      <c r="AY15" s="2342">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2.75">
      <c r="A16" s="904"/>
      <c r="B16" s="904"/>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49">
        <f t="shared" si="6"/>
        <v>0</v>
      </c>
      <c r="AW16" s="949">
        <f t="shared" si="6"/>
        <v>0</v>
      </c>
      <c r="AX16" s="949">
        <f t="shared" si="6"/>
        <v>0</v>
      </c>
      <c r="AY16" s="2342">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2.75">
      <c r="A17" s="904"/>
      <c r="B17" s="904"/>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49">
        <f t="shared" si="6"/>
        <v>0</v>
      </c>
      <c r="AW17" s="949">
        <f t="shared" si="6"/>
        <v>0</v>
      </c>
      <c r="AX17" s="949">
        <f t="shared" si="6"/>
        <v>0</v>
      </c>
      <c r="AY17" s="2342">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39"/>
      <c r="B18" s="1247"/>
      <c r="C18" s="1247"/>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0">
        <f t="shared" ref="AV18:AV112" si="11">A18</f>
        <v>0</v>
      </c>
      <c r="AW18" s="790">
        <f t="shared" ref="AW18:AW112" si="12">B18</f>
        <v>0</v>
      </c>
      <c r="AX18" s="790">
        <f t="shared" ref="AX18:AX112" si="13">C18</f>
        <v>0</v>
      </c>
      <c r="AY18" s="1174">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39"/>
      <c r="B19" s="1247"/>
      <c r="C19" s="1247"/>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0">
        <f t="shared" si="11"/>
        <v>0</v>
      </c>
      <c r="AW19" s="790">
        <f t="shared" si="12"/>
        <v>0</v>
      </c>
      <c r="AX19" s="790">
        <f t="shared" si="13"/>
        <v>0</v>
      </c>
      <c r="AY19" s="1174">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39"/>
      <c r="B20" s="1247"/>
      <c r="C20" s="1247"/>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0">
        <f t="shared" si="11"/>
        <v>0</v>
      </c>
      <c r="AW20" s="790">
        <f t="shared" si="12"/>
        <v>0</v>
      </c>
      <c r="AX20" s="790">
        <f t="shared" si="13"/>
        <v>0</v>
      </c>
      <c r="AY20" s="1174">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39"/>
      <c r="B21" s="1247"/>
      <c r="C21" s="1247"/>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0">
        <f t="shared" si="11"/>
        <v>0</v>
      </c>
      <c r="AW21" s="790">
        <f t="shared" si="12"/>
        <v>0</v>
      </c>
      <c r="AX21" s="790">
        <f t="shared" si="13"/>
        <v>0</v>
      </c>
      <c r="AY21" s="1174">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39"/>
      <c r="B22" s="1247"/>
      <c r="C22" s="1247"/>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0">
        <f t="shared" si="11"/>
        <v>0</v>
      </c>
      <c r="AW22" s="790">
        <f t="shared" si="12"/>
        <v>0</v>
      </c>
      <c r="AX22" s="790">
        <f t="shared" si="13"/>
        <v>0</v>
      </c>
      <c r="AY22" s="1174">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39"/>
      <c r="B23" s="1247"/>
      <c r="C23" s="1247"/>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0">
        <f t="shared" si="11"/>
        <v>0</v>
      </c>
      <c r="AW23" s="790">
        <f t="shared" si="12"/>
        <v>0</v>
      </c>
      <c r="AX23" s="790">
        <f t="shared" si="13"/>
        <v>0</v>
      </c>
      <c r="AY23" s="1174">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39"/>
      <c r="B24" s="1247"/>
      <c r="C24" s="1247"/>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0">
        <f t="shared" si="11"/>
        <v>0</v>
      </c>
      <c r="AW24" s="790">
        <f t="shared" si="12"/>
        <v>0</v>
      </c>
      <c r="AX24" s="790">
        <f t="shared" si="13"/>
        <v>0</v>
      </c>
      <c r="AY24" s="1174">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39"/>
      <c r="B25" s="1247"/>
      <c r="C25" s="1247"/>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0">
        <f t="shared" si="11"/>
        <v>0</v>
      </c>
      <c r="AW25" s="790">
        <f t="shared" si="12"/>
        <v>0</v>
      </c>
      <c r="AX25" s="790">
        <f t="shared" si="13"/>
        <v>0</v>
      </c>
      <c r="AY25" s="1174">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39"/>
      <c r="B26" s="1247"/>
      <c r="C26" s="1247"/>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0">
        <f t="shared" si="11"/>
        <v>0</v>
      </c>
      <c r="AW26" s="790">
        <f t="shared" si="12"/>
        <v>0</v>
      </c>
      <c r="AX26" s="790">
        <f t="shared" si="13"/>
        <v>0</v>
      </c>
      <c r="AY26" s="1174">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39"/>
      <c r="B27" s="1247"/>
      <c r="C27" s="1247"/>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0">
        <f t="shared" si="11"/>
        <v>0</v>
      </c>
      <c r="AW27" s="790">
        <f t="shared" si="12"/>
        <v>0</v>
      </c>
      <c r="AX27" s="790">
        <f t="shared" si="13"/>
        <v>0</v>
      </c>
      <c r="AY27" s="1174">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39"/>
      <c r="B28" s="1247"/>
      <c r="C28" s="1247"/>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0">
        <f t="shared" si="11"/>
        <v>0</v>
      </c>
      <c r="AW28" s="790">
        <f t="shared" si="12"/>
        <v>0</v>
      </c>
      <c r="AX28" s="790">
        <f t="shared" si="13"/>
        <v>0</v>
      </c>
      <c r="AY28" s="1174">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39"/>
      <c r="B29" s="1247"/>
      <c r="C29" s="1247"/>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0">
        <f t="shared" si="11"/>
        <v>0</v>
      </c>
      <c r="AW29" s="790">
        <f t="shared" si="12"/>
        <v>0</v>
      </c>
      <c r="AX29" s="790">
        <f t="shared" si="13"/>
        <v>0</v>
      </c>
      <c r="AY29" s="1174">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39"/>
      <c r="B30" s="1247"/>
      <c r="C30" s="1247"/>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0">
        <f t="shared" si="11"/>
        <v>0</v>
      </c>
      <c r="AW30" s="790">
        <f t="shared" si="12"/>
        <v>0</v>
      </c>
      <c r="AX30" s="790">
        <f t="shared" si="13"/>
        <v>0</v>
      </c>
      <c r="AY30" s="1174">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39"/>
      <c r="B31" s="1247"/>
      <c r="C31" s="1247"/>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0">
        <f t="shared" si="11"/>
        <v>0</v>
      </c>
      <c r="AW31" s="790">
        <f t="shared" si="12"/>
        <v>0</v>
      </c>
      <c r="AX31" s="790">
        <f t="shared" si="13"/>
        <v>0</v>
      </c>
      <c r="AY31" s="1174">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39"/>
      <c r="B32" s="1247"/>
      <c r="C32" s="1247"/>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0">
        <f t="shared" si="11"/>
        <v>0</v>
      </c>
      <c r="AW32" s="790">
        <f t="shared" si="12"/>
        <v>0</v>
      </c>
      <c r="AX32" s="790">
        <f t="shared" si="13"/>
        <v>0</v>
      </c>
      <c r="AY32" s="1174">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39"/>
      <c r="B33" s="1247"/>
      <c r="C33" s="1247"/>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0">
        <f t="shared" si="11"/>
        <v>0</v>
      </c>
      <c r="AW33" s="790">
        <f t="shared" si="12"/>
        <v>0</v>
      </c>
      <c r="AX33" s="790">
        <f t="shared" si="13"/>
        <v>0</v>
      </c>
      <c r="AY33" s="1174">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39"/>
      <c r="B34" s="1247"/>
      <c r="C34" s="1247"/>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0">
        <f t="shared" si="11"/>
        <v>0</v>
      </c>
      <c r="AW34" s="790">
        <f t="shared" si="12"/>
        <v>0</v>
      </c>
      <c r="AX34" s="790">
        <f t="shared" si="13"/>
        <v>0</v>
      </c>
      <c r="AY34" s="1174">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39"/>
      <c r="B35" s="1247"/>
      <c r="C35" s="1247"/>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0">
        <f t="shared" si="11"/>
        <v>0</v>
      </c>
      <c r="AW35" s="790">
        <f t="shared" si="12"/>
        <v>0</v>
      </c>
      <c r="AX35" s="790">
        <f t="shared" si="13"/>
        <v>0</v>
      </c>
      <c r="AY35" s="1174">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39"/>
      <c r="B36" s="1247"/>
      <c r="C36" s="1247"/>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0">
        <f t="shared" si="11"/>
        <v>0</v>
      </c>
      <c r="AW36" s="790">
        <f t="shared" si="12"/>
        <v>0</v>
      </c>
      <c r="AX36" s="790">
        <f t="shared" si="13"/>
        <v>0</v>
      </c>
      <c r="AY36" s="1174">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39"/>
      <c r="B37" s="1247"/>
      <c r="C37" s="1247"/>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0">
        <f t="shared" si="11"/>
        <v>0</v>
      </c>
      <c r="AW37" s="790">
        <f t="shared" si="12"/>
        <v>0</v>
      </c>
      <c r="AX37" s="790">
        <f t="shared" si="13"/>
        <v>0</v>
      </c>
      <c r="AY37" s="1174">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39"/>
      <c r="B38" s="1247"/>
      <c r="C38" s="1247"/>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0">
        <f t="shared" si="11"/>
        <v>0</v>
      </c>
      <c r="AW38" s="790">
        <f t="shared" si="12"/>
        <v>0</v>
      </c>
      <c r="AX38" s="790">
        <f t="shared" si="13"/>
        <v>0</v>
      </c>
      <c r="AY38" s="1174">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39"/>
      <c r="B39" s="1247"/>
      <c r="C39" s="1247"/>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0">
        <f t="shared" si="11"/>
        <v>0</v>
      </c>
      <c r="AW39" s="790">
        <f t="shared" si="12"/>
        <v>0</v>
      </c>
      <c r="AX39" s="790">
        <f t="shared" si="13"/>
        <v>0</v>
      </c>
      <c r="AY39" s="1174">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39"/>
      <c r="B40" s="1247"/>
      <c r="C40" s="1247"/>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0">
        <f t="shared" si="11"/>
        <v>0</v>
      </c>
      <c r="AW40" s="790">
        <f t="shared" si="12"/>
        <v>0</v>
      </c>
      <c r="AX40" s="790">
        <f t="shared" si="13"/>
        <v>0</v>
      </c>
      <c r="AY40" s="1174">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39"/>
      <c r="B41" s="1247"/>
      <c r="C41" s="1247"/>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0">
        <f t="shared" si="11"/>
        <v>0</v>
      </c>
      <c r="AW41" s="790">
        <f t="shared" si="12"/>
        <v>0</v>
      </c>
      <c r="AX41" s="790">
        <f t="shared" si="13"/>
        <v>0</v>
      </c>
      <c r="AY41" s="1174">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39"/>
      <c r="B42" s="1247"/>
      <c r="C42" s="1247"/>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0">
        <f t="shared" si="11"/>
        <v>0</v>
      </c>
      <c r="AW42" s="790">
        <f t="shared" si="12"/>
        <v>0</v>
      </c>
      <c r="AX42" s="790">
        <f t="shared" si="13"/>
        <v>0</v>
      </c>
      <c r="AY42" s="1174">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39"/>
      <c r="B43" s="1247"/>
      <c r="C43" s="1247"/>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0">
        <f t="shared" si="11"/>
        <v>0</v>
      </c>
      <c r="AW43" s="790">
        <f t="shared" si="12"/>
        <v>0</v>
      </c>
      <c r="AX43" s="790">
        <f t="shared" si="13"/>
        <v>0</v>
      </c>
      <c r="AY43" s="1174">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39"/>
      <c r="B44" s="1247"/>
      <c r="C44" s="1247"/>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0">
        <f t="shared" si="11"/>
        <v>0</v>
      </c>
      <c r="AW44" s="790">
        <f t="shared" si="12"/>
        <v>0</v>
      </c>
      <c r="AX44" s="790">
        <f t="shared" si="13"/>
        <v>0</v>
      </c>
      <c r="AY44" s="1174">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39"/>
      <c r="B45" s="1247"/>
      <c r="C45" s="1247"/>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0">
        <f t="shared" si="11"/>
        <v>0</v>
      </c>
      <c r="AW45" s="790">
        <f t="shared" si="12"/>
        <v>0</v>
      </c>
      <c r="AX45" s="790">
        <f t="shared" si="13"/>
        <v>0</v>
      </c>
      <c r="AY45" s="1174">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39"/>
      <c r="B46" s="1247"/>
      <c r="C46" s="1247"/>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0">
        <f t="shared" si="11"/>
        <v>0</v>
      </c>
      <c r="AW46" s="790">
        <f t="shared" si="12"/>
        <v>0</v>
      </c>
      <c r="AX46" s="790">
        <f t="shared" si="13"/>
        <v>0</v>
      </c>
      <c r="AY46" s="1174">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39"/>
      <c r="B47" s="1247"/>
      <c r="C47" s="1247"/>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0">
        <f t="shared" si="11"/>
        <v>0</v>
      </c>
      <c r="AW47" s="790">
        <f t="shared" si="12"/>
        <v>0</v>
      </c>
      <c r="AX47" s="790">
        <f t="shared" si="13"/>
        <v>0</v>
      </c>
      <c r="AY47" s="1174">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39"/>
      <c r="B48" s="1247"/>
      <c r="C48" s="1247"/>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0">
        <f t="shared" si="11"/>
        <v>0</v>
      </c>
      <c r="AW48" s="790">
        <f t="shared" si="12"/>
        <v>0</v>
      </c>
      <c r="AX48" s="790">
        <f t="shared" si="13"/>
        <v>0</v>
      </c>
      <c r="AY48" s="1174">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39"/>
      <c r="B49" s="1247"/>
      <c r="C49" s="1247"/>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0">
        <f t="shared" si="11"/>
        <v>0</v>
      </c>
      <c r="AW49" s="790">
        <f t="shared" si="12"/>
        <v>0</v>
      </c>
      <c r="AX49" s="790">
        <f t="shared" si="13"/>
        <v>0</v>
      </c>
      <c r="AY49" s="1174">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39"/>
      <c r="B50" s="1247"/>
      <c r="C50" s="1247"/>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0">
        <f t="shared" si="11"/>
        <v>0</v>
      </c>
      <c r="AW50" s="790">
        <f t="shared" si="12"/>
        <v>0</v>
      </c>
      <c r="AX50" s="790">
        <f t="shared" si="13"/>
        <v>0</v>
      </c>
      <c r="AY50" s="1174">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39"/>
      <c r="B51" s="1247"/>
      <c r="C51" s="1247"/>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0">
        <f t="shared" si="11"/>
        <v>0</v>
      </c>
      <c r="AW51" s="790">
        <f t="shared" si="12"/>
        <v>0</v>
      </c>
      <c r="AX51" s="790">
        <f t="shared" si="13"/>
        <v>0</v>
      </c>
      <c r="AY51" s="1174">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39"/>
      <c r="B52" s="1247"/>
      <c r="C52" s="1247"/>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0">
        <f t="shared" si="11"/>
        <v>0</v>
      </c>
      <c r="AW52" s="790">
        <f t="shared" si="12"/>
        <v>0</v>
      </c>
      <c r="AX52" s="790">
        <f t="shared" si="13"/>
        <v>0</v>
      </c>
      <c r="AY52" s="1174">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39"/>
      <c r="B53" s="1247"/>
      <c r="C53" s="1247"/>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0">
        <f t="shared" si="11"/>
        <v>0</v>
      </c>
      <c r="AW53" s="790">
        <f t="shared" si="12"/>
        <v>0</v>
      </c>
      <c r="AX53" s="790">
        <f t="shared" si="13"/>
        <v>0</v>
      </c>
      <c r="AY53" s="1174">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39"/>
      <c r="B54" s="1247"/>
      <c r="C54" s="1247"/>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0">
        <f t="shared" si="11"/>
        <v>0</v>
      </c>
      <c r="AW54" s="790">
        <f t="shared" si="12"/>
        <v>0</v>
      </c>
      <c r="AX54" s="790">
        <f t="shared" si="13"/>
        <v>0</v>
      </c>
      <c r="AY54" s="1174">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39"/>
      <c r="B55" s="1247"/>
      <c r="C55" s="1247"/>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0">
        <f t="shared" si="11"/>
        <v>0</v>
      </c>
      <c r="AW55" s="790">
        <f t="shared" si="12"/>
        <v>0</v>
      </c>
      <c r="AX55" s="790">
        <f t="shared" si="13"/>
        <v>0</v>
      </c>
      <c r="AY55" s="1174">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39"/>
      <c r="B56" s="1247"/>
      <c r="C56" s="1247"/>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0">
        <f t="shared" si="11"/>
        <v>0</v>
      </c>
      <c r="AW56" s="790">
        <f t="shared" si="12"/>
        <v>0</v>
      </c>
      <c r="AX56" s="790">
        <f t="shared" si="13"/>
        <v>0</v>
      </c>
      <c r="AY56" s="1174">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39"/>
      <c r="B57" s="1247"/>
      <c r="C57" s="1247"/>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0">
        <f t="shared" si="11"/>
        <v>0</v>
      </c>
      <c r="AW57" s="790">
        <f t="shared" si="12"/>
        <v>0</v>
      </c>
      <c r="AX57" s="790">
        <f t="shared" si="13"/>
        <v>0</v>
      </c>
      <c r="AY57" s="1174">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39"/>
      <c r="B58" s="1247"/>
      <c r="C58" s="1247"/>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0">
        <f t="shared" si="11"/>
        <v>0</v>
      </c>
      <c r="AW58" s="790">
        <f t="shared" si="12"/>
        <v>0</v>
      </c>
      <c r="AX58" s="790">
        <f t="shared" si="13"/>
        <v>0</v>
      </c>
      <c r="AY58" s="1174">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39"/>
      <c r="B59" s="1247"/>
      <c r="C59" s="1247"/>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0">
        <f t="shared" si="11"/>
        <v>0</v>
      </c>
      <c r="AW59" s="790">
        <f t="shared" si="12"/>
        <v>0</v>
      </c>
      <c r="AX59" s="790">
        <f t="shared" si="13"/>
        <v>0</v>
      </c>
      <c r="AY59" s="1174">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39"/>
      <c r="B60" s="1247"/>
      <c r="C60" s="1247"/>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0">
        <f t="shared" si="11"/>
        <v>0</v>
      </c>
      <c r="AW60" s="790">
        <f t="shared" si="12"/>
        <v>0</v>
      </c>
      <c r="AX60" s="790">
        <f t="shared" si="13"/>
        <v>0</v>
      </c>
      <c r="AY60" s="1174">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39"/>
      <c r="B61" s="1247"/>
      <c r="C61" s="1247"/>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0">
        <f t="shared" si="11"/>
        <v>0</v>
      </c>
      <c r="AW61" s="790">
        <f t="shared" si="12"/>
        <v>0</v>
      </c>
      <c r="AX61" s="790">
        <f t="shared" si="13"/>
        <v>0</v>
      </c>
      <c r="AY61" s="1174">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39"/>
      <c r="B62" s="1247"/>
      <c r="C62" s="1247"/>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0">
        <f t="shared" si="11"/>
        <v>0</v>
      </c>
      <c r="AW62" s="790">
        <f t="shared" si="12"/>
        <v>0</v>
      </c>
      <c r="AX62" s="790">
        <f t="shared" si="13"/>
        <v>0</v>
      </c>
      <c r="AY62" s="1174">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39"/>
      <c r="B63" s="1247"/>
      <c r="C63" s="1247"/>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0">
        <f t="shared" si="11"/>
        <v>0</v>
      </c>
      <c r="AW63" s="790">
        <f t="shared" si="12"/>
        <v>0</v>
      </c>
      <c r="AX63" s="790">
        <f t="shared" si="13"/>
        <v>0</v>
      </c>
      <c r="AY63" s="1174">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39"/>
      <c r="B64" s="1247"/>
      <c r="C64" s="1247"/>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0">
        <f t="shared" si="11"/>
        <v>0</v>
      </c>
      <c r="AW64" s="790">
        <f t="shared" si="12"/>
        <v>0</v>
      </c>
      <c r="AX64" s="790">
        <f t="shared" si="13"/>
        <v>0</v>
      </c>
      <c r="AY64" s="1174">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39"/>
      <c r="B65" s="1247"/>
      <c r="C65" s="1247"/>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0">
        <f t="shared" si="11"/>
        <v>0</v>
      </c>
      <c r="AW65" s="790">
        <f t="shared" si="12"/>
        <v>0</v>
      </c>
      <c r="AX65" s="790">
        <f t="shared" si="13"/>
        <v>0</v>
      </c>
      <c r="AY65" s="1174">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39"/>
      <c r="B66" s="1247"/>
      <c r="C66" s="1247"/>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0">
        <f t="shared" si="11"/>
        <v>0</v>
      </c>
      <c r="AW66" s="790">
        <f t="shared" si="12"/>
        <v>0</v>
      </c>
      <c r="AX66" s="790">
        <f t="shared" si="13"/>
        <v>0</v>
      </c>
      <c r="AY66" s="1174">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39"/>
      <c r="B67" s="1247"/>
      <c r="C67" s="1247"/>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0">
        <f t="shared" si="11"/>
        <v>0</v>
      </c>
      <c r="AW67" s="790">
        <f t="shared" si="12"/>
        <v>0</v>
      </c>
      <c r="AX67" s="790">
        <f t="shared" si="13"/>
        <v>0</v>
      </c>
      <c r="AY67" s="1174">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39"/>
      <c r="B68" s="1247"/>
      <c r="C68" s="1247"/>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0">
        <f t="shared" si="11"/>
        <v>0</v>
      </c>
      <c r="AW68" s="790">
        <f t="shared" si="12"/>
        <v>0</v>
      </c>
      <c r="AX68" s="790">
        <f t="shared" si="13"/>
        <v>0</v>
      </c>
      <c r="AY68" s="1174">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39"/>
      <c r="B69" s="1247"/>
      <c r="C69" s="1247"/>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0">
        <f t="shared" si="11"/>
        <v>0</v>
      </c>
      <c r="AW69" s="790">
        <f t="shared" si="12"/>
        <v>0</v>
      </c>
      <c r="AX69" s="790">
        <f t="shared" si="13"/>
        <v>0</v>
      </c>
      <c r="AY69" s="1174">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39"/>
      <c r="B70" s="1247"/>
      <c r="C70" s="1247"/>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0">
        <f t="shared" si="11"/>
        <v>0</v>
      </c>
      <c r="AW70" s="790">
        <f t="shared" si="12"/>
        <v>0</v>
      </c>
      <c r="AX70" s="790">
        <f t="shared" si="13"/>
        <v>0</v>
      </c>
      <c r="AY70" s="1174">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39"/>
      <c r="B71" s="1247"/>
      <c r="C71" s="1247"/>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0">
        <f t="shared" si="11"/>
        <v>0</v>
      </c>
      <c r="AW71" s="790">
        <f t="shared" si="12"/>
        <v>0</v>
      </c>
      <c r="AX71" s="790">
        <f t="shared" si="13"/>
        <v>0</v>
      </c>
      <c r="AY71" s="1174">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39"/>
      <c r="B72" s="1247"/>
      <c r="C72" s="1247"/>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0">
        <f t="shared" si="11"/>
        <v>0</v>
      </c>
      <c r="AW72" s="790">
        <f t="shared" si="12"/>
        <v>0</v>
      </c>
      <c r="AX72" s="790">
        <f t="shared" si="13"/>
        <v>0</v>
      </c>
      <c r="AY72" s="1174">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39"/>
      <c r="B73" s="1247"/>
      <c r="C73" s="1247"/>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0">
        <f t="shared" si="11"/>
        <v>0</v>
      </c>
      <c r="AW73" s="790">
        <f t="shared" si="12"/>
        <v>0</v>
      </c>
      <c r="AX73" s="790">
        <f t="shared" si="13"/>
        <v>0</v>
      </c>
      <c r="AY73" s="1174">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39"/>
      <c r="B74" s="1247"/>
      <c r="C74" s="1247"/>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0">
        <f t="shared" si="11"/>
        <v>0</v>
      </c>
      <c r="AW74" s="790">
        <f t="shared" si="12"/>
        <v>0</v>
      </c>
      <c r="AX74" s="790">
        <f t="shared" si="13"/>
        <v>0</v>
      </c>
      <c r="AY74" s="1174">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39"/>
      <c r="B75" s="1247"/>
      <c r="C75" s="1247"/>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0">
        <f t="shared" si="11"/>
        <v>0</v>
      </c>
      <c r="AW75" s="790">
        <f t="shared" si="12"/>
        <v>0</v>
      </c>
      <c r="AX75" s="790">
        <f t="shared" si="13"/>
        <v>0</v>
      </c>
      <c r="AY75" s="1174">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39"/>
      <c r="B76" s="1247"/>
      <c r="C76" s="1247"/>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0">
        <f t="shared" si="11"/>
        <v>0</v>
      </c>
      <c r="AW76" s="790">
        <f t="shared" si="12"/>
        <v>0</v>
      </c>
      <c r="AX76" s="790">
        <f t="shared" si="13"/>
        <v>0</v>
      </c>
      <c r="AY76" s="1174">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39"/>
      <c r="B77" s="1247"/>
      <c r="C77" s="1247"/>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0">
        <f t="shared" si="11"/>
        <v>0</v>
      </c>
      <c r="AW77" s="790">
        <f t="shared" si="12"/>
        <v>0</v>
      </c>
      <c r="AX77" s="790">
        <f t="shared" si="13"/>
        <v>0</v>
      </c>
      <c r="AY77" s="1174">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39"/>
      <c r="B78" s="1247"/>
      <c r="C78" s="1247"/>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0">
        <f t="shared" si="11"/>
        <v>0</v>
      </c>
      <c r="AW78" s="790">
        <f t="shared" si="12"/>
        <v>0</v>
      </c>
      <c r="AX78" s="790">
        <f t="shared" si="13"/>
        <v>0</v>
      </c>
      <c r="AY78" s="1174">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39"/>
      <c r="B79" s="1247"/>
      <c r="C79" s="1247"/>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0">
        <f t="shared" si="11"/>
        <v>0</v>
      </c>
      <c r="AW79" s="790">
        <f t="shared" si="12"/>
        <v>0</v>
      </c>
      <c r="AX79" s="790">
        <f t="shared" si="13"/>
        <v>0</v>
      </c>
      <c r="AY79" s="1174">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39"/>
      <c r="B80" s="1247"/>
      <c r="C80" s="1247"/>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0">
        <f t="shared" si="11"/>
        <v>0</v>
      </c>
      <c r="AW80" s="790">
        <f t="shared" si="12"/>
        <v>0</v>
      </c>
      <c r="AX80" s="790">
        <f t="shared" si="13"/>
        <v>0</v>
      </c>
      <c r="AY80" s="1174">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39"/>
      <c r="B81" s="1247"/>
      <c r="C81" s="1247"/>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0">
        <f t="shared" si="11"/>
        <v>0</v>
      </c>
      <c r="AW81" s="790">
        <f t="shared" si="12"/>
        <v>0</v>
      </c>
      <c r="AX81" s="790">
        <f t="shared" si="13"/>
        <v>0</v>
      </c>
      <c r="AY81" s="1174">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39"/>
      <c r="B82" s="1247"/>
      <c r="C82" s="1247"/>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0">
        <f t="shared" si="11"/>
        <v>0</v>
      </c>
      <c r="AW82" s="790">
        <f t="shared" si="12"/>
        <v>0</v>
      </c>
      <c r="AX82" s="790">
        <f t="shared" si="13"/>
        <v>0</v>
      </c>
      <c r="AY82" s="1174">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39"/>
      <c r="B83" s="1247"/>
      <c r="C83" s="1247"/>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0">
        <f t="shared" si="11"/>
        <v>0</v>
      </c>
      <c r="AW83" s="790">
        <f t="shared" si="12"/>
        <v>0</v>
      </c>
      <c r="AX83" s="790">
        <f t="shared" si="13"/>
        <v>0</v>
      </c>
      <c r="AY83" s="1174">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39"/>
      <c r="B84" s="1247"/>
      <c r="C84" s="1247"/>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0">
        <f t="shared" si="11"/>
        <v>0</v>
      </c>
      <c r="AW84" s="790">
        <f t="shared" si="12"/>
        <v>0</v>
      </c>
      <c r="AX84" s="790">
        <f t="shared" si="13"/>
        <v>0</v>
      </c>
      <c r="AY84" s="1174">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39"/>
      <c r="B85" s="1247"/>
      <c r="C85" s="1247"/>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0">
        <f t="shared" si="11"/>
        <v>0</v>
      </c>
      <c r="AW85" s="790">
        <f t="shared" si="12"/>
        <v>0</v>
      </c>
      <c r="AX85" s="790">
        <f t="shared" si="13"/>
        <v>0</v>
      </c>
      <c r="AY85" s="1174">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39"/>
      <c r="B86" s="1247"/>
      <c r="C86" s="1247"/>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0">
        <f t="shared" si="11"/>
        <v>0</v>
      </c>
      <c r="AW86" s="790">
        <f t="shared" si="12"/>
        <v>0</v>
      </c>
      <c r="AX86" s="790">
        <f t="shared" si="13"/>
        <v>0</v>
      </c>
      <c r="AY86" s="1174">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39"/>
      <c r="B87" s="1247"/>
      <c r="C87" s="1247"/>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0">
        <f t="shared" si="11"/>
        <v>0</v>
      </c>
      <c r="AW87" s="790">
        <f t="shared" si="12"/>
        <v>0</v>
      </c>
      <c r="AX87" s="790">
        <f t="shared" si="13"/>
        <v>0</v>
      </c>
      <c r="AY87" s="1174">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39"/>
      <c r="B88" s="1247"/>
      <c r="C88" s="1247"/>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0">
        <f t="shared" si="11"/>
        <v>0</v>
      </c>
      <c r="AW88" s="790">
        <f t="shared" si="12"/>
        <v>0</v>
      </c>
      <c r="AX88" s="790">
        <f t="shared" si="13"/>
        <v>0</v>
      </c>
      <c r="AY88" s="1174">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39"/>
      <c r="B89" s="1247"/>
      <c r="C89" s="1247"/>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0">
        <f t="shared" si="11"/>
        <v>0</v>
      </c>
      <c r="AW89" s="790">
        <f t="shared" si="12"/>
        <v>0</v>
      </c>
      <c r="AX89" s="790">
        <f t="shared" si="13"/>
        <v>0</v>
      </c>
      <c r="AY89" s="1174">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39"/>
      <c r="B90" s="1247"/>
      <c r="C90" s="1247"/>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0">
        <f t="shared" si="11"/>
        <v>0</v>
      </c>
      <c r="AW90" s="790">
        <f t="shared" si="12"/>
        <v>0</v>
      </c>
      <c r="AX90" s="790">
        <f t="shared" si="13"/>
        <v>0</v>
      </c>
      <c r="AY90" s="1174">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39"/>
      <c r="B91" s="1247"/>
      <c r="C91" s="1247"/>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0">
        <f t="shared" si="11"/>
        <v>0</v>
      </c>
      <c r="AW91" s="790">
        <f t="shared" si="12"/>
        <v>0</v>
      </c>
      <c r="AX91" s="790">
        <f t="shared" si="13"/>
        <v>0</v>
      </c>
      <c r="AY91" s="1174">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39"/>
      <c r="B92" s="1247"/>
      <c r="C92" s="1247"/>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0">
        <f t="shared" si="11"/>
        <v>0</v>
      </c>
      <c r="AW92" s="790">
        <f t="shared" si="12"/>
        <v>0</v>
      </c>
      <c r="AX92" s="790">
        <f t="shared" si="13"/>
        <v>0</v>
      </c>
      <c r="AY92" s="1174">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39"/>
      <c r="B93" s="1247"/>
      <c r="C93" s="1247"/>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0">
        <f t="shared" si="11"/>
        <v>0</v>
      </c>
      <c r="AW93" s="790">
        <f t="shared" si="12"/>
        <v>0</v>
      </c>
      <c r="AX93" s="790">
        <f t="shared" si="13"/>
        <v>0</v>
      </c>
      <c r="AY93" s="1174">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39"/>
      <c r="B94" s="1247"/>
      <c r="C94" s="1247"/>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0">
        <f t="shared" si="11"/>
        <v>0</v>
      </c>
      <c r="AW94" s="790">
        <f t="shared" si="12"/>
        <v>0</v>
      </c>
      <c r="AX94" s="790">
        <f t="shared" si="13"/>
        <v>0</v>
      </c>
      <c r="AY94" s="1174">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39"/>
      <c r="B95" s="1247"/>
      <c r="C95" s="1247"/>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0">
        <f t="shared" si="11"/>
        <v>0</v>
      </c>
      <c r="AW95" s="790">
        <f t="shared" si="12"/>
        <v>0</v>
      </c>
      <c r="AX95" s="790">
        <f t="shared" si="13"/>
        <v>0</v>
      </c>
      <c r="AY95" s="1174">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39"/>
      <c r="B96" s="1247"/>
      <c r="C96" s="1247"/>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0">
        <f t="shared" si="11"/>
        <v>0</v>
      </c>
      <c r="AW96" s="790">
        <f t="shared" si="12"/>
        <v>0</v>
      </c>
      <c r="AX96" s="790">
        <f t="shared" si="13"/>
        <v>0</v>
      </c>
      <c r="AY96" s="1174">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39"/>
      <c r="B97" s="1247"/>
      <c r="C97" s="1247"/>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0">
        <f t="shared" si="11"/>
        <v>0</v>
      </c>
      <c r="AW97" s="790">
        <f t="shared" si="12"/>
        <v>0</v>
      </c>
      <c r="AX97" s="790">
        <f t="shared" si="13"/>
        <v>0</v>
      </c>
      <c r="AY97" s="1174">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39"/>
      <c r="B98" s="1247"/>
      <c r="C98" s="1247"/>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0">
        <f t="shared" si="11"/>
        <v>0</v>
      </c>
      <c r="AW98" s="790">
        <f t="shared" si="12"/>
        <v>0</v>
      </c>
      <c r="AX98" s="790">
        <f t="shared" si="13"/>
        <v>0</v>
      </c>
      <c r="AY98" s="1174">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39"/>
      <c r="B99" s="1247"/>
      <c r="C99" s="1247"/>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0">
        <f t="shared" si="11"/>
        <v>0</v>
      </c>
      <c r="AW99" s="790">
        <f t="shared" si="12"/>
        <v>0</v>
      </c>
      <c r="AX99" s="790">
        <f t="shared" si="13"/>
        <v>0</v>
      </c>
      <c r="AY99" s="1174">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39"/>
      <c r="B100" s="1247"/>
      <c r="C100" s="1247"/>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0">
        <f t="shared" si="11"/>
        <v>0</v>
      </c>
      <c r="AW100" s="790">
        <f t="shared" si="12"/>
        <v>0</v>
      </c>
      <c r="AX100" s="790">
        <f t="shared" si="13"/>
        <v>0</v>
      </c>
      <c r="AY100" s="1174">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39"/>
      <c r="B101" s="1247"/>
      <c r="C101" s="1247"/>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0">
        <f t="shared" si="11"/>
        <v>0</v>
      </c>
      <c r="AW101" s="790">
        <f t="shared" si="12"/>
        <v>0</v>
      </c>
      <c r="AX101" s="790">
        <f t="shared" si="13"/>
        <v>0</v>
      </c>
      <c r="AY101" s="1174">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39"/>
      <c r="B102" s="1247"/>
      <c r="C102" s="1247"/>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0">
        <f t="shared" si="11"/>
        <v>0</v>
      </c>
      <c r="AW102" s="790">
        <f t="shared" si="12"/>
        <v>0</v>
      </c>
      <c r="AX102" s="790">
        <f t="shared" si="13"/>
        <v>0</v>
      </c>
      <c r="AY102" s="1174">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39"/>
      <c r="B103" s="1247"/>
      <c r="C103" s="1247"/>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0">
        <f t="shared" si="11"/>
        <v>0</v>
      </c>
      <c r="AW103" s="790">
        <f t="shared" si="12"/>
        <v>0</v>
      </c>
      <c r="AX103" s="790">
        <f t="shared" si="13"/>
        <v>0</v>
      </c>
      <c r="AY103" s="1174">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39"/>
      <c r="B104" s="1247"/>
      <c r="C104" s="1247"/>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0">
        <f t="shared" si="11"/>
        <v>0</v>
      </c>
      <c r="AW104" s="790">
        <f t="shared" si="12"/>
        <v>0</v>
      </c>
      <c r="AX104" s="790">
        <f t="shared" si="13"/>
        <v>0</v>
      </c>
      <c r="AY104" s="1174">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39"/>
      <c r="B105" s="1247"/>
      <c r="C105" s="1247"/>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0">
        <f t="shared" si="11"/>
        <v>0</v>
      </c>
      <c r="AW105" s="790">
        <f t="shared" si="12"/>
        <v>0</v>
      </c>
      <c r="AX105" s="790">
        <f t="shared" si="13"/>
        <v>0</v>
      </c>
      <c r="AY105" s="1174">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39"/>
      <c r="B106" s="1247"/>
      <c r="C106" s="1247"/>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0">
        <f t="shared" si="11"/>
        <v>0</v>
      </c>
      <c r="AW106" s="790">
        <f t="shared" si="12"/>
        <v>0</v>
      </c>
      <c r="AX106" s="790">
        <f t="shared" si="13"/>
        <v>0</v>
      </c>
      <c r="AY106" s="1174">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39"/>
      <c r="B107" s="1247"/>
      <c r="C107" s="1247"/>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0">
        <f t="shared" si="11"/>
        <v>0</v>
      </c>
      <c r="AW107" s="790">
        <f t="shared" si="12"/>
        <v>0</v>
      </c>
      <c r="AX107" s="790">
        <f t="shared" si="13"/>
        <v>0</v>
      </c>
      <c r="AY107" s="1174">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39"/>
      <c r="B108" s="1247"/>
      <c r="C108" s="1247"/>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0">
        <f t="shared" si="11"/>
        <v>0</v>
      </c>
      <c r="AW108" s="790">
        <f t="shared" si="12"/>
        <v>0</v>
      </c>
      <c r="AX108" s="790">
        <f t="shared" si="13"/>
        <v>0</v>
      </c>
      <c r="AY108" s="1174">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39"/>
      <c r="B109" s="1247"/>
      <c r="C109" s="1247"/>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0">
        <f t="shared" si="11"/>
        <v>0</v>
      </c>
      <c r="AW109" s="790">
        <f t="shared" si="12"/>
        <v>0</v>
      </c>
      <c r="AX109" s="790">
        <f t="shared" si="13"/>
        <v>0</v>
      </c>
      <c r="AY109" s="1174">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39"/>
      <c r="B110" s="1239"/>
      <c r="C110" s="1239"/>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2"/>
      <c r="AV110" s="790">
        <f t="shared" si="11"/>
        <v>0</v>
      </c>
      <c r="AW110" s="790">
        <f t="shared" si="12"/>
        <v>0</v>
      </c>
      <c r="AX110" s="790">
        <f t="shared" si="13"/>
        <v>0</v>
      </c>
      <c r="AY110" s="1174">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39"/>
      <c r="B111" s="1239"/>
      <c r="C111" s="1239"/>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2"/>
      <c r="AV111" s="790">
        <f t="shared" si="11"/>
        <v>0</v>
      </c>
      <c r="AW111" s="790">
        <f t="shared" si="12"/>
        <v>0</v>
      </c>
      <c r="AX111" s="790">
        <f t="shared" si="13"/>
        <v>0</v>
      </c>
      <c r="AY111" s="1174">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39"/>
      <c r="B112" s="1239"/>
      <c r="C112" s="1239"/>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2"/>
      <c r="AV112" s="790">
        <f t="shared" si="11"/>
        <v>0</v>
      </c>
      <c r="AW112" s="790">
        <f t="shared" si="12"/>
        <v>0</v>
      </c>
      <c r="AX112" s="790">
        <f t="shared" si="13"/>
        <v>0</v>
      </c>
      <c r="AY112" s="1174">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39"/>
      <c r="B113" s="1247"/>
      <c r="C113" s="1247"/>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0">
        <f t="shared" ref="AV113:AV144" si="62">A113</f>
        <v>0</v>
      </c>
      <c r="AW113" s="790">
        <f t="shared" ref="AW113:AW144" si="63">B113</f>
        <v>0</v>
      </c>
      <c r="AX113" s="790">
        <f t="shared" ref="AX113:AX144" si="64">C113</f>
        <v>0</v>
      </c>
      <c r="AY113" s="1174">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39"/>
      <c r="B114" s="1247"/>
      <c r="C114" s="1247"/>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0">
        <f t="shared" si="62"/>
        <v>0</v>
      </c>
      <c r="AW114" s="790">
        <f t="shared" si="63"/>
        <v>0</v>
      </c>
      <c r="AX114" s="790">
        <f t="shared" si="64"/>
        <v>0</v>
      </c>
      <c r="AY114" s="1174">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39"/>
      <c r="B115" s="1247"/>
      <c r="C115" s="1247"/>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0">
        <f t="shared" si="62"/>
        <v>0</v>
      </c>
      <c r="AW115" s="790">
        <f t="shared" si="63"/>
        <v>0</v>
      </c>
      <c r="AX115" s="790">
        <f t="shared" si="64"/>
        <v>0</v>
      </c>
      <c r="AY115" s="1174">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39"/>
      <c r="B116" s="1247"/>
      <c r="C116" s="1247"/>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0">
        <f t="shared" si="62"/>
        <v>0</v>
      </c>
      <c r="AW116" s="790">
        <f t="shared" si="63"/>
        <v>0</v>
      </c>
      <c r="AX116" s="790">
        <f t="shared" si="64"/>
        <v>0</v>
      </c>
      <c r="AY116" s="1174">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39"/>
      <c r="B117" s="1247"/>
      <c r="C117" s="1247"/>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0">
        <f t="shared" si="62"/>
        <v>0</v>
      </c>
      <c r="AW117" s="790">
        <f t="shared" si="63"/>
        <v>0</v>
      </c>
      <c r="AX117" s="790">
        <f t="shared" si="64"/>
        <v>0</v>
      </c>
      <c r="AY117" s="1174">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39"/>
      <c r="B118" s="1247"/>
      <c r="C118" s="1247"/>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0">
        <f t="shared" si="62"/>
        <v>0</v>
      </c>
      <c r="AW118" s="790">
        <f t="shared" si="63"/>
        <v>0</v>
      </c>
      <c r="AX118" s="790">
        <f t="shared" si="64"/>
        <v>0</v>
      </c>
      <c r="AY118" s="1174">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39"/>
      <c r="B119" s="1247"/>
      <c r="C119" s="1247"/>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0">
        <f t="shared" si="62"/>
        <v>0</v>
      </c>
      <c r="AW119" s="790">
        <f t="shared" si="63"/>
        <v>0</v>
      </c>
      <c r="AX119" s="790">
        <f t="shared" si="64"/>
        <v>0</v>
      </c>
      <c r="AY119" s="1174">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39"/>
      <c r="B120" s="1247"/>
      <c r="C120" s="1247"/>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0">
        <f t="shared" si="62"/>
        <v>0</v>
      </c>
      <c r="AW120" s="790">
        <f t="shared" si="63"/>
        <v>0</v>
      </c>
      <c r="AX120" s="790">
        <f t="shared" si="64"/>
        <v>0</v>
      </c>
      <c r="AY120" s="1174">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39"/>
      <c r="B121" s="1247"/>
      <c r="C121" s="1247"/>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0">
        <f t="shared" si="62"/>
        <v>0</v>
      </c>
      <c r="AW121" s="790">
        <f t="shared" si="63"/>
        <v>0</v>
      </c>
      <c r="AX121" s="790">
        <f t="shared" si="64"/>
        <v>0</v>
      </c>
      <c r="AY121" s="1174">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39"/>
      <c r="B122" s="1247"/>
      <c r="C122" s="1247"/>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0">
        <f t="shared" si="62"/>
        <v>0</v>
      </c>
      <c r="AW122" s="790">
        <f t="shared" si="63"/>
        <v>0</v>
      </c>
      <c r="AX122" s="790">
        <f t="shared" si="64"/>
        <v>0</v>
      </c>
      <c r="AY122" s="1174">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39"/>
      <c r="B123" s="1247"/>
      <c r="C123" s="1247"/>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0">
        <f t="shared" si="62"/>
        <v>0</v>
      </c>
      <c r="AW123" s="790">
        <f t="shared" si="63"/>
        <v>0</v>
      </c>
      <c r="AX123" s="790">
        <f t="shared" si="64"/>
        <v>0</v>
      </c>
      <c r="AY123" s="1174">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39"/>
      <c r="B124" s="1247"/>
      <c r="C124" s="1247"/>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0">
        <f t="shared" si="62"/>
        <v>0</v>
      </c>
      <c r="AW124" s="790">
        <f t="shared" si="63"/>
        <v>0</v>
      </c>
      <c r="AX124" s="790">
        <f t="shared" si="64"/>
        <v>0</v>
      </c>
      <c r="AY124" s="1174">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39"/>
      <c r="B125" s="1247"/>
      <c r="C125" s="1247"/>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0">
        <f t="shared" si="62"/>
        <v>0</v>
      </c>
      <c r="AW125" s="790">
        <f t="shared" si="63"/>
        <v>0</v>
      </c>
      <c r="AX125" s="790">
        <f t="shared" si="64"/>
        <v>0</v>
      </c>
      <c r="AY125" s="1174">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39"/>
      <c r="B126" s="1247"/>
      <c r="C126" s="1247"/>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0">
        <f t="shared" si="62"/>
        <v>0</v>
      </c>
      <c r="AW126" s="790">
        <f t="shared" si="63"/>
        <v>0</v>
      </c>
      <c r="AX126" s="790">
        <f t="shared" si="64"/>
        <v>0</v>
      </c>
      <c r="AY126" s="1174">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39"/>
      <c r="B127" s="1247"/>
      <c r="C127" s="1247"/>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0">
        <f t="shared" si="62"/>
        <v>0</v>
      </c>
      <c r="AW127" s="790">
        <f t="shared" si="63"/>
        <v>0</v>
      </c>
      <c r="AX127" s="790">
        <f t="shared" si="64"/>
        <v>0</v>
      </c>
      <c r="AY127" s="1174">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39"/>
      <c r="B128" s="1247"/>
      <c r="C128" s="1247"/>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0">
        <f t="shared" si="62"/>
        <v>0</v>
      </c>
      <c r="AW128" s="790">
        <f t="shared" si="63"/>
        <v>0</v>
      </c>
      <c r="AX128" s="790">
        <f t="shared" si="64"/>
        <v>0</v>
      </c>
      <c r="AY128" s="1174">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39"/>
      <c r="B129" s="1247"/>
      <c r="C129" s="1247"/>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0">
        <f t="shared" si="62"/>
        <v>0</v>
      </c>
      <c r="AW129" s="790">
        <f t="shared" si="63"/>
        <v>0</v>
      </c>
      <c r="AX129" s="790">
        <f t="shared" si="64"/>
        <v>0</v>
      </c>
      <c r="AY129" s="1174">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39"/>
      <c r="B130" s="1247"/>
      <c r="C130" s="1247"/>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0">
        <f t="shared" si="62"/>
        <v>0</v>
      </c>
      <c r="AW130" s="790">
        <f t="shared" si="63"/>
        <v>0</v>
      </c>
      <c r="AX130" s="790">
        <f t="shared" si="64"/>
        <v>0</v>
      </c>
      <c r="AY130" s="1174">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39"/>
      <c r="B131" s="1247"/>
      <c r="C131" s="1247"/>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0">
        <f t="shared" si="62"/>
        <v>0</v>
      </c>
      <c r="AW131" s="790">
        <f t="shared" si="63"/>
        <v>0</v>
      </c>
      <c r="AX131" s="790">
        <f t="shared" si="64"/>
        <v>0</v>
      </c>
      <c r="AY131" s="1174">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39"/>
      <c r="B132" s="1247"/>
      <c r="C132" s="1247"/>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0">
        <f t="shared" si="62"/>
        <v>0</v>
      </c>
      <c r="AW132" s="790">
        <f t="shared" si="63"/>
        <v>0</v>
      </c>
      <c r="AX132" s="790">
        <f t="shared" si="64"/>
        <v>0</v>
      </c>
      <c r="AY132" s="1174">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39"/>
      <c r="B133" s="1247"/>
      <c r="C133" s="1247"/>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0">
        <f t="shared" si="62"/>
        <v>0</v>
      </c>
      <c r="AW133" s="790">
        <f t="shared" si="63"/>
        <v>0</v>
      </c>
      <c r="AX133" s="790">
        <f t="shared" si="64"/>
        <v>0</v>
      </c>
      <c r="AY133" s="1174">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39"/>
      <c r="B134" s="1247"/>
      <c r="C134" s="1247"/>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0">
        <f t="shared" si="62"/>
        <v>0</v>
      </c>
      <c r="AW134" s="790">
        <f t="shared" si="63"/>
        <v>0</v>
      </c>
      <c r="AX134" s="790">
        <f t="shared" si="64"/>
        <v>0</v>
      </c>
      <c r="AY134" s="1174">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39"/>
      <c r="B135" s="1247"/>
      <c r="C135" s="1247"/>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0">
        <f t="shared" si="62"/>
        <v>0</v>
      </c>
      <c r="AW135" s="790">
        <f t="shared" si="63"/>
        <v>0</v>
      </c>
      <c r="AX135" s="790">
        <f t="shared" si="64"/>
        <v>0</v>
      </c>
      <c r="AY135" s="1174">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39"/>
      <c r="B136" s="1247"/>
      <c r="C136" s="1247"/>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0">
        <f t="shared" si="62"/>
        <v>0</v>
      </c>
      <c r="AW136" s="790">
        <f t="shared" si="63"/>
        <v>0</v>
      </c>
      <c r="AX136" s="790">
        <f t="shared" si="64"/>
        <v>0</v>
      </c>
      <c r="AY136" s="1174">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39"/>
      <c r="B137" s="1247"/>
      <c r="C137" s="1247"/>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0">
        <f t="shared" si="62"/>
        <v>0</v>
      </c>
      <c r="AW137" s="790">
        <f t="shared" si="63"/>
        <v>0</v>
      </c>
      <c r="AX137" s="790">
        <f t="shared" si="64"/>
        <v>0</v>
      </c>
      <c r="AY137" s="1174">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39"/>
      <c r="B138" s="1247"/>
      <c r="C138" s="1247"/>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0">
        <f t="shared" si="62"/>
        <v>0</v>
      </c>
      <c r="AW138" s="790">
        <f t="shared" si="63"/>
        <v>0</v>
      </c>
      <c r="AX138" s="790">
        <f t="shared" si="64"/>
        <v>0</v>
      </c>
      <c r="AY138" s="1174">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39"/>
      <c r="B139" s="1247"/>
      <c r="C139" s="1247"/>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0">
        <f t="shared" si="62"/>
        <v>0</v>
      </c>
      <c r="AW139" s="790">
        <f t="shared" si="63"/>
        <v>0</v>
      </c>
      <c r="AX139" s="790">
        <f t="shared" si="64"/>
        <v>0</v>
      </c>
      <c r="AY139" s="1174">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39"/>
      <c r="B140" s="1247"/>
      <c r="C140" s="1247"/>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0">
        <f t="shared" si="62"/>
        <v>0</v>
      </c>
      <c r="AW140" s="790">
        <f t="shared" si="63"/>
        <v>0</v>
      </c>
      <c r="AX140" s="790">
        <f t="shared" si="64"/>
        <v>0</v>
      </c>
      <c r="AY140" s="1174">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39"/>
      <c r="B141" s="1247"/>
      <c r="C141" s="1247"/>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0">
        <f t="shared" si="62"/>
        <v>0</v>
      </c>
      <c r="AW141" s="790">
        <f t="shared" si="63"/>
        <v>0</v>
      </c>
      <c r="AX141" s="790">
        <f t="shared" si="64"/>
        <v>0</v>
      </c>
      <c r="AY141" s="1174">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39"/>
      <c r="B142" s="1247"/>
      <c r="C142" s="1247"/>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0">
        <f t="shared" si="62"/>
        <v>0</v>
      </c>
      <c r="AW142" s="790">
        <f t="shared" si="63"/>
        <v>0</v>
      </c>
      <c r="AX142" s="790">
        <f t="shared" si="64"/>
        <v>0</v>
      </c>
      <c r="AY142" s="1174">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39"/>
      <c r="B143" s="1247"/>
      <c r="C143" s="1247"/>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0">
        <f t="shared" si="62"/>
        <v>0</v>
      </c>
      <c r="AW143" s="790">
        <f t="shared" si="63"/>
        <v>0</v>
      </c>
      <c r="AX143" s="790">
        <f t="shared" si="64"/>
        <v>0</v>
      </c>
      <c r="AY143" s="1174">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39"/>
      <c r="B144" s="1247"/>
      <c r="C144" s="1247"/>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0">
        <f t="shared" si="62"/>
        <v>0</v>
      </c>
      <c r="AW144" s="790">
        <f t="shared" si="63"/>
        <v>0</v>
      </c>
      <c r="AX144" s="790">
        <f t="shared" si="64"/>
        <v>0</v>
      </c>
      <c r="AY144" s="1174">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39"/>
      <c r="B145" s="1247"/>
      <c r="C145" s="1247"/>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0">
        <f t="shared" ref="AV145:AV176" si="91">A145</f>
        <v>0</v>
      </c>
      <c r="AW145" s="790">
        <f t="shared" ref="AW145:AW176" si="92">B145</f>
        <v>0</v>
      </c>
      <c r="AX145" s="790">
        <f t="shared" ref="AX145:AX176" si="93">C145</f>
        <v>0</v>
      </c>
      <c r="AY145" s="1174">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39"/>
      <c r="B146" s="1247"/>
      <c r="C146" s="1247"/>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0">
        <f t="shared" si="91"/>
        <v>0</v>
      </c>
      <c r="AW146" s="790">
        <f t="shared" si="92"/>
        <v>0</v>
      </c>
      <c r="AX146" s="790">
        <f t="shared" si="93"/>
        <v>0</v>
      </c>
      <c r="AY146" s="1174">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39"/>
      <c r="B147" s="1247"/>
      <c r="C147" s="1247"/>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0">
        <f t="shared" si="91"/>
        <v>0</v>
      </c>
      <c r="AW147" s="790">
        <f t="shared" si="92"/>
        <v>0</v>
      </c>
      <c r="AX147" s="790">
        <f t="shared" si="93"/>
        <v>0</v>
      </c>
      <c r="AY147" s="1174">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39"/>
      <c r="B148" s="1247"/>
      <c r="C148" s="1247"/>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0">
        <f t="shared" si="91"/>
        <v>0</v>
      </c>
      <c r="AW148" s="790">
        <f t="shared" si="92"/>
        <v>0</v>
      </c>
      <c r="AX148" s="790">
        <f t="shared" si="93"/>
        <v>0</v>
      </c>
      <c r="AY148" s="1174">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39"/>
      <c r="B149" s="1247"/>
      <c r="C149" s="1247"/>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0">
        <f t="shared" si="91"/>
        <v>0</v>
      </c>
      <c r="AW149" s="790">
        <f t="shared" si="92"/>
        <v>0</v>
      </c>
      <c r="AX149" s="790">
        <f t="shared" si="93"/>
        <v>0</v>
      </c>
      <c r="AY149" s="1174">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39"/>
      <c r="B150" s="1247"/>
      <c r="C150" s="1247"/>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0">
        <f t="shared" si="91"/>
        <v>0</v>
      </c>
      <c r="AW150" s="790">
        <f t="shared" si="92"/>
        <v>0</v>
      </c>
      <c r="AX150" s="790">
        <f t="shared" si="93"/>
        <v>0</v>
      </c>
      <c r="AY150" s="1174">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39"/>
      <c r="B151" s="1247"/>
      <c r="C151" s="1247"/>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0">
        <f t="shared" si="91"/>
        <v>0</v>
      </c>
      <c r="AW151" s="790">
        <f t="shared" si="92"/>
        <v>0</v>
      </c>
      <c r="AX151" s="790">
        <f t="shared" si="93"/>
        <v>0</v>
      </c>
      <c r="AY151" s="1174">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39"/>
      <c r="B152" s="1247"/>
      <c r="C152" s="1247"/>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0">
        <f t="shared" si="91"/>
        <v>0</v>
      </c>
      <c r="AW152" s="790">
        <f t="shared" si="92"/>
        <v>0</v>
      </c>
      <c r="AX152" s="790">
        <f t="shared" si="93"/>
        <v>0</v>
      </c>
      <c r="AY152" s="1174">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39"/>
      <c r="B153" s="1247"/>
      <c r="C153" s="1247"/>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0">
        <f t="shared" si="91"/>
        <v>0</v>
      </c>
      <c r="AW153" s="790">
        <f t="shared" si="92"/>
        <v>0</v>
      </c>
      <c r="AX153" s="790">
        <f t="shared" si="93"/>
        <v>0</v>
      </c>
      <c r="AY153" s="1174">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39"/>
      <c r="B154" s="1247"/>
      <c r="C154" s="1247"/>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0">
        <f t="shared" si="91"/>
        <v>0</v>
      </c>
      <c r="AW154" s="790">
        <f t="shared" si="92"/>
        <v>0</v>
      </c>
      <c r="AX154" s="790">
        <f t="shared" si="93"/>
        <v>0</v>
      </c>
      <c r="AY154" s="1174">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39"/>
      <c r="B155" s="1247"/>
      <c r="C155" s="1247"/>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0">
        <f t="shared" si="91"/>
        <v>0</v>
      </c>
      <c r="AW155" s="790">
        <f t="shared" si="92"/>
        <v>0</v>
      </c>
      <c r="AX155" s="790">
        <f t="shared" si="93"/>
        <v>0</v>
      </c>
      <c r="AY155" s="1174">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39"/>
      <c r="B156" s="1247"/>
      <c r="C156" s="1247"/>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0">
        <f t="shared" si="91"/>
        <v>0</v>
      </c>
      <c r="AW156" s="790">
        <f t="shared" si="92"/>
        <v>0</v>
      </c>
      <c r="AX156" s="790">
        <f t="shared" si="93"/>
        <v>0</v>
      </c>
      <c r="AY156" s="1174">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39"/>
      <c r="B157" s="1247"/>
      <c r="C157" s="1247"/>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0">
        <f t="shared" si="91"/>
        <v>0</v>
      </c>
      <c r="AW157" s="790">
        <f t="shared" si="92"/>
        <v>0</v>
      </c>
      <c r="AX157" s="790">
        <f t="shared" si="93"/>
        <v>0</v>
      </c>
      <c r="AY157" s="1174">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39"/>
      <c r="B158" s="1247"/>
      <c r="C158" s="1247"/>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0">
        <f t="shared" si="91"/>
        <v>0</v>
      </c>
      <c r="AW158" s="790">
        <f t="shared" si="92"/>
        <v>0</v>
      </c>
      <c r="AX158" s="790">
        <f t="shared" si="93"/>
        <v>0</v>
      </c>
      <c r="AY158" s="1174">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39"/>
      <c r="B159" s="1247"/>
      <c r="C159" s="1247"/>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0">
        <f t="shared" si="91"/>
        <v>0</v>
      </c>
      <c r="AW159" s="790">
        <f t="shared" si="92"/>
        <v>0</v>
      </c>
      <c r="AX159" s="790">
        <f t="shared" si="93"/>
        <v>0</v>
      </c>
      <c r="AY159" s="1174">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39"/>
      <c r="B160" s="1247"/>
      <c r="C160" s="1247"/>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0">
        <f t="shared" si="91"/>
        <v>0</v>
      </c>
      <c r="AW160" s="790">
        <f t="shared" si="92"/>
        <v>0</v>
      </c>
      <c r="AX160" s="790">
        <f t="shared" si="93"/>
        <v>0</v>
      </c>
      <c r="AY160" s="1174">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39"/>
      <c r="B161" s="1247"/>
      <c r="C161" s="1247"/>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0">
        <f t="shared" si="91"/>
        <v>0</v>
      </c>
      <c r="AW161" s="790">
        <f t="shared" si="92"/>
        <v>0</v>
      </c>
      <c r="AX161" s="790">
        <f t="shared" si="93"/>
        <v>0</v>
      </c>
      <c r="AY161" s="1174">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39"/>
      <c r="B162" s="1247"/>
      <c r="C162" s="1247"/>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0">
        <f t="shared" si="91"/>
        <v>0</v>
      </c>
      <c r="AW162" s="790">
        <f t="shared" si="92"/>
        <v>0</v>
      </c>
      <c r="AX162" s="790">
        <f t="shared" si="93"/>
        <v>0</v>
      </c>
      <c r="AY162" s="1174">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39"/>
      <c r="B163" s="1247"/>
      <c r="C163" s="1247"/>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0">
        <f t="shared" si="91"/>
        <v>0</v>
      </c>
      <c r="AW163" s="790">
        <f t="shared" si="92"/>
        <v>0</v>
      </c>
      <c r="AX163" s="790">
        <f t="shared" si="93"/>
        <v>0</v>
      </c>
      <c r="AY163" s="1174">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39"/>
      <c r="B164" s="1247"/>
      <c r="C164" s="1247"/>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0">
        <f t="shared" si="91"/>
        <v>0</v>
      </c>
      <c r="AW164" s="790">
        <f t="shared" si="92"/>
        <v>0</v>
      </c>
      <c r="AX164" s="790">
        <f t="shared" si="93"/>
        <v>0</v>
      </c>
      <c r="AY164" s="1174">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39"/>
      <c r="B165" s="1247"/>
      <c r="C165" s="1247"/>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0">
        <f t="shared" si="91"/>
        <v>0</v>
      </c>
      <c r="AW165" s="790">
        <f t="shared" si="92"/>
        <v>0</v>
      </c>
      <c r="AX165" s="790">
        <f t="shared" si="93"/>
        <v>0</v>
      </c>
      <c r="AY165" s="1174">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39"/>
      <c r="B166" s="1247"/>
      <c r="C166" s="1247"/>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0">
        <f t="shared" si="91"/>
        <v>0</v>
      </c>
      <c r="AW166" s="790">
        <f t="shared" si="92"/>
        <v>0</v>
      </c>
      <c r="AX166" s="790">
        <f t="shared" si="93"/>
        <v>0</v>
      </c>
      <c r="AY166" s="1174">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39"/>
      <c r="B167" s="1247"/>
      <c r="C167" s="1247"/>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0">
        <f t="shared" si="91"/>
        <v>0</v>
      </c>
      <c r="AW167" s="790">
        <f t="shared" si="92"/>
        <v>0</v>
      </c>
      <c r="AX167" s="790">
        <f t="shared" si="93"/>
        <v>0</v>
      </c>
      <c r="AY167" s="1174">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39"/>
      <c r="B168" s="1247"/>
      <c r="C168" s="1247"/>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0">
        <f t="shared" si="91"/>
        <v>0</v>
      </c>
      <c r="AW168" s="790">
        <f t="shared" si="92"/>
        <v>0</v>
      </c>
      <c r="AX168" s="790">
        <f t="shared" si="93"/>
        <v>0</v>
      </c>
      <c r="AY168" s="1174">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39"/>
      <c r="B169" s="1247"/>
      <c r="C169" s="1247"/>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0">
        <f t="shared" si="91"/>
        <v>0</v>
      </c>
      <c r="AW169" s="790">
        <f t="shared" si="92"/>
        <v>0</v>
      </c>
      <c r="AX169" s="790">
        <f t="shared" si="93"/>
        <v>0</v>
      </c>
      <c r="AY169" s="1174">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39"/>
      <c r="B170" s="1247"/>
      <c r="C170" s="1247"/>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0">
        <f t="shared" si="91"/>
        <v>0</v>
      </c>
      <c r="AW170" s="790">
        <f t="shared" si="92"/>
        <v>0</v>
      </c>
      <c r="AX170" s="790">
        <f t="shared" si="93"/>
        <v>0</v>
      </c>
      <c r="AY170" s="1174">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39"/>
      <c r="B171" s="1247"/>
      <c r="C171" s="1247"/>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0">
        <f t="shared" si="91"/>
        <v>0</v>
      </c>
      <c r="AW171" s="790">
        <f t="shared" si="92"/>
        <v>0</v>
      </c>
      <c r="AX171" s="790">
        <f t="shared" si="93"/>
        <v>0</v>
      </c>
      <c r="AY171" s="1174">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39"/>
      <c r="B172" s="1247"/>
      <c r="C172" s="1247"/>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0">
        <f t="shared" si="91"/>
        <v>0</v>
      </c>
      <c r="AW172" s="790">
        <f t="shared" si="92"/>
        <v>0</v>
      </c>
      <c r="AX172" s="790">
        <f t="shared" si="93"/>
        <v>0</v>
      </c>
      <c r="AY172" s="1174">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39"/>
      <c r="B173" s="1247"/>
      <c r="C173" s="1247"/>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0">
        <f t="shared" si="91"/>
        <v>0</v>
      </c>
      <c r="AW173" s="790">
        <f t="shared" si="92"/>
        <v>0</v>
      </c>
      <c r="AX173" s="790">
        <f t="shared" si="93"/>
        <v>0</v>
      </c>
      <c r="AY173" s="1174">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39"/>
      <c r="B174" s="1247"/>
      <c r="C174" s="1247"/>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0">
        <f t="shared" si="91"/>
        <v>0</v>
      </c>
      <c r="AW174" s="790">
        <f t="shared" si="92"/>
        <v>0</v>
      </c>
      <c r="AX174" s="790">
        <f t="shared" si="93"/>
        <v>0</v>
      </c>
      <c r="AY174" s="1174">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39"/>
      <c r="B175" s="1247"/>
      <c r="C175" s="1247"/>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0">
        <f t="shared" si="91"/>
        <v>0</v>
      </c>
      <c r="AW175" s="790">
        <f t="shared" si="92"/>
        <v>0</v>
      </c>
      <c r="AX175" s="790">
        <f t="shared" si="93"/>
        <v>0</v>
      </c>
      <c r="AY175" s="1174">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39"/>
      <c r="B176" s="1247"/>
      <c r="C176" s="1247"/>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0">
        <f t="shared" si="91"/>
        <v>0</v>
      </c>
      <c r="AW176" s="790">
        <f t="shared" si="92"/>
        <v>0</v>
      </c>
      <c r="AX176" s="790">
        <f t="shared" si="93"/>
        <v>0</v>
      </c>
      <c r="AY176" s="1174">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39"/>
      <c r="B177" s="1247"/>
      <c r="C177" s="1247"/>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0">
        <f t="shared" ref="AV177:AV207" si="120">A177</f>
        <v>0</v>
      </c>
      <c r="AW177" s="790">
        <f t="shared" ref="AW177:AW207" si="121">B177</f>
        <v>0</v>
      </c>
      <c r="AX177" s="790">
        <f t="shared" ref="AX177:AX207" si="122">C177</f>
        <v>0</v>
      </c>
      <c r="AY177" s="1174">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39"/>
      <c r="B178" s="1247"/>
      <c r="C178" s="1247"/>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0">
        <f t="shared" si="120"/>
        <v>0</v>
      </c>
      <c r="AW178" s="790">
        <f t="shared" si="121"/>
        <v>0</v>
      </c>
      <c r="AX178" s="790">
        <f t="shared" si="122"/>
        <v>0</v>
      </c>
      <c r="AY178" s="1174">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39"/>
      <c r="B179" s="1247"/>
      <c r="C179" s="1247"/>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0">
        <f t="shared" si="120"/>
        <v>0</v>
      </c>
      <c r="AW179" s="790">
        <f t="shared" si="121"/>
        <v>0</v>
      </c>
      <c r="AX179" s="790">
        <f t="shared" si="122"/>
        <v>0</v>
      </c>
      <c r="AY179" s="1174">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39"/>
      <c r="B180" s="1247"/>
      <c r="C180" s="1247"/>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0">
        <f t="shared" si="120"/>
        <v>0</v>
      </c>
      <c r="AW180" s="790">
        <f t="shared" si="121"/>
        <v>0</v>
      </c>
      <c r="AX180" s="790">
        <f t="shared" si="122"/>
        <v>0</v>
      </c>
      <c r="AY180" s="1174">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39"/>
      <c r="B181" s="1247"/>
      <c r="C181" s="1247"/>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0">
        <f t="shared" si="120"/>
        <v>0</v>
      </c>
      <c r="AW181" s="790">
        <f t="shared" si="121"/>
        <v>0</v>
      </c>
      <c r="AX181" s="790">
        <f t="shared" si="122"/>
        <v>0</v>
      </c>
      <c r="AY181" s="1174">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39"/>
      <c r="B182" s="1247"/>
      <c r="C182" s="1247"/>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0">
        <f t="shared" si="120"/>
        <v>0</v>
      </c>
      <c r="AW182" s="790">
        <f t="shared" si="121"/>
        <v>0</v>
      </c>
      <c r="AX182" s="790">
        <f t="shared" si="122"/>
        <v>0</v>
      </c>
      <c r="AY182" s="1174">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39"/>
      <c r="B183" s="1247"/>
      <c r="C183" s="1247"/>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0">
        <f t="shared" si="120"/>
        <v>0</v>
      </c>
      <c r="AW183" s="790">
        <f t="shared" si="121"/>
        <v>0</v>
      </c>
      <c r="AX183" s="790">
        <f t="shared" si="122"/>
        <v>0</v>
      </c>
      <c r="AY183" s="1174">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39"/>
      <c r="B184" s="1247"/>
      <c r="C184" s="1247"/>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0">
        <f t="shared" si="120"/>
        <v>0</v>
      </c>
      <c r="AW184" s="790">
        <f t="shared" si="121"/>
        <v>0</v>
      </c>
      <c r="AX184" s="790">
        <f t="shared" si="122"/>
        <v>0</v>
      </c>
      <c r="AY184" s="1174">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39"/>
      <c r="B185" s="1247"/>
      <c r="C185" s="1247"/>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0">
        <f t="shared" si="120"/>
        <v>0</v>
      </c>
      <c r="AW185" s="790">
        <f t="shared" si="121"/>
        <v>0</v>
      </c>
      <c r="AX185" s="790">
        <f t="shared" si="122"/>
        <v>0</v>
      </c>
      <c r="AY185" s="1174">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39"/>
      <c r="B186" s="1247"/>
      <c r="C186" s="1247"/>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0">
        <f t="shared" si="120"/>
        <v>0</v>
      </c>
      <c r="AW186" s="790">
        <f t="shared" si="121"/>
        <v>0</v>
      </c>
      <c r="AX186" s="790">
        <f t="shared" si="122"/>
        <v>0</v>
      </c>
      <c r="AY186" s="1174">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39"/>
      <c r="B187" s="1247"/>
      <c r="C187" s="1247"/>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0">
        <f t="shared" si="120"/>
        <v>0</v>
      </c>
      <c r="AW187" s="790">
        <f t="shared" si="121"/>
        <v>0</v>
      </c>
      <c r="AX187" s="790">
        <f t="shared" si="122"/>
        <v>0</v>
      </c>
      <c r="AY187" s="1174">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39"/>
      <c r="B188" s="1247"/>
      <c r="C188" s="1247"/>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0">
        <f t="shared" si="120"/>
        <v>0</v>
      </c>
      <c r="AW188" s="790">
        <f t="shared" si="121"/>
        <v>0</v>
      </c>
      <c r="AX188" s="790">
        <f t="shared" si="122"/>
        <v>0</v>
      </c>
      <c r="AY188" s="1174">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39"/>
      <c r="B189" s="1247"/>
      <c r="C189" s="1247"/>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0">
        <f t="shared" si="120"/>
        <v>0</v>
      </c>
      <c r="AW189" s="790">
        <f t="shared" si="121"/>
        <v>0</v>
      </c>
      <c r="AX189" s="790">
        <f t="shared" si="122"/>
        <v>0</v>
      </c>
      <c r="AY189" s="1174">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39"/>
      <c r="B190" s="1247"/>
      <c r="C190" s="1247"/>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0">
        <f t="shared" si="120"/>
        <v>0</v>
      </c>
      <c r="AW190" s="790">
        <f t="shared" si="121"/>
        <v>0</v>
      </c>
      <c r="AX190" s="790">
        <f t="shared" si="122"/>
        <v>0</v>
      </c>
      <c r="AY190" s="1174">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39"/>
      <c r="B191" s="1247"/>
      <c r="C191" s="1247"/>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0">
        <f t="shared" si="120"/>
        <v>0</v>
      </c>
      <c r="AW191" s="790">
        <f t="shared" si="121"/>
        <v>0</v>
      </c>
      <c r="AX191" s="790">
        <f t="shared" si="122"/>
        <v>0</v>
      </c>
      <c r="AY191" s="1174">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39"/>
      <c r="B192" s="1247"/>
      <c r="C192" s="1247"/>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0">
        <f t="shared" si="120"/>
        <v>0</v>
      </c>
      <c r="AW192" s="790">
        <f t="shared" si="121"/>
        <v>0</v>
      </c>
      <c r="AX192" s="790">
        <f t="shared" si="122"/>
        <v>0</v>
      </c>
      <c r="AY192" s="1174">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39"/>
      <c r="B193" s="1247"/>
      <c r="C193" s="1247"/>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0">
        <f t="shared" si="120"/>
        <v>0</v>
      </c>
      <c r="AW193" s="790">
        <f t="shared" si="121"/>
        <v>0</v>
      </c>
      <c r="AX193" s="790">
        <f t="shared" si="122"/>
        <v>0</v>
      </c>
      <c r="AY193" s="1174">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39"/>
      <c r="B194" s="1247"/>
      <c r="C194" s="1247"/>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0">
        <f t="shared" si="120"/>
        <v>0</v>
      </c>
      <c r="AW194" s="790">
        <f t="shared" si="121"/>
        <v>0</v>
      </c>
      <c r="AX194" s="790">
        <f t="shared" si="122"/>
        <v>0</v>
      </c>
      <c r="AY194" s="1174">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39"/>
      <c r="B195" s="1247"/>
      <c r="C195" s="1247"/>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0">
        <f t="shared" si="120"/>
        <v>0</v>
      </c>
      <c r="AW195" s="790">
        <f t="shared" si="121"/>
        <v>0</v>
      </c>
      <c r="AX195" s="790">
        <f t="shared" si="122"/>
        <v>0</v>
      </c>
      <c r="AY195" s="1174">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39"/>
      <c r="B196" s="1247"/>
      <c r="C196" s="1247"/>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0">
        <f t="shared" si="120"/>
        <v>0</v>
      </c>
      <c r="AW196" s="790">
        <f t="shared" si="121"/>
        <v>0</v>
      </c>
      <c r="AX196" s="790">
        <f t="shared" si="122"/>
        <v>0</v>
      </c>
      <c r="AY196" s="1174">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39"/>
      <c r="B197" s="1247"/>
      <c r="C197" s="1247"/>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0">
        <f t="shared" si="120"/>
        <v>0</v>
      </c>
      <c r="AW197" s="790">
        <f t="shared" si="121"/>
        <v>0</v>
      </c>
      <c r="AX197" s="790">
        <f t="shared" si="122"/>
        <v>0</v>
      </c>
      <c r="AY197" s="1174">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39"/>
      <c r="B198" s="1247"/>
      <c r="C198" s="1247"/>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0">
        <f t="shared" si="120"/>
        <v>0</v>
      </c>
      <c r="AW198" s="790">
        <f t="shared" si="121"/>
        <v>0</v>
      </c>
      <c r="AX198" s="790">
        <f t="shared" si="122"/>
        <v>0</v>
      </c>
      <c r="AY198" s="1174">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39"/>
      <c r="B199" s="1247"/>
      <c r="C199" s="1247"/>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0">
        <f t="shared" si="120"/>
        <v>0</v>
      </c>
      <c r="AW199" s="790">
        <f t="shared" si="121"/>
        <v>0</v>
      </c>
      <c r="AX199" s="790">
        <f t="shared" si="122"/>
        <v>0</v>
      </c>
      <c r="AY199" s="1174">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39"/>
      <c r="B200" s="1247"/>
      <c r="C200" s="1247"/>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0">
        <f t="shared" si="120"/>
        <v>0</v>
      </c>
      <c r="AW200" s="790">
        <f t="shared" si="121"/>
        <v>0</v>
      </c>
      <c r="AX200" s="790">
        <f t="shared" si="122"/>
        <v>0</v>
      </c>
      <c r="AY200" s="1174">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39"/>
      <c r="B201" s="1247"/>
      <c r="C201" s="1247"/>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0">
        <f t="shared" si="120"/>
        <v>0</v>
      </c>
      <c r="AW201" s="790">
        <f t="shared" si="121"/>
        <v>0</v>
      </c>
      <c r="AX201" s="790">
        <f t="shared" si="122"/>
        <v>0</v>
      </c>
      <c r="AY201" s="1174">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39"/>
      <c r="B202" s="1247"/>
      <c r="C202" s="1247"/>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0">
        <f t="shared" si="120"/>
        <v>0</v>
      </c>
      <c r="AW202" s="790">
        <f t="shared" si="121"/>
        <v>0</v>
      </c>
      <c r="AX202" s="790">
        <f t="shared" si="122"/>
        <v>0</v>
      </c>
      <c r="AY202" s="1174">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39"/>
      <c r="B203" s="1247"/>
      <c r="C203" s="1247"/>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0">
        <f t="shared" si="120"/>
        <v>0</v>
      </c>
      <c r="AW203" s="790">
        <f t="shared" si="121"/>
        <v>0</v>
      </c>
      <c r="AX203" s="790">
        <f t="shared" si="122"/>
        <v>0</v>
      </c>
      <c r="AY203" s="1174">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39"/>
      <c r="B204" s="1247"/>
      <c r="C204" s="1247"/>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0">
        <f t="shared" si="120"/>
        <v>0</v>
      </c>
      <c r="AW204" s="790">
        <f t="shared" si="121"/>
        <v>0</v>
      </c>
      <c r="AX204" s="790">
        <f t="shared" si="122"/>
        <v>0</v>
      </c>
      <c r="AY204" s="1174">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39"/>
      <c r="B205" s="1239"/>
      <c r="C205" s="1239"/>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2"/>
      <c r="AV205" s="790">
        <f t="shared" si="120"/>
        <v>0</v>
      </c>
      <c r="AW205" s="790">
        <f t="shared" si="121"/>
        <v>0</v>
      </c>
      <c r="AX205" s="790">
        <f t="shared" si="122"/>
        <v>0</v>
      </c>
      <c r="AY205" s="1174">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39"/>
      <c r="B206" s="1239"/>
      <c r="C206" s="1239"/>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2"/>
      <c r="AV206" s="790">
        <f t="shared" si="120"/>
        <v>0</v>
      </c>
      <c r="AW206" s="790">
        <f t="shared" si="121"/>
        <v>0</v>
      </c>
      <c r="AX206" s="790">
        <f t="shared" si="122"/>
        <v>0</v>
      </c>
      <c r="AY206" s="1174">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39"/>
      <c r="B207" s="1239"/>
      <c r="C207" s="1239"/>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2"/>
      <c r="AV207" s="790">
        <f t="shared" si="120"/>
        <v>0</v>
      </c>
      <c r="AW207" s="790">
        <f t="shared" si="121"/>
        <v>0</v>
      </c>
      <c r="AX207" s="790">
        <f t="shared" si="122"/>
        <v>0</v>
      </c>
      <c r="AY207" s="1174">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39"/>
      <c r="B208" s="1247"/>
      <c r="C208" s="1247"/>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0">
        <f t="shared" ref="AV208:AV302" si="127">A208</f>
        <v>0</v>
      </c>
      <c r="AW208" s="790">
        <f t="shared" ref="AW208:AW302" si="128">B208</f>
        <v>0</v>
      </c>
      <c r="AX208" s="790">
        <f t="shared" ref="AX208:AX302" si="129">C208</f>
        <v>0</v>
      </c>
      <c r="AY208" s="1174">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39"/>
      <c r="B209" s="1247"/>
      <c r="C209" s="1247"/>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0">
        <f t="shared" si="127"/>
        <v>0</v>
      </c>
      <c r="AW209" s="790">
        <f t="shared" si="128"/>
        <v>0</v>
      </c>
      <c r="AX209" s="790">
        <f t="shared" si="129"/>
        <v>0</v>
      </c>
      <c r="AY209" s="1174">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39"/>
      <c r="B210" s="1247"/>
      <c r="C210" s="1247"/>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0">
        <f t="shared" si="127"/>
        <v>0</v>
      </c>
      <c r="AW210" s="790">
        <f t="shared" si="128"/>
        <v>0</v>
      </c>
      <c r="AX210" s="790">
        <f t="shared" si="129"/>
        <v>0</v>
      </c>
      <c r="AY210" s="1174">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39"/>
      <c r="B211" s="1247"/>
      <c r="C211" s="1247"/>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0">
        <f t="shared" si="127"/>
        <v>0</v>
      </c>
      <c r="AW211" s="790">
        <f t="shared" si="128"/>
        <v>0</v>
      </c>
      <c r="AX211" s="790">
        <f t="shared" si="129"/>
        <v>0</v>
      </c>
      <c r="AY211" s="1174">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39"/>
      <c r="B212" s="1247"/>
      <c r="C212" s="1247"/>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0">
        <f t="shared" si="127"/>
        <v>0</v>
      </c>
      <c r="AW212" s="790">
        <f t="shared" si="128"/>
        <v>0</v>
      </c>
      <c r="AX212" s="790">
        <f t="shared" si="129"/>
        <v>0</v>
      </c>
      <c r="AY212" s="1174">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39"/>
      <c r="B213" s="1247"/>
      <c r="C213" s="1247"/>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0">
        <f t="shared" si="127"/>
        <v>0</v>
      </c>
      <c r="AW213" s="790">
        <f t="shared" si="128"/>
        <v>0</v>
      </c>
      <c r="AX213" s="790">
        <f t="shared" si="129"/>
        <v>0</v>
      </c>
      <c r="AY213" s="1174">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39"/>
      <c r="B214" s="1247"/>
      <c r="C214" s="1247"/>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0">
        <f t="shared" si="127"/>
        <v>0</v>
      </c>
      <c r="AW214" s="790">
        <f t="shared" si="128"/>
        <v>0</v>
      </c>
      <c r="AX214" s="790">
        <f t="shared" si="129"/>
        <v>0</v>
      </c>
      <c r="AY214" s="1174">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39"/>
      <c r="B215" s="1247"/>
      <c r="C215" s="1247"/>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0">
        <f t="shared" si="127"/>
        <v>0</v>
      </c>
      <c r="AW215" s="790">
        <f t="shared" si="128"/>
        <v>0</v>
      </c>
      <c r="AX215" s="790">
        <f t="shared" si="129"/>
        <v>0</v>
      </c>
      <c r="AY215" s="1174">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39"/>
      <c r="B216" s="1247"/>
      <c r="C216" s="1247"/>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0">
        <f t="shared" si="127"/>
        <v>0</v>
      </c>
      <c r="AW216" s="790">
        <f t="shared" si="128"/>
        <v>0</v>
      </c>
      <c r="AX216" s="790">
        <f t="shared" si="129"/>
        <v>0</v>
      </c>
      <c r="AY216" s="1174">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39"/>
      <c r="B217" s="1247"/>
      <c r="C217" s="1247"/>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0">
        <f t="shared" si="127"/>
        <v>0</v>
      </c>
      <c r="AW217" s="790">
        <f t="shared" si="128"/>
        <v>0</v>
      </c>
      <c r="AX217" s="790">
        <f t="shared" si="129"/>
        <v>0</v>
      </c>
      <c r="AY217" s="1174">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39"/>
      <c r="B218" s="1247"/>
      <c r="C218" s="1247"/>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0">
        <f t="shared" si="127"/>
        <v>0</v>
      </c>
      <c r="AW218" s="790">
        <f t="shared" si="128"/>
        <v>0</v>
      </c>
      <c r="AX218" s="790">
        <f t="shared" si="129"/>
        <v>0</v>
      </c>
      <c r="AY218" s="1174">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39"/>
      <c r="B219" s="1247"/>
      <c r="C219" s="1247"/>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0">
        <f t="shared" si="127"/>
        <v>0</v>
      </c>
      <c r="AW219" s="790">
        <f t="shared" si="128"/>
        <v>0</v>
      </c>
      <c r="AX219" s="790">
        <f t="shared" si="129"/>
        <v>0</v>
      </c>
      <c r="AY219" s="1174">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39"/>
      <c r="B220" s="1247"/>
      <c r="C220" s="1247"/>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0">
        <f t="shared" si="127"/>
        <v>0</v>
      </c>
      <c r="AW220" s="790">
        <f t="shared" si="128"/>
        <v>0</v>
      </c>
      <c r="AX220" s="790">
        <f t="shared" si="129"/>
        <v>0</v>
      </c>
      <c r="AY220" s="1174">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39"/>
      <c r="B221" s="1247"/>
      <c r="C221" s="1247"/>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0">
        <f t="shared" si="127"/>
        <v>0</v>
      </c>
      <c r="AW221" s="790">
        <f t="shared" si="128"/>
        <v>0</v>
      </c>
      <c r="AX221" s="790">
        <f t="shared" si="129"/>
        <v>0</v>
      </c>
      <c r="AY221" s="1174">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39"/>
      <c r="B222" s="1247"/>
      <c r="C222" s="1247"/>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0">
        <f t="shared" si="127"/>
        <v>0</v>
      </c>
      <c r="AW222" s="790">
        <f t="shared" si="128"/>
        <v>0</v>
      </c>
      <c r="AX222" s="790">
        <f t="shared" si="129"/>
        <v>0</v>
      </c>
      <c r="AY222" s="1174">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39"/>
      <c r="B223" s="1247"/>
      <c r="C223" s="1247"/>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0">
        <f t="shared" si="127"/>
        <v>0</v>
      </c>
      <c r="AW223" s="790">
        <f t="shared" si="128"/>
        <v>0</v>
      </c>
      <c r="AX223" s="790">
        <f t="shared" si="129"/>
        <v>0</v>
      </c>
      <c r="AY223" s="1174">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39"/>
      <c r="B224" s="1247"/>
      <c r="C224" s="1247"/>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0">
        <f t="shared" si="127"/>
        <v>0</v>
      </c>
      <c r="AW224" s="790">
        <f t="shared" si="128"/>
        <v>0</v>
      </c>
      <c r="AX224" s="790">
        <f t="shared" si="129"/>
        <v>0</v>
      </c>
      <c r="AY224" s="1174">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39"/>
      <c r="B225" s="1247"/>
      <c r="C225" s="1247"/>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0">
        <f t="shared" si="127"/>
        <v>0</v>
      </c>
      <c r="AW225" s="790">
        <f t="shared" si="128"/>
        <v>0</v>
      </c>
      <c r="AX225" s="790">
        <f t="shared" si="129"/>
        <v>0</v>
      </c>
      <c r="AY225" s="1174">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39"/>
      <c r="B226" s="1247"/>
      <c r="C226" s="1247"/>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0">
        <f t="shared" si="127"/>
        <v>0</v>
      </c>
      <c r="AW226" s="790">
        <f t="shared" si="128"/>
        <v>0</v>
      </c>
      <c r="AX226" s="790">
        <f t="shared" si="129"/>
        <v>0</v>
      </c>
      <c r="AY226" s="1174">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39"/>
      <c r="B227" s="1247"/>
      <c r="C227" s="1247"/>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0">
        <f t="shared" si="127"/>
        <v>0</v>
      </c>
      <c r="AW227" s="790">
        <f t="shared" si="128"/>
        <v>0</v>
      </c>
      <c r="AX227" s="790">
        <f t="shared" si="129"/>
        <v>0</v>
      </c>
      <c r="AY227" s="1174">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39"/>
      <c r="B228" s="1247"/>
      <c r="C228" s="1247"/>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0">
        <f t="shared" si="127"/>
        <v>0</v>
      </c>
      <c r="AW228" s="790">
        <f t="shared" si="128"/>
        <v>0</v>
      </c>
      <c r="AX228" s="790">
        <f t="shared" si="129"/>
        <v>0</v>
      </c>
      <c r="AY228" s="1174">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39"/>
      <c r="B229" s="1247"/>
      <c r="C229" s="1247"/>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0">
        <f t="shared" si="127"/>
        <v>0</v>
      </c>
      <c r="AW229" s="790">
        <f t="shared" si="128"/>
        <v>0</v>
      </c>
      <c r="AX229" s="790">
        <f t="shared" si="129"/>
        <v>0</v>
      </c>
      <c r="AY229" s="1174">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39"/>
      <c r="B230" s="1247"/>
      <c r="C230" s="1247"/>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0">
        <f t="shared" si="127"/>
        <v>0</v>
      </c>
      <c r="AW230" s="790">
        <f t="shared" si="128"/>
        <v>0</v>
      </c>
      <c r="AX230" s="790">
        <f t="shared" si="129"/>
        <v>0</v>
      </c>
      <c r="AY230" s="1174">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39"/>
      <c r="B231" s="1247"/>
      <c r="C231" s="1247"/>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0">
        <f t="shared" si="127"/>
        <v>0</v>
      </c>
      <c r="AW231" s="790">
        <f t="shared" si="128"/>
        <v>0</v>
      </c>
      <c r="AX231" s="790">
        <f t="shared" si="129"/>
        <v>0</v>
      </c>
      <c r="AY231" s="1174">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39"/>
      <c r="B232" s="1247"/>
      <c r="C232" s="1247"/>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0">
        <f t="shared" si="127"/>
        <v>0</v>
      </c>
      <c r="AW232" s="790">
        <f t="shared" si="128"/>
        <v>0</v>
      </c>
      <c r="AX232" s="790">
        <f t="shared" si="129"/>
        <v>0</v>
      </c>
      <c r="AY232" s="1174">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39"/>
      <c r="B233" s="1247"/>
      <c r="C233" s="1247"/>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0">
        <f t="shared" si="127"/>
        <v>0</v>
      </c>
      <c r="AW233" s="790">
        <f t="shared" si="128"/>
        <v>0</v>
      </c>
      <c r="AX233" s="790">
        <f t="shared" si="129"/>
        <v>0</v>
      </c>
      <c r="AY233" s="1174">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39"/>
      <c r="B234" s="1247"/>
      <c r="C234" s="1247"/>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0">
        <f t="shared" si="127"/>
        <v>0</v>
      </c>
      <c r="AW234" s="790">
        <f t="shared" si="128"/>
        <v>0</v>
      </c>
      <c r="AX234" s="790">
        <f t="shared" si="129"/>
        <v>0</v>
      </c>
      <c r="AY234" s="1174">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39"/>
      <c r="B235" s="1247"/>
      <c r="C235" s="1247"/>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0">
        <f t="shared" si="127"/>
        <v>0</v>
      </c>
      <c r="AW235" s="790">
        <f t="shared" si="128"/>
        <v>0</v>
      </c>
      <c r="AX235" s="790">
        <f t="shared" si="129"/>
        <v>0</v>
      </c>
      <c r="AY235" s="1174">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39"/>
      <c r="B236" s="1247"/>
      <c r="C236" s="1247"/>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0">
        <f t="shared" si="127"/>
        <v>0</v>
      </c>
      <c r="AW236" s="790">
        <f t="shared" si="128"/>
        <v>0</v>
      </c>
      <c r="AX236" s="790">
        <f t="shared" si="129"/>
        <v>0</v>
      </c>
      <c r="AY236" s="1174">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39"/>
      <c r="B237" s="1247"/>
      <c r="C237" s="1247"/>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0">
        <f t="shared" si="127"/>
        <v>0</v>
      </c>
      <c r="AW237" s="790">
        <f t="shared" si="128"/>
        <v>0</v>
      </c>
      <c r="AX237" s="790">
        <f t="shared" si="129"/>
        <v>0</v>
      </c>
      <c r="AY237" s="1174">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39"/>
      <c r="B238" s="1247"/>
      <c r="C238" s="1247"/>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0">
        <f t="shared" si="127"/>
        <v>0</v>
      </c>
      <c r="AW238" s="790">
        <f t="shared" si="128"/>
        <v>0</v>
      </c>
      <c r="AX238" s="790">
        <f t="shared" si="129"/>
        <v>0</v>
      </c>
      <c r="AY238" s="1174">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39"/>
      <c r="B239" s="1247"/>
      <c r="C239" s="1247"/>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0">
        <f t="shared" si="127"/>
        <v>0</v>
      </c>
      <c r="AW239" s="790">
        <f t="shared" si="128"/>
        <v>0</v>
      </c>
      <c r="AX239" s="790">
        <f t="shared" si="129"/>
        <v>0</v>
      </c>
      <c r="AY239" s="1174">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39"/>
      <c r="B240" s="1247"/>
      <c r="C240" s="1247"/>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0">
        <f t="shared" si="127"/>
        <v>0</v>
      </c>
      <c r="AW240" s="790">
        <f t="shared" si="128"/>
        <v>0</v>
      </c>
      <c r="AX240" s="790">
        <f t="shared" si="129"/>
        <v>0</v>
      </c>
      <c r="AY240" s="1174">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39"/>
      <c r="B241" s="1247"/>
      <c r="C241" s="1247"/>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0">
        <f t="shared" si="127"/>
        <v>0</v>
      </c>
      <c r="AW241" s="790">
        <f t="shared" si="128"/>
        <v>0</v>
      </c>
      <c r="AX241" s="790">
        <f t="shared" si="129"/>
        <v>0</v>
      </c>
      <c r="AY241" s="1174">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39"/>
      <c r="B242" s="1247"/>
      <c r="C242" s="1247"/>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0">
        <f t="shared" si="127"/>
        <v>0</v>
      </c>
      <c r="AW242" s="790">
        <f t="shared" si="128"/>
        <v>0</v>
      </c>
      <c r="AX242" s="790">
        <f t="shared" si="129"/>
        <v>0</v>
      </c>
      <c r="AY242" s="1174">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39"/>
      <c r="B243" s="1247"/>
      <c r="C243" s="1247"/>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0">
        <f t="shared" si="127"/>
        <v>0</v>
      </c>
      <c r="AW243" s="790">
        <f t="shared" si="128"/>
        <v>0</v>
      </c>
      <c r="AX243" s="790">
        <f t="shared" si="129"/>
        <v>0</v>
      </c>
      <c r="AY243" s="1174">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39"/>
      <c r="B244" s="1247"/>
      <c r="C244" s="1247"/>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0">
        <f t="shared" si="127"/>
        <v>0</v>
      </c>
      <c r="AW244" s="790">
        <f t="shared" si="128"/>
        <v>0</v>
      </c>
      <c r="AX244" s="790">
        <f t="shared" si="129"/>
        <v>0</v>
      </c>
      <c r="AY244" s="1174">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39"/>
      <c r="B245" s="1247"/>
      <c r="C245" s="1247"/>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0">
        <f t="shared" si="127"/>
        <v>0</v>
      </c>
      <c r="AW245" s="790">
        <f t="shared" si="128"/>
        <v>0</v>
      </c>
      <c r="AX245" s="790">
        <f t="shared" si="129"/>
        <v>0</v>
      </c>
      <c r="AY245" s="1174">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39"/>
      <c r="B246" s="1247"/>
      <c r="C246" s="1247"/>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0">
        <f t="shared" si="127"/>
        <v>0</v>
      </c>
      <c r="AW246" s="790">
        <f t="shared" si="128"/>
        <v>0</v>
      </c>
      <c r="AX246" s="790">
        <f t="shared" si="129"/>
        <v>0</v>
      </c>
      <c r="AY246" s="1174">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39"/>
      <c r="B247" s="1247"/>
      <c r="C247" s="1247"/>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0">
        <f t="shared" si="127"/>
        <v>0</v>
      </c>
      <c r="AW247" s="790">
        <f t="shared" si="128"/>
        <v>0</v>
      </c>
      <c r="AX247" s="790">
        <f t="shared" si="129"/>
        <v>0</v>
      </c>
      <c r="AY247" s="1174">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39"/>
      <c r="B248" s="1247"/>
      <c r="C248" s="1247"/>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0">
        <f t="shared" si="127"/>
        <v>0</v>
      </c>
      <c r="AW248" s="790">
        <f t="shared" si="128"/>
        <v>0</v>
      </c>
      <c r="AX248" s="790">
        <f t="shared" si="129"/>
        <v>0</v>
      </c>
      <c r="AY248" s="1174">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39"/>
      <c r="B249" s="1247"/>
      <c r="C249" s="1247"/>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0">
        <f t="shared" si="127"/>
        <v>0</v>
      </c>
      <c r="AW249" s="790">
        <f t="shared" si="128"/>
        <v>0</v>
      </c>
      <c r="AX249" s="790">
        <f t="shared" si="129"/>
        <v>0</v>
      </c>
      <c r="AY249" s="1174">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39"/>
      <c r="B250" s="1247"/>
      <c r="C250" s="1247"/>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0">
        <f t="shared" si="127"/>
        <v>0</v>
      </c>
      <c r="AW250" s="790">
        <f t="shared" si="128"/>
        <v>0</v>
      </c>
      <c r="AX250" s="790">
        <f t="shared" si="129"/>
        <v>0</v>
      </c>
      <c r="AY250" s="1174">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39"/>
      <c r="B251" s="1247"/>
      <c r="C251" s="1247"/>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0">
        <f t="shared" si="127"/>
        <v>0</v>
      </c>
      <c r="AW251" s="790">
        <f t="shared" si="128"/>
        <v>0</v>
      </c>
      <c r="AX251" s="790">
        <f t="shared" si="129"/>
        <v>0</v>
      </c>
      <c r="AY251" s="1174">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39"/>
      <c r="B252" s="1247"/>
      <c r="C252" s="1247"/>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0">
        <f t="shared" si="127"/>
        <v>0</v>
      </c>
      <c r="AW252" s="790">
        <f t="shared" si="128"/>
        <v>0</v>
      </c>
      <c r="AX252" s="790">
        <f t="shared" si="129"/>
        <v>0</v>
      </c>
      <c r="AY252" s="1174">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39"/>
      <c r="B253" s="1247"/>
      <c r="C253" s="1247"/>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0">
        <f t="shared" si="127"/>
        <v>0</v>
      </c>
      <c r="AW253" s="790">
        <f t="shared" si="128"/>
        <v>0</v>
      </c>
      <c r="AX253" s="790">
        <f t="shared" si="129"/>
        <v>0</v>
      </c>
      <c r="AY253" s="1174">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39"/>
      <c r="B254" s="1247"/>
      <c r="C254" s="1247"/>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0">
        <f t="shared" si="127"/>
        <v>0</v>
      </c>
      <c r="AW254" s="790">
        <f t="shared" si="128"/>
        <v>0</v>
      </c>
      <c r="AX254" s="790">
        <f t="shared" si="129"/>
        <v>0</v>
      </c>
      <c r="AY254" s="1174">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39"/>
      <c r="B255" s="1247"/>
      <c r="C255" s="1247"/>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0">
        <f t="shared" si="127"/>
        <v>0</v>
      </c>
      <c r="AW255" s="790">
        <f t="shared" si="128"/>
        <v>0</v>
      </c>
      <c r="AX255" s="790">
        <f t="shared" si="129"/>
        <v>0</v>
      </c>
      <c r="AY255" s="1174">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39"/>
      <c r="B256" s="1247"/>
      <c r="C256" s="1247"/>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0">
        <f t="shared" si="127"/>
        <v>0</v>
      </c>
      <c r="AW256" s="790">
        <f t="shared" si="128"/>
        <v>0</v>
      </c>
      <c r="AX256" s="790">
        <f t="shared" si="129"/>
        <v>0</v>
      </c>
      <c r="AY256" s="1174">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39"/>
      <c r="B257" s="1247"/>
      <c r="C257" s="1247"/>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0">
        <f t="shared" si="127"/>
        <v>0</v>
      </c>
      <c r="AW257" s="790">
        <f t="shared" si="128"/>
        <v>0</v>
      </c>
      <c r="AX257" s="790">
        <f t="shared" si="129"/>
        <v>0</v>
      </c>
      <c r="AY257" s="1174">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39"/>
      <c r="B258" s="1247"/>
      <c r="C258" s="1247"/>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0">
        <f t="shared" si="127"/>
        <v>0</v>
      </c>
      <c r="AW258" s="790">
        <f t="shared" si="128"/>
        <v>0</v>
      </c>
      <c r="AX258" s="790">
        <f t="shared" si="129"/>
        <v>0</v>
      </c>
      <c r="AY258" s="1174">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39"/>
      <c r="B259" s="1247"/>
      <c r="C259" s="1247"/>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0">
        <f t="shared" si="127"/>
        <v>0</v>
      </c>
      <c r="AW259" s="790">
        <f t="shared" si="128"/>
        <v>0</v>
      </c>
      <c r="AX259" s="790">
        <f t="shared" si="129"/>
        <v>0</v>
      </c>
      <c r="AY259" s="1174">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39"/>
      <c r="B260" s="1247"/>
      <c r="C260" s="1247"/>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0">
        <f t="shared" si="127"/>
        <v>0</v>
      </c>
      <c r="AW260" s="790">
        <f t="shared" si="128"/>
        <v>0</v>
      </c>
      <c r="AX260" s="790">
        <f t="shared" si="129"/>
        <v>0</v>
      </c>
      <c r="AY260" s="1174">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39"/>
      <c r="B261" s="1247"/>
      <c r="C261" s="1247"/>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0">
        <f t="shared" si="127"/>
        <v>0</v>
      </c>
      <c r="AW261" s="790">
        <f t="shared" si="128"/>
        <v>0</v>
      </c>
      <c r="AX261" s="790">
        <f t="shared" si="129"/>
        <v>0</v>
      </c>
      <c r="AY261" s="1174">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39"/>
      <c r="B262" s="1247"/>
      <c r="C262" s="1247"/>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0">
        <f t="shared" si="127"/>
        <v>0</v>
      </c>
      <c r="AW262" s="790">
        <f t="shared" si="128"/>
        <v>0</v>
      </c>
      <c r="AX262" s="790">
        <f t="shared" si="129"/>
        <v>0</v>
      </c>
      <c r="AY262" s="1174">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39"/>
      <c r="B263" s="1247"/>
      <c r="C263" s="1247"/>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0">
        <f t="shared" si="127"/>
        <v>0</v>
      </c>
      <c r="AW263" s="790">
        <f t="shared" si="128"/>
        <v>0</v>
      </c>
      <c r="AX263" s="790">
        <f t="shared" si="129"/>
        <v>0</v>
      </c>
      <c r="AY263" s="1174">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39"/>
      <c r="B264" s="1247"/>
      <c r="C264" s="1247"/>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0">
        <f t="shared" si="127"/>
        <v>0</v>
      </c>
      <c r="AW264" s="790">
        <f t="shared" si="128"/>
        <v>0</v>
      </c>
      <c r="AX264" s="790">
        <f t="shared" si="129"/>
        <v>0</v>
      </c>
      <c r="AY264" s="1174">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39"/>
      <c r="B265" s="1247"/>
      <c r="C265" s="1247"/>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0">
        <f t="shared" si="127"/>
        <v>0</v>
      </c>
      <c r="AW265" s="790">
        <f t="shared" si="128"/>
        <v>0</v>
      </c>
      <c r="AX265" s="790">
        <f t="shared" si="129"/>
        <v>0</v>
      </c>
      <c r="AY265" s="1174">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39"/>
      <c r="B266" s="1247"/>
      <c r="C266" s="1247"/>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0">
        <f t="shared" si="127"/>
        <v>0</v>
      </c>
      <c r="AW266" s="790">
        <f t="shared" si="128"/>
        <v>0</v>
      </c>
      <c r="AX266" s="790">
        <f t="shared" si="129"/>
        <v>0</v>
      </c>
      <c r="AY266" s="1174">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39"/>
      <c r="B267" s="1247"/>
      <c r="C267" s="1247"/>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0">
        <f t="shared" si="127"/>
        <v>0</v>
      </c>
      <c r="AW267" s="790">
        <f t="shared" si="128"/>
        <v>0</v>
      </c>
      <c r="AX267" s="790">
        <f t="shared" si="129"/>
        <v>0</v>
      </c>
      <c r="AY267" s="1174">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39"/>
      <c r="B268" s="1247"/>
      <c r="C268" s="1247"/>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0">
        <f t="shared" si="127"/>
        <v>0</v>
      </c>
      <c r="AW268" s="790">
        <f t="shared" si="128"/>
        <v>0</v>
      </c>
      <c r="AX268" s="790">
        <f t="shared" si="129"/>
        <v>0</v>
      </c>
      <c r="AY268" s="1174">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39"/>
      <c r="B269" s="1247"/>
      <c r="C269" s="1247"/>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0">
        <f t="shared" si="127"/>
        <v>0</v>
      </c>
      <c r="AW269" s="790">
        <f t="shared" si="128"/>
        <v>0</v>
      </c>
      <c r="AX269" s="790">
        <f t="shared" si="129"/>
        <v>0</v>
      </c>
      <c r="AY269" s="1174">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39"/>
      <c r="B270" s="1247"/>
      <c r="C270" s="1247"/>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0">
        <f t="shared" si="127"/>
        <v>0</v>
      </c>
      <c r="AW270" s="790">
        <f t="shared" si="128"/>
        <v>0</v>
      </c>
      <c r="AX270" s="790">
        <f t="shared" si="129"/>
        <v>0</v>
      </c>
      <c r="AY270" s="1174">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39"/>
      <c r="B271" s="1247"/>
      <c r="C271" s="1247"/>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0">
        <f t="shared" si="127"/>
        <v>0</v>
      </c>
      <c r="AW271" s="790">
        <f t="shared" si="128"/>
        <v>0</v>
      </c>
      <c r="AX271" s="790">
        <f t="shared" si="129"/>
        <v>0</v>
      </c>
      <c r="AY271" s="1174">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39"/>
      <c r="B272" s="1247"/>
      <c r="C272" s="1247"/>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0">
        <f t="shared" si="127"/>
        <v>0</v>
      </c>
      <c r="AW272" s="790">
        <f t="shared" si="128"/>
        <v>0</v>
      </c>
      <c r="AX272" s="790">
        <f t="shared" si="129"/>
        <v>0</v>
      </c>
      <c r="AY272" s="1174">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39"/>
      <c r="B273" s="1247"/>
      <c r="C273" s="1247"/>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0">
        <f t="shared" si="127"/>
        <v>0</v>
      </c>
      <c r="AW273" s="790">
        <f t="shared" si="128"/>
        <v>0</v>
      </c>
      <c r="AX273" s="790">
        <f t="shared" si="129"/>
        <v>0</v>
      </c>
      <c r="AY273" s="1174">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39"/>
      <c r="B274" s="1247"/>
      <c r="C274" s="1247"/>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0">
        <f t="shared" si="127"/>
        <v>0</v>
      </c>
      <c r="AW274" s="790">
        <f t="shared" si="128"/>
        <v>0</v>
      </c>
      <c r="AX274" s="790">
        <f t="shared" si="129"/>
        <v>0</v>
      </c>
      <c r="AY274" s="1174">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39"/>
      <c r="B275" s="1247"/>
      <c r="C275" s="1247"/>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0">
        <f t="shared" si="127"/>
        <v>0</v>
      </c>
      <c r="AW275" s="790">
        <f t="shared" si="128"/>
        <v>0</v>
      </c>
      <c r="AX275" s="790">
        <f t="shared" si="129"/>
        <v>0</v>
      </c>
      <c r="AY275" s="1174">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39"/>
      <c r="B276" s="1247"/>
      <c r="C276" s="1247"/>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0">
        <f t="shared" si="127"/>
        <v>0</v>
      </c>
      <c r="AW276" s="790">
        <f t="shared" si="128"/>
        <v>0</v>
      </c>
      <c r="AX276" s="790">
        <f t="shared" si="129"/>
        <v>0</v>
      </c>
      <c r="AY276" s="1174">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39"/>
      <c r="B277" s="1247"/>
      <c r="C277" s="1247"/>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0">
        <f t="shared" si="127"/>
        <v>0</v>
      </c>
      <c r="AW277" s="790">
        <f t="shared" si="128"/>
        <v>0</v>
      </c>
      <c r="AX277" s="790">
        <f t="shared" si="129"/>
        <v>0</v>
      </c>
      <c r="AY277" s="1174">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39"/>
      <c r="B278" s="1247"/>
      <c r="C278" s="1247"/>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0">
        <f t="shared" si="127"/>
        <v>0</v>
      </c>
      <c r="AW278" s="790">
        <f t="shared" si="128"/>
        <v>0</v>
      </c>
      <c r="AX278" s="790">
        <f t="shared" si="129"/>
        <v>0</v>
      </c>
      <c r="AY278" s="1174">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39"/>
      <c r="B279" s="1247"/>
      <c r="C279" s="1247"/>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0">
        <f t="shared" si="127"/>
        <v>0</v>
      </c>
      <c r="AW279" s="790">
        <f t="shared" si="128"/>
        <v>0</v>
      </c>
      <c r="AX279" s="790">
        <f t="shared" si="129"/>
        <v>0</v>
      </c>
      <c r="AY279" s="1174">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39"/>
      <c r="B280" s="1247"/>
      <c r="C280" s="1247"/>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0">
        <f t="shared" si="127"/>
        <v>0</v>
      </c>
      <c r="AW280" s="790">
        <f t="shared" si="128"/>
        <v>0</v>
      </c>
      <c r="AX280" s="790">
        <f t="shared" si="129"/>
        <v>0</v>
      </c>
      <c r="AY280" s="1174">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39"/>
      <c r="B281" s="1247"/>
      <c r="C281" s="1247"/>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0">
        <f t="shared" si="127"/>
        <v>0</v>
      </c>
      <c r="AW281" s="790">
        <f t="shared" si="128"/>
        <v>0</v>
      </c>
      <c r="AX281" s="790">
        <f t="shared" si="129"/>
        <v>0</v>
      </c>
      <c r="AY281" s="1174">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39"/>
      <c r="B282" s="1247"/>
      <c r="C282" s="1247"/>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0">
        <f t="shared" si="127"/>
        <v>0</v>
      </c>
      <c r="AW282" s="790">
        <f t="shared" si="128"/>
        <v>0</v>
      </c>
      <c r="AX282" s="790">
        <f t="shared" si="129"/>
        <v>0</v>
      </c>
      <c r="AY282" s="1174">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39"/>
      <c r="B283" s="1247"/>
      <c r="C283" s="1247"/>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0">
        <f t="shared" si="127"/>
        <v>0</v>
      </c>
      <c r="AW283" s="790">
        <f t="shared" si="128"/>
        <v>0</v>
      </c>
      <c r="AX283" s="790">
        <f t="shared" si="129"/>
        <v>0</v>
      </c>
      <c r="AY283" s="1174">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39"/>
      <c r="B284" s="1247"/>
      <c r="C284" s="1247"/>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0">
        <f t="shared" si="127"/>
        <v>0</v>
      </c>
      <c r="AW284" s="790">
        <f t="shared" si="128"/>
        <v>0</v>
      </c>
      <c r="AX284" s="790">
        <f t="shared" si="129"/>
        <v>0</v>
      </c>
      <c r="AY284" s="1174">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39"/>
      <c r="B285" s="1247"/>
      <c r="C285" s="1247"/>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0">
        <f t="shared" si="127"/>
        <v>0</v>
      </c>
      <c r="AW285" s="790">
        <f t="shared" si="128"/>
        <v>0</v>
      </c>
      <c r="AX285" s="790">
        <f t="shared" si="129"/>
        <v>0</v>
      </c>
      <c r="AY285" s="1174">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39"/>
      <c r="B286" s="1247"/>
      <c r="C286" s="1247"/>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0">
        <f t="shared" si="127"/>
        <v>0</v>
      </c>
      <c r="AW286" s="790">
        <f t="shared" si="128"/>
        <v>0</v>
      </c>
      <c r="AX286" s="790">
        <f t="shared" si="129"/>
        <v>0</v>
      </c>
      <c r="AY286" s="1174">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39"/>
      <c r="B287" s="1247"/>
      <c r="C287" s="1247"/>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0">
        <f t="shared" si="127"/>
        <v>0</v>
      </c>
      <c r="AW287" s="790">
        <f t="shared" si="128"/>
        <v>0</v>
      </c>
      <c r="AX287" s="790">
        <f t="shared" si="129"/>
        <v>0</v>
      </c>
      <c r="AY287" s="1174">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39"/>
      <c r="B288" s="1247"/>
      <c r="C288" s="1247"/>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0">
        <f t="shared" si="127"/>
        <v>0</v>
      </c>
      <c r="AW288" s="790">
        <f t="shared" si="128"/>
        <v>0</v>
      </c>
      <c r="AX288" s="790">
        <f t="shared" si="129"/>
        <v>0</v>
      </c>
      <c r="AY288" s="1174">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39"/>
      <c r="B289" s="1247"/>
      <c r="C289" s="1247"/>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0">
        <f t="shared" si="127"/>
        <v>0</v>
      </c>
      <c r="AW289" s="790">
        <f t="shared" si="128"/>
        <v>0</v>
      </c>
      <c r="AX289" s="790">
        <f t="shared" si="129"/>
        <v>0</v>
      </c>
      <c r="AY289" s="1174">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39"/>
      <c r="B290" s="1247"/>
      <c r="C290" s="1247"/>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0">
        <f t="shared" si="127"/>
        <v>0</v>
      </c>
      <c r="AW290" s="790">
        <f t="shared" si="128"/>
        <v>0</v>
      </c>
      <c r="AX290" s="790">
        <f t="shared" si="129"/>
        <v>0</v>
      </c>
      <c r="AY290" s="1174">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39"/>
      <c r="B291" s="1247"/>
      <c r="C291" s="1247"/>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0">
        <f t="shared" si="127"/>
        <v>0</v>
      </c>
      <c r="AW291" s="790">
        <f t="shared" si="128"/>
        <v>0</v>
      </c>
      <c r="AX291" s="790">
        <f t="shared" si="129"/>
        <v>0</v>
      </c>
      <c r="AY291" s="1174">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39"/>
      <c r="B292" s="1247"/>
      <c r="C292" s="1247"/>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0">
        <f t="shared" si="127"/>
        <v>0</v>
      </c>
      <c r="AW292" s="790">
        <f t="shared" si="128"/>
        <v>0</v>
      </c>
      <c r="AX292" s="790">
        <f t="shared" si="129"/>
        <v>0</v>
      </c>
      <c r="AY292" s="1174">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39"/>
      <c r="B293" s="1247"/>
      <c r="C293" s="1247"/>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0">
        <f t="shared" si="127"/>
        <v>0</v>
      </c>
      <c r="AW293" s="790">
        <f t="shared" si="128"/>
        <v>0</v>
      </c>
      <c r="AX293" s="790">
        <f t="shared" si="129"/>
        <v>0</v>
      </c>
      <c r="AY293" s="1174">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39"/>
      <c r="B294" s="1247"/>
      <c r="C294" s="1247"/>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0">
        <f t="shared" si="127"/>
        <v>0</v>
      </c>
      <c r="AW294" s="790">
        <f t="shared" si="128"/>
        <v>0</v>
      </c>
      <c r="AX294" s="790">
        <f t="shared" si="129"/>
        <v>0</v>
      </c>
      <c r="AY294" s="1174">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39"/>
      <c r="B295" s="1247"/>
      <c r="C295" s="1247"/>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0">
        <f t="shared" si="127"/>
        <v>0</v>
      </c>
      <c r="AW295" s="790">
        <f t="shared" si="128"/>
        <v>0</v>
      </c>
      <c r="AX295" s="790">
        <f t="shared" si="129"/>
        <v>0</v>
      </c>
      <c r="AY295" s="1174">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39"/>
      <c r="B296" s="1247"/>
      <c r="C296" s="1247"/>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0">
        <f t="shared" si="127"/>
        <v>0</v>
      </c>
      <c r="AW296" s="790">
        <f t="shared" si="128"/>
        <v>0</v>
      </c>
      <c r="AX296" s="790">
        <f t="shared" si="129"/>
        <v>0</v>
      </c>
      <c r="AY296" s="1174">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39"/>
      <c r="B297" s="1247"/>
      <c r="C297" s="1247"/>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0">
        <f t="shared" si="127"/>
        <v>0</v>
      </c>
      <c r="AW297" s="790">
        <f t="shared" si="128"/>
        <v>0</v>
      </c>
      <c r="AX297" s="790">
        <f t="shared" si="129"/>
        <v>0</v>
      </c>
      <c r="AY297" s="1174">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39"/>
      <c r="B298" s="1247"/>
      <c r="C298" s="1247"/>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0">
        <f t="shared" si="127"/>
        <v>0</v>
      </c>
      <c r="AW298" s="790">
        <f t="shared" si="128"/>
        <v>0</v>
      </c>
      <c r="AX298" s="790">
        <f t="shared" si="129"/>
        <v>0</v>
      </c>
      <c r="AY298" s="1174">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39"/>
      <c r="B299" s="1247"/>
      <c r="C299" s="1247"/>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0">
        <f t="shared" si="127"/>
        <v>0</v>
      </c>
      <c r="AW299" s="790">
        <f t="shared" si="128"/>
        <v>0</v>
      </c>
      <c r="AX299" s="790">
        <f t="shared" si="129"/>
        <v>0</v>
      </c>
      <c r="AY299" s="1174">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39"/>
      <c r="B300" s="1239"/>
      <c r="C300" s="1239"/>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2"/>
      <c r="AV300" s="790">
        <f t="shared" si="127"/>
        <v>0</v>
      </c>
      <c r="AW300" s="790">
        <f t="shared" si="128"/>
        <v>0</v>
      </c>
      <c r="AX300" s="790">
        <f t="shared" si="129"/>
        <v>0</v>
      </c>
      <c r="AY300" s="1174">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39"/>
      <c r="B301" s="1239"/>
      <c r="C301" s="1239"/>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2"/>
      <c r="AV301" s="790">
        <f t="shared" si="127"/>
        <v>0</v>
      </c>
      <c r="AW301" s="790">
        <f t="shared" si="128"/>
        <v>0</v>
      </c>
      <c r="AX301" s="790">
        <f t="shared" si="129"/>
        <v>0</v>
      </c>
      <c r="AY301" s="1174">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39"/>
      <c r="B302" s="1239"/>
      <c r="C302" s="1239"/>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2"/>
      <c r="AV302" s="790">
        <f t="shared" si="127"/>
        <v>0</v>
      </c>
      <c r="AW302" s="790">
        <f t="shared" si="128"/>
        <v>0</v>
      </c>
      <c r="AX302" s="790">
        <f t="shared" si="129"/>
        <v>0</v>
      </c>
      <c r="AY302" s="1174">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39"/>
      <c r="B303" s="1247"/>
      <c r="C303" s="1247"/>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0">
        <f t="shared" ref="AV303:AV334" si="178">A303</f>
        <v>0</v>
      </c>
      <c r="AW303" s="790">
        <f t="shared" ref="AW303:AW334" si="179">B303</f>
        <v>0</v>
      </c>
      <c r="AX303" s="790">
        <f t="shared" ref="AX303:AX334" si="180">C303</f>
        <v>0</v>
      </c>
      <c r="AY303" s="1174">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39"/>
      <c r="B304" s="1247"/>
      <c r="C304" s="1247"/>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0">
        <f t="shared" si="178"/>
        <v>0</v>
      </c>
      <c r="AW304" s="790">
        <f t="shared" si="179"/>
        <v>0</v>
      </c>
      <c r="AX304" s="790">
        <f t="shared" si="180"/>
        <v>0</v>
      </c>
      <c r="AY304" s="1174">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39"/>
      <c r="B305" s="1247"/>
      <c r="C305" s="1247"/>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0">
        <f t="shared" si="178"/>
        <v>0</v>
      </c>
      <c r="AW305" s="790">
        <f t="shared" si="179"/>
        <v>0</v>
      </c>
      <c r="AX305" s="790">
        <f t="shared" si="180"/>
        <v>0</v>
      </c>
      <c r="AY305" s="1174">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39"/>
      <c r="B306" s="1247"/>
      <c r="C306" s="1247"/>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0">
        <f t="shared" si="178"/>
        <v>0</v>
      </c>
      <c r="AW306" s="790">
        <f t="shared" si="179"/>
        <v>0</v>
      </c>
      <c r="AX306" s="790">
        <f t="shared" si="180"/>
        <v>0</v>
      </c>
      <c r="AY306" s="1174">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39"/>
      <c r="B307" s="1247"/>
      <c r="C307" s="1247"/>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0">
        <f t="shared" si="178"/>
        <v>0</v>
      </c>
      <c r="AW307" s="790">
        <f t="shared" si="179"/>
        <v>0</v>
      </c>
      <c r="AX307" s="790">
        <f t="shared" si="180"/>
        <v>0</v>
      </c>
      <c r="AY307" s="1174">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39"/>
      <c r="B308" s="1247"/>
      <c r="C308" s="1247"/>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0">
        <f t="shared" si="178"/>
        <v>0</v>
      </c>
      <c r="AW308" s="790">
        <f t="shared" si="179"/>
        <v>0</v>
      </c>
      <c r="AX308" s="790">
        <f t="shared" si="180"/>
        <v>0</v>
      </c>
      <c r="AY308" s="1174">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39"/>
      <c r="B309" s="1247"/>
      <c r="C309" s="1247"/>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0">
        <f t="shared" si="178"/>
        <v>0</v>
      </c>
      <c r="AW309" s="790">
        <f t="shared" si="179"/>
        <v>0</v>
      </c>
      <c r="AX309" s="790">
        <f t="shared" si="180"/>
        <v>0</v>
      </c>
      <c r="AY309" s="1174">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39"/>
      <c r="B310" s="1247"/>
      <c r="C310" s="1247"/>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0">
        <f t="shared" si="178"/>
        <v>0</v>
      </c>
      <c r="AW310" s="790">
        <f t="shared" si="179"/>
        <v>0</v>
      </c>
      <c r="AX310" s="790">
        <f t="shared" si="180"/>
        <v>0</v>
      </c>
      <c r="AY310" s="1174">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39"/>
      <c r="B311" s="1247"/>
      <c r="C311" s="1247"/>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0">
        <f t="shared" si="178"/>
        <v>0</v>
      </c>
      <c r="AW311" s="790">
        <f t="shared" si="179"/>
        <v>0</v>
      </c>
      <c r="AX311" s="790">
        <f t="shared" si="180"/>
        <v>0</v>
      </c>
      <c r="AY311" s="1174">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39"/>
      <c r="B312" s="1247"/>
      <c r="C312" s="1247"/>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0">
        <f t="shared" si="178"/>
        <v>0</v>
      </c>
      <c r="AW312" s="790">
        <f t="shared" si="179"/>
        <v>0</v>
      </c>
      <c r="AX312" s="790">
        <f t="shared" si="180"/>
        <v>0</v>
      </c>
      <c r="AY312" s="1174">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39"/>
      <c r="B313" s="1247"/>
      <c r="C313" s="1247"/>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0">
        <f t="shared" si="178"/>
        <v>0</v>
      </c>
      <c r="AW313" s="790">
        <f t="shared" si="179"/>
        <v>0</v>
      </c>
      <c r="AX313" s="790">
        <f t="shared" si="180"/>
        <v>0</v>
      </c>
      <c r="AY313" s="1174">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39"/>
      <c r="B314" s="1247"/>
      <c r="C314" s="1247"/>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0">
        <f t="shared" si="178"/>
        <v>0</v>
      </c>
      <c r="AW314" s="790">
        <f t="shared" si="179"/>
        <v>0</v>
      </c>
      <c r="AX314" s="790">
        <f t="shared" si="180"/>
        <v>0</v>
      </c>
      <c r="AY314" s="1174">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39"/>
      <c r="B315" s="1247"/>
      <c r="C315" s="1247"/>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0">
        <f t="shared" si="178"/>
        <v>0</v>
      </c>
      <c r="AW315" s="790">
        <f t="shared" si="179"/>
        <v>0</v>
      </c>
      <c r="AX315" s="790">
        <f t="shared" si="180"/>
        <v>0</v>
      </c>
      <c r="AY315" s="1174">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39"/>
      <c r="B316" s="1247"/>
      <c r="C316" s="1247"/>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0">
        <f t="shared" si="178"/>
        <v>0</v>
      </c>
      <c r="AW316" s="790">
        <f t="shared" si="179"/>
        <v>0</v>
      </c>
      <c r="AX316" s="790">
        <f t="shared" si="180"/>
        <v>0</v>
      </c>
      <c r="AY316" s="1174">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39"/>
      <c r="B317" s="1247"/>
      <c r="C317" s="1247"/>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0">
        <f t="shared" si="178"/>
        <v>0</v>
      </c>
      <c r="AW317" s="790">
        <f t="shared" si="179"/>
        <v>0</v>
      </c>
      <c r="AX317" s="790">
        <f t="shared" si="180"/>
        <v>0</v>
      </c>
      <c r="AY317" s="1174">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39"/>
      <c r="B318" s="1247"/>
      <c r="C318" s="1247"/>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0">
        <f t="shared" si="178"/>
        <v>0</v>
      </c>
      <c r="AW318" s="790">
        <f t="shared" si="179"/>
        <v>0</v>
      </c>
      <c r="AX318" s="790">
        <f t="shared" si="180"/>
        <v>0</v>
      </c>
      <c r="AY318" s="1174">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39"/>
      <c r="B319" s="1247"/>
      <c r="C319" s="1247"/>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0">
        <f t="shared" si="178"/>
        <v>0</v>
      </c>
      <c r="AW319" s="790">
        <f t="shared" si="179"/>
        <v>0</v>
      </c>
      <c r="AX319" s="790">
        <f t="shared" si="180"/>
        <v>0</v>
      </c>
      <c r="AY319" s="1174">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39"/>
      <c r="B320" s="1247"/>
      <c r="C320" s="1247"/>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0">
        <f t="shared" si="178"/>
        <v>0</v>
      </c>
      <c r="AW320" s="790">
        <f t="shared" si="179"/>
        <v>0</v>
      </c>
      <c r="AX320" s="790">
        <f t="shared" si="180"/>
        <v>0</v>
      </c>
      <c r="AY320" s="1174">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39"/>
      <c r="B321" s="1247"/>
      <c r="C321" s="1247"/>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0">
        <f t="shared" si="178"/>
        <v>0</v>
      </c>
      <c r="AW321" s="790">
        <f t="shared" si="179"/>
        <v>0</v>
      </c>
      <c r="AX321" s="790">
        <f t="shared" si="180"/>
        <v>0</v>
      </c>
      <c r="AY321" s="1174">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39"/>
      <c r="B322" s="1247"/>
      <c r="C322" s="1247"/>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0">
        <f t="shared" si="178"/>
        <v>0</v>
      </c>
      <c r="AW322" s="790">
        <f t="shared" si="179"/>
        <v>0</v>
      </c>
      <c r="AX322" s="790">
        <f t="shared" si="180"/>
        <v>0</v>
      </c>
      <c r="AY322" s="1174">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39"/>
      <c r="B323" s="1247"/>
      <c r="C323" s="1247"/>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0">
        <f t="shared" si="178"/>
        <v>0</v>
      </c>
      <c r="AW323" s="790">
        <f t="shared" si="179"/>
        <v>0</v>
      </c>
      <c r="AX323" s="790">
        <f t="shared" si="180"/>
        <v>0</v>
      </c>
      <c r="AY323" s="1174">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39"/>
      <c r="B324" s="1247"/>
      <c r="C324" s="1247"/>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0">
        <f t="shared" si="178"/>
        <v>0</v>
      </c>
      <c r="AW324" s="790">
        <f t="shared" si="179"/>
        <v>0</v>
      </c>
      <c r="AX324" s="790">
        <f t="shared" si="180"/>
        <v>0</v>
      </c>
      <c r="AY324" s="1174">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39"/>
      <c r="B325" s="1247"/>
      <c r="C325" s="1247"/>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0">
        <f t="shared" si="178"/>
        <v>0</v>
      </c>
      <c r="AW325" s="790">
        <f t="shared" si="179"/>
        <v>0</v>
      </c>
      <c r="AX325" s="790">
        <f t="shared" si="180"/>
        <v>0</v>
      </c>
      <c r="AY325" s="1174">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39"/>
      <c r="B326" s="1247"/>
      <c r="C326" s="1247"/>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0">
        <f t="shared" si="178"/>
        <v>0</v>
      </c>
      <c r="AW326" s="790">
        <f t="shared" si="179"/>
        <v>0</v>
      </c>
      <c r="AX326" s="790">
        <f t="shared" si="180"/>
        <v>0</v>
      </c>
      <c r="AY326" s="1174">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39"/>
      <c r="B327" s="1247"/>
      <c r="C327" s="1247"/>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0">
        <f t="shared" si="178"/>
        <v>0</v>
      </c>
      <c r="AW327" s="790">
        <f t="shared" si="179"/>
        <v>0</v>
      </c>
      <c r="AX327" s="790">
        <f t="shared" si="180"/>
        <v>0</v>
      </c>
      <c r="AY327" s="1174">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39"/>
      <c r="B328" s="1247"/>
      <c r="C328" s="1247"/>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0">
        <f t="shared" si="178"/>
        <v>0</v>
      </c>
      <c r="AW328" s="790">
        <f t="shared" si="179"/>
        <v>0</v>
      </c>
      <c r="AX328" s="790">
        <f t="shared" si="180"/>
        <v>0</v>
      </c>
      <c r="AY328" s="1174">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39"/>
      <c r="B329" s="1247"/>
      <c r="C329" s="1247"/>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0">
        <f t="shared" si="178"/>
        <v>0</v>
      </c>
      <c r="AW329" s="790">
        <f t="shared" si="179"/>
        <v>0</v>
      </c>
      <c r="AX329" s="790">
        <f t="shared" si="180"/>
        <v>0</v>
      </c>
      <c r="AY329" s="1174">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39"/>
      <c r="B330" s="1247"/>
      <c r="C330" s="1247"/>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0">
        <f t="shared" si="178"/>
        <v>0</v>
      </c>
      <c r="AW330" s="790">
        <f t="shared" si="179"/>
        <v>0</v>
      </c>
      <c r="AX330" s="790">
        <f t="shared" si="180"/>
        <v>0</v>
      </c>
      <c r="AY330" s="1174">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39"/>
      <c r="B331" s="1247"/>
      <c r="C331" s="1247"/>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0">
        <f t="shared" si="178"/>
        <v>0</v>
      </c>
      <c r="AW331" s="790">
        <f t="shared" si="179"/>
        <v>0</v>
      </c>
      <c r="AX331" s="790">
        <f t="shared" si="180"/>
        <v>0</v>
      </c>
      <c r="AY331" s="1174">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39"/>
      <c r="B332" s="1247"/>
      <c r="C332" s="1247"/>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0">
        <f t="shared" si="178"/>
        <v>0</v>
      </c>
      <c r="AW332" s="790">
        <f t="shared" si="179"/>
        <v>0</v>
      </c>
      <c r="AX332" s="790">
        <f t="shared" si="180"/>
        <v>0</v>
      </c>
      <c r="AY332" s="1174">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39"/>
      <c r="B333" s="1247"/>
      <c r="C333" s="1247"/>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0">
        <f t="shared" si="178"/>
        <v>0</v>
      </c>
      <c r="AW333" s="790">
        <f t="shared" si="179"/>
        <v>0</v>
      </c>
      <c r="AX333" s="790">
        <f t="shared" si="180"/>
        <v>0</v>
      </c>
      <c r="AY333" s="1174">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39"/>
      <c r="B334" s="1247"/>
      <c r="C334" s="1247"/>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0">
        <f t="shared" si="178"/>
        <v>0</v>
      </c>
      <c r="AW334" s="790">
        <f t="shared" si="179"/>
        <v>0</v>
      </c>
      <c r="AX334" s="790">
        <f t="shared" si="180"/>
        <v>0</v>
      </c>
      <c r="AY334" s="1174">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39"/>
      <c r="B335" s="1247"/>
      <c r="C335" s="1247"/>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0">
        <f t="shared" ref="AV335:AV366" si="207">A335</f>
        <v>0</v>
      </c>
      <c r="AW335" s="790">
        <f t="shared" ref="AW335:AW366" si="208">B335</f>
        <v>0</v>
      </c>
      <c r="AX335" s="790">
        <f t="shared" ref="AX335:AX366" si="209">C335</f>
        <v>0</v>
      </c>
      <c r="AY335" s="1174">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39"/>
      <c r="B336" s="1247"/>
      <c r="C336" s="1247"/>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0">
        <f t="shared" si="207"/>
        <v>0</v>
      </c>
      <c r="AW336" s="790">
        <f t="shared" si="208"/>
        <v>0</v>
      </c>
      <c r="AX336" s="790">
        <f t="shared" si="209"/>
        <v>0</v>
      </c>
      <c r="AY336" s="1174">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39"/>
      <c r="B337" s="1247"/>
      <c r="C337" s="1247"/>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0">
        <f t="shared" si="207"/>
        <v>0</v>
      </c>
      <c r="AW337" s="790">
        <f t="shared" si="208"/>
        <v>0</v>
      </c>
      <c r="AX337" s="790">
        <f t="shared" si="209"/>
        <v>0</v>
      </c>
      <c r="AY337" s="1174">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39"/>
      <c r="B338" s="1247"/>
      <c r="C338" s="1247"/>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0">
        <f t="shared" si="207"/>
        <v>0</v>
      </c>
      <c r="AW338" s="790">
        <f t="shared" si="208"/>
        <v>0</v>
      </c>
      <c r="AX338" s="790">
        <f t="shared" si="209"/>
        <v>0</v>
      </c>
      <c r="AY338" s="1174">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39"/>
      <c r="B339" s="1247"/>
      <c r="C339" s="1247"/>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0">
        <f t="shared" si="207"/>
        <v>0</v>
      </c>
      <c r="AW339" s="790">
        <f t="shared" si="208"/>
        <v>0</v>
      </c>
      <c r="AX339" s="790">
        <f t="shared" si="209"/>
        <v>0</v>
      </c>
      <c r="AY339" s="1174">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39"/>
      <c r="B340" s="1247"/>
      <c r="C340" s="1247"/>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0">
        <f t="shared" si="207"/>
        <v>0</v>
      </c>
      <c r="AW340" s="790">
        <f t="shared" si="208"/>
        <v>0</v>
      </c>
      <c r="AX340" s="790">
        <f t="shared" si="209"/>
        <v>0</v>
      </c>
      <c r="AY340" s="1174">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39"/>
      <c r="B341" s="1247"/>
      <c r="C341" s="1247"/>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0">
        <f t="shared" si="207"/>
        <v>0</v>
      </c>
      <c r="AW341" s="790">
        <f t="shared" si="208"/>
        <v>0</v>
      </c>
      <c r="AX341" s="790">
        <f t="shared" si="209"/>
        <v>0</v>
      </c>
      <c r="AY341" s="1174">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39"/>
      <c r="B342" s="1247"/>
      <c r="C342" s="1247"/>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0">
        <f t="shared" si="207"/>
        <v>0</v>
      </c>
      <c r="AW342" s="790">
        <f t="shared" si="208"/>
        <v>0</v>
      </c>
      <c r="AX342" s="790">
        <f t="shared" si="209"/>
        <v>0</v>
      </c>
      <c r="AY342" s="1174">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39"/>
      <c r="B343" s="1247"/>
      <c r="C343" s="1247"/>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0">
        <f t="shared" si="207"/>
        <v>0</v>
      </c>
      <c r="AW343" s="790">
        <f t="shared" si="208"/>
        <v>0</v>
      </c>
      <c r="AX343" s="790">
        <f t="shared" si="209"/>
        <v>0</v>
      </c>
      <c r="AY343" s="1174">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39"/>
      <c r="B344" s="1247"/>
      <c r="C344" s="1247"/>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0">
        <f t="shared" si="207"/>
        <v>0</v>
      </c>
      <c r="AW344" s="790">
        <f t="shared" si="208"/>
        <v>0</v>
      </c>
      <c r="AX344" s="790">
        <f t="shared" si="209"/>
        <v>0</v>
      </c>
      <c r="AY344" s="1174">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39"/>
      <c r="B345" s="1247"/>
      <c r="C345" s="1247"/>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0">
        <f t="shared" si="207"/>
        <v>0</v>
      </c>
      <c r="AW345" s="790">
        <f t="shared" si="208"/>
        <v>0</v>
      </c>
      <c r="AX345" s="790">
        <f t="shared" si="209"/>
        <v>0</v>
      </c>
      <c r="AY345" s="1174">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39"/>
      <c r="B346" s="1247"/>
      <c r="C346" s="1247"/>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0">
        <f t="shared" si="207"/>
        <v>0</v>
      </c>
      <c r="AW346" s="790">
        <f t="shared" si="208"/>
        <v>0</v>
      </c>
      <c r="AX346" s="790">
        <f t="shared" si="209"/>
        <v>0</v>
      </c>
      <c r="AY346" s="1174">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39"/>
      <c r="B347" s="1247"/>
      <c r="C347" s="1247"/>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0">
        <f t="shared" si="207"/>
        <v>0</v>
      </c>
      <c r="AW347" s="790">
        <f t="shared" si="208"/>
        <v>0</v>
      </c>
      <c r="AX347" s="790">
        <f t="shared" si="209"/>
        <v>0</v>
      </c>
      <c r="AY347" s="1174">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39"/>
      <c r="B348" s="1247"/>
      <c r="C348" s="1247"/>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0">
        <f t="shared" si="207"/>
        <v>0</v>
      </c>
      <c r="AW348" s="790">
        <f t="shared" si="208"/>
        <v>0</v>
      </c>
      <c r="AX348" s="790">
        <f t="shared" si="209"/>
        <v>0</v>
      </c>
      <c r="AY348" s="1174">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39"/>
      <c r="B349" s="1247"/>
      <c r="C349" s="1247"/>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0">
        <f t="shared" si="207"/>
        <v>0</v>
      </c>
      <c r="AW349" s="790">
        <f t="shared" si="208"/>
        <v>0</v>
      </c>
      <c r="AX349" s="790">
        <f t="shared" si="209"/>
        <v>0</v>
      </c>
      <c r="AY349" s="1174">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39"/>
      <c r="B350" s="1247"/>
      <c r="C350" s="1247"/>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0">
        <f t="shared" si="207"/>
        <v>0</v>
      </c>
      <c r="AW350" s="790">
        <f t="shared" si="208"/>
        <v>0</v>
      </c>
      <c r="AX350" s="790">
        <f t="shared" si="209"/>
        <v>0</v>
      </c>
      <c r="AY350" s="1174">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39"/>
      <c r="B351" s="1247"/>
      <c r="C351" s="1247"/>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0">
        <f t="shared" si="207"/>
        <v>0</v>
      </c>
      <c r="AW351" s="790">
        <f t="shared" si="208"/>
        <v>0</v>
      </c>
      <c r="AX351" s="790">
        <f t="shared" si="209"/>
        <v>0</v>
      </c>
      <c r="AY351" s="1174">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39"/>
      <c r="B352" s="1247"/>
      <c r="C352" s="1247"/>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0">
        <f t="shared" si="207"/>
        <v>0</v>
      </c>
      <c r="AW352" s="790">
        <f t="shared" si="208"/>
        <v>0</v>
      </c>
      <c r="AX352" s="790">
        <f t="shared" si="209"/>
        <v>0</v>
      </c>
      <c r="AY352" s="1174">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39"/>
      <c r="B353" s="1247"/>
      <c r="C353" s="1247"/>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0">
        <f t="shared" si="207"/>
        <v>0</v>
      </c>
      <c r="AW353" s="790">
        <f t="shared" si="208"/>
        <v>0</v>
      </c>
      <c r="AX353" s="790">
        <f t="shared" si="209"/>
        <v>0</v>
      </c>
      <c r="AY353" s="1174">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39"/>
      <c r="B354" s="1247"/>
      <c r="C354" s="1247"/>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0">
        <f t="shared" si="207"/>
        <v>0</v>
      </c>
      <c r="AW354" s="790">
        <f t="shared" si="208"/>
        <v>0</v>
      </c>
      <c r="AX354" s="790">
        <f t="shared" si="209"/>
        <v>0</v>
      </c>
      <c r="AY354" s="1174">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39"/>
      <c r="B355" s="1247"/>
      <c r="C355" s="1247"/>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0">
        <f t="shared" si="207"/>
        <v>0</v>
      </c>
      <c r="AW355" s="790">
        <f t="shared" si="208"/>
        <v>0</v>
      </c>
      <c r="AX355" s="790">
        <f t="shared" si="209"/>
        <v>0</v>
      </c>
      <c r="AY355" s="1174">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39"/>
      <c r="B356" s="1247"/>
      <c r="C356" s="1247"/>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0">
        <f t="shared" si="207"/>
        <v>0</v>
      </c>
      <c r="AW356" s="790">
        <f t="shared" si="208"/>
        <v>0</v>
      </c>
      <c r="AX356" s="790">
        <f t="shared" si="209"/>
        <v>0</v>
      </c>
      <c r="AY356" s="1174">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39"/>
      <c r="B357" s="1247"/>
      <c r="C357" s="1247"/>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0">
        <f t="shared" si="207"/>
        <v>0</v>
      </c>
      <c r="AW357" s="790">
        <f t="shared" si="208"/>
        <v>0</v>
      </c>
      <c r="AX357" s="790">
        <f t="shared" si="209"/>
        <v>0</v>
      </c>
      <c r="AY357" s="1174">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39"/>
      <c r="B358" s="1247"/>
      <c r="C358" s="1247"/>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0">
        <f t="shared" si="207"/>
        <v>0</v>
      </c>
      <c r="AW358" s="790">
        <f t="shared" si="208"/>
        <v>0</v>
      </c>
      <c r="AX358" s="790">
        <f t="shared" si="209"/>
        <v>0</v>
      </c>
      <c r="AY358" s="1174">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39"/>
      <c r="B359" s="1247"/>
      <c r="C359" s="1247"/>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0">
        <f t="shared" si="207"/>
        <v>0</v>
      </c>
      <c r="AW359" s="790">
        <f t="shared" si="208"/>
        <v>0</v>
      </c>
      <c r="AX359" s="790">
        <f t="shared" si="209"/>
        <v>0</v>
      </c>
      <c r="AY359" s="1174">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39"/>
      <c r="B360" s="1247"/>
      <c r="C360" s="1247"/>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0">
        <f t="shared" si="207"/>
        <v>0</v>
      </c>
      <c r="AW360" s="790">
        <f t="shared" si="208"/>
        <v>0</v>
      </c>
      <c r="AX360" s="790">
        <f t="shared" si="209"/>
        <v>0</v>
      </c>
      <c r="AY360" s="1174">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39"/>
      <c r="B361" s="1247"/>
      <c r="C361" s="1247"/>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0">
        <f t="shared" si="207"/>
        <v>0</v>
      </c>
      <c r="AW361" s="790">
        <f t="shared" si="208"/>
        <v>0</v>
      </c>
      <c r="AX361" s="790">
        <f t="shared" si="209"/>
        <v>0</v>
      </c>
      <c r="AY361" s="1174">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39"/>
      <c r="B362" s="1247"/>
      <c r="C362" s="1247"/>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0">
        <f t="shared" si="207"/>
        <v>0</v>
      </c>
      <c r="AW362" s="790">
        <f t="shared" si="208"/>
        <v>0</v>
      </c>
      <c r="AX362" s="790">
        <f t="shared" si="209"/>
        <v>0</v>
      </c>
      <c r="AY362" s="1174">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39"/>
      <c r="B363" s="1247"/>
      <c r="C363" s="1247"/>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0">
        <f t="shared" si="207"/>
        <v>0</v>
      </c>
      <c r="AW363" s="790">
        <f t="shared" si="208"/>
        <v>0</v>
      </c>
      <c r="AX363" s="790">
        <f t="shared" si="209"/>
        <v>0</v>
      </c>
      <c r="AY363" s="1174">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39"/>
      <c r="B364" s="1247"/>
      <c r="C364" s="1247"/>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0">
        <f t="shared" si="207"/>
        <v>0</v>
      </c>
      <c r="AW364" s="790">
        <f t="shared" si="208"/>
        <v>0</v>
      </c>
      <c r="AX364" s="790">
        <f t="shared" si="209"/>
        <v>0</v>
      </c>
      <c r="AY364" s="1174">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39"/>
      <c r="B365" s="1247"/>
      <c r="C365" s="1247"/>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0">
        <f t="shared" si="207"/>
        <v>0</v>
      </c>
      <c r="AW365" s="790">
        <f t="shared" si="208"/>
        <v>0</v>
      </c>
      <c r="AX365" s="790">
        <f t="shared" si="209"/>
        <v>0</v>
      </c>
      <c r="AY365" s="1174">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39"/>
      <c r="B366" s="1247"/>
      <c r="C366" s="1247"/>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0">
        <f t="shared" si="207"/>
        <v>0</v>
      </c>
      <c r="AW366" s="790">
        <f t="shared" si="208"/>
        <v>0</v>
      </c>
      <c r="AX366" s="790">
        <f t="shared" si="209"/>
        <v>0</v>
      </c>
      <c r="AY366" s="1174">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39"/>
      <c r="B367" s="1247"/>
      <c r="C367" s="1247"/>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0">
        <f t="shared" ref="AV367:AV397" si="236">A367</f>
        <v>0</v>
      </c>
      <c r="AW367" s="790">
        <f t="shared" ref="AW367:AW397" si="237">B367</f>
        <v>0</v>
      </c>
      <c r="AX367" s="790">
        <f t="shared" ref="AX367:AX397" si="238">C367</f>
        <v>0</v>
      </c>
      <c r="AY367" s="1174">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39"/>
      <c r="B368" s="1247"/>
      <c r="C368" s="1247"/>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0">
        <f t="shared" si="236"/>
        <v>0</v>
      </c>
      <c r="AW368" s="790">
        <f t="shared" si="237"/>
        <v>0</v>
      </c>
      <c r="AX368" s="790">
        <f t="shared" si="238"/>
        <v>0</v>
      </c>
      <c r="AY368" s="1174">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39"/>
      <c r="B369" s="1247"/>
      <c r="C369" s="1247"/>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0">
        <f t="shared" si="236"/>
        <v>0</v>
      </c>
      <c r="AW369" s="790">
        <f t="shared" si="237"/>
        <v>0</v>
      </c>
      <c r="AX369" s="790">
        <f t="shared" si="238"/>
        <v>0</v>
      </c>
      <c r="AY369" s="1174">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39"/>
      <c r="B370" s="1247"/>
      <c r="C370" s="1247"/>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0">
        <f t="shared" si="236"/>
        <v>0</v>
      </c>
      <c r="AW370" s="790">
        <f t="shared" si="237"/>
        <v>0</v>
      </c>
      <c r="AX370" s="790">
        <f t="shared" si="238"/>
        <v>0</v>
      </c>
      <c r="AY370" s="1174">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39"/>
      <c r="B371" s="1247"/>
      <c r="C371" s="1247"/>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0">
        <f t="shared" si="236"/>
        <v>0</v>
      </c>
      <c r="AW371" s="790">
        <f t="shared" si="237"/>
        <v>0</v>
      </c>
      <c r="AX371" s="790">
        <f t="shared" si="238"/>
        <v>0</v>
      </c>
      <c r="AY371" s="1174">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39"/>
      <c r="B372" s="1247"/>
      <c r="C372" s="1247"/>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0">
        <f t="shared" si="236"/>
        <v>0</v>
      </c>
      <c r="AW372" s="790">
        <f t="shared" si="237"/>
        <v>0</v>
      </c>
      <c r="AX372" s="790">
        <f t="shared" si="238"/>
        <v>0</v>
      </c>
      <c r="AY372" s="1174">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39"/>
      <c r="B373" s="1247"/>
      <c r="C373" s="1247"/>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0">
        <f t="shared" si="236"/>
        <v>0</v>
      </c>
      <c r="AW373" s="790">
        <f t="shared" si="237"/>
        <v>0</v>
      </c>
      <c r="AX373" s="790">
        <f t="shared" si="238"/>
        <v>0</v>
      </c>
      <c r="AY373" s="1174">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39"/>
      <c r="B374" s="1247"/>
      <c r="C374" s="1247"/>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0">
        <f t="shared" si="236"/>
        <v>0</v>
      </c>
      <c r="AW374" s="790">
        <f t="shared" si="237"/>
        <v>0</v>
      </c>
      <c r="AX374" s="790">
        <f t="shared" si="238"/>
        <v>0</v>
      </c>
      <c r="AY374" s="1174">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39"/>
      <c r="B375" s="1247"/>
      <c r="C375" s="1247"/>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0">
        <f t="shared" si="236"/>
        <v>0</v>
      </c>
      <c r="AW375" s="790">
        <f t="shared" si="237"/>
        <v>0</v>
      </c>
      <c r="AX375" s="790">
        <f t="shared" si="238"/>
        <v>0</v>
      </c>
      <c r="AY375" s="1174">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39"/>
      <c r="B376" s="1247"/>
      <c r="C376" s="1247"/>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0">
        <f t="shared" si="236"/>
        <v>0</v>
      </c>
      <c r="AW376" s="790">
        <f t="shared" si="237"/>
        <v>0</v>
      </c>
      <c r="AX376" s="790">
        <f t="shared" si="238"/>
        <v>0</v>
      </c>
      <c r="AY376" s="1174">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39"/>
      <c r="B377" s="1247"/>
      <c r="C377" s="1247"/>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0">
        <f t="shared" si="236"/>
        <v>0</v>
      </c>
      <c r="AW377" s="790">
        <f t="shared" si="237"/>
        <v>0</v>
      </c>
      <c r="AX377" s="790">
        <f t="shared" si="238"/>
        <v>0</v>
      </c>
      <c r="AY377" s="1174">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39"/>
      <c r="B378" s="1247"/>
      <c r="C378" s="1247"/>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0">
        <f t="shared" si="236"/>
        <v>0</v>
      </c>
      <c r="AW378" s="790">
        <f t="shared" si="237"/>
        <v>0</v>
      </c>
      <c r="AX378" s="790">
        <f t="shared" si="238"/>
        <v>0</v>
      </c>
      <c r="AY378" s="1174">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39"/>
      <c r="B379" s="1247"/>
      <c r="C379" s="1247"/>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0">
        <f t="shared" si="236"/>
        <v>0</v>
      </c>
      <c r="AW379" s="790">
        <f t="shared" si="237"/>
        <v>0</v>
      </c>
      <c r="AX379" s="790">
        <f t="shared" si="238"/>
        <v>0</v>
      </c>
      <c r="AY379" s="1174">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39"/>
      <c r="B380" s="1247"/>
      <c r="C380" s="1247"/>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0">
        <f t="shared" si="236"/>
        <v>0</v>
      </c>
      <c r="AW380" s="790">
        <f t="shared" si="237"/>
        <v>0</v>
      </c>
      <c r="AX380" s="790">
        <f t="shared" si="238"/>
        <v>0</v>
      </c>
      <c r="AY380" s="1174">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39"/>
      <c r="B381" s="1247"/>
      <c r="C381" s="1247"/>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0">
        <f t="shared" si="236"/>
        <v>0</v>
      </c>
      <c r="AW381" s="790">
        <f t="shared" si="237"/>
        <v>0</v>
      </c>
      <c r="AX381" s="790">
        <f t="shared" si="238"/>
        <v>0</v>
      </c>
      <c r="AY381" s="1174">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39"/>
      <c r="B382" s="1247"/>
      <c r="C382" s="1247"/>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0">
        <f t="shared" si="236"/>
        <v>0</v>
      </c>
      <c r="AW382" s="790">
        <f t="shared" si="237"/>
        <v>0</v>
      </c>
      <c r="AX382" s="790">
        <f t="shared" si="238"/>
        <v>0</v>
      </c>
      <c r="AY382" s="1174">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39"/>
      <c r="B383" s="1247"/>
      <c r="C383" s="1247"/>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0">
        <f t="shared" si="236"/>
        <v>0</v>
      </c>
      <c r="AW383" s="790">
        <f t="shared" si="237"/>
        <v>0</v>
      </c>
      <c r="AX383" s="790">
        <f t="shared" si="238"/>
        <v>0</v>
      </c>
      <c r="AY383" s="1174">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39"/>
      <c r="B384" s="1247"/>
      <c r="C384" s="1247"/>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0">
        <f t="shared" si="236"/>
        <v>0</v>
      </c>
      <c r="AW384" s="790">
        <f t="shared" si="237"/>
        <v>0</v>
      </c>
      <c r="AX384" s="790">
        <f t="shared" si="238"/>
        <v>0</v>
      </c>
      <c r="AY384" s="1174">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39"/>
      <c r="B385" s="1247"/>
      <c r="C385" s="1247"/>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0">
        <f t="shared" si="236"/>
        <v>0</v>
      </c>
      <c r="AW385" s="790">
        <f t="shared" si="237"/>
        <v>0</v>
      </c>
      <c r="AX385" s="790">
        <f t="shared" si="238"/>
        <v>0</v>
      </c>
      <c r="AY385" s="1174">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39"/>
      <c r="B386" s="1247"/>
      <c r="C386" s="1247"/>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0">
        <f t="shared" si="236"/>
        <v>0</v>
      </c>
      <c r="AW386" s="790">
        <f t="shared" si="237"/>
        <v>0</v>
      </c>
      <c r="AX386" s="790">
        <f t="shared" si="238"/>
        <v>0</v>
      </c>
      <c r="AY386" s="1174">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39"/>
      <c r="B387" s="1247"/>
      <c r="C387" s="1247"/>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0">
        <f t="shared" si="236"/>
        <v>0</v>
      </c>
      <c r="AW387" s="790">
        <f t="shared" si="237"/>
        <v>0</v>
      </c>
      <c r="AX387" s="790">
        <f t="shared" si="238"/>
        <v>0</v>
      </c>
      <c r="AY387" s="1174">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39"/>
      <c r="B388" s="1247"/>
      <c r="C388" s="1247"/>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0">
        <f t="shared" si="236"/>
        <v>0</v>
      </c>
      <c r="AW388" s="790">
        <f t="shared" si="237"/>
        <v>0</v>
      </c>
      <c r="AX388" s="790">
        <f t="shared" si="238"/>
        <v>0</v>
      </c>
      <c r="AY388" s="1174">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39"/>
      <c r="B389" s="1247"/>
      <c r="C389" s="1247"/>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0">
        <f t="shared" si="236"/>
        <v>0</v>
      </c>
      <c r="AW389" s="790">
        <f t="shared" si="237"/>
        <v>0</v>
      </c>
      <c r="AX389" s="790">
        <f t="shared" si="238"/>
        <v>0</v>
      </c>
      <c r="AY389" s="1174">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39"/>
      <c r="B390" s="1247"/>
      <c r="C390" s="1247"/>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0">
        <f t="shared" si="236"/>
        <v>0</v>
      </c>
      <c r="AW390" s="790">
        <f t="shared" si="237"/>
        <v>0</v>
      </c>
      <c r="AX390" s="790">
        <f t="shared" si="238"/>
        <v>0</v>
      </c>
      <c r="AY390" s="1174">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39"/>
      <c r="B391" s="1247"/>
      <c r="C391" s="1247"/>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0">
        <f t="shared" si="236"/>
        <v>0</v>
      </c>
      <c r="AW391" s="790">
        <f t="shared" si="237"/>
        <v>0</v>
      </c>
      <c r="AX391" s="790">
        <f t="shared" si="238"/>
        <v>0</v>
      </c>
      <c r="AY391" s="1174">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39"/>
      <c r="B392" s="1247"/>
      <c r="C392" s="1247"/>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0">
        <f t="shared" si="236"/>
        <v>0</v>
      </c>
      <c r="AW392" s="790">
        <f t="shared" si="237"/>
        <v>0</v>
      </c>
      <c r="AX392" s="790">
        <f t="shared" si="238"/>
        <v>0</v>
      </c>
      <c r="AY392" s="1174">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39"/>
      <c r="B393" s="1247"/>
      <c r="C393" s="1247"/>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0">
        <f t="shared" si="236"/>
        <v>0</v>
      </c>
      <c r="AW393" s="790">
        <f t="shared" si="237"/>
        <v>0</v>
      </c>
      <c r="AX393" s="790">
        <f t="shared" si="238"/>
        <v>0</v>
      </c>
      <c r="AY393" s="1174">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39"/>
      <c r="B394" s="1247"/>
      <c r="C394" s="1247"/>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0">
        <f t="shared" si="236"/>
        <v>0</v>
      </c>
      <c r="AW394" s="790">
        <f t="shared" si="237"/>
        <v>0</v>
      </c>
      <c r="AX394" s="790">
        <f t="shared" si="238"/>
        <v>0</v>
      </c>
      <c r="AY394" s="1174">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39"/>
      <c r="B395" s="1239"/>
      <c r="C395" s="1239"/>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2"/>
      <c r="AV395" s="790">
        <f t="shared" si="236"/>
        <v>0</v>
      </c>
      <c r="AW395" s="790">
        <f t="shared" si="237"/>
        <v>0</v>
      </c>
      <c r="AX395" s="790">
        <f t="shared" si="238"/>
        <v>0</v>
      </c>
      <c r="AY395" s="1174">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39"/>
      <c r="B396" s="1239"/>
      <c r="C396" s="1239"/>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2"/>
      <c r="AV396" s="790">
        <f t="shared" si="236"/>
        <v>0</v>
      </c>
      <c r="AW396" s="790">
        <f t="shared" si="237"/>
        <v>0</v>
      </c>
      <c r="AX396" s="790">
        <f t="shared" si="238"/>
        <v>0</v>
      </c>
      <c r="AY396" s="1174">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39"/>
      <c r="B397" s="1239"/>
      <c r="C397" s="1239"/>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2"/>
      <c r="AV397" s="790">
        <f t="shared" si="236"/>
        <v>0</v>
      </c>
      <c r="AW397" s="790">
        <f t="shared" si="237"/>
        <v>0</v>
      </c>
      <c r="AX397" s="790">
        <f t="shared" si="238"/>
        <v>0</v>
      </c>
      <c r="AY397" s="1174">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39"/>
      <c r="B398" s="1247"/>
      <c r="C398" s="1247"/>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0">
        <f t="shared" ref="AV398:AV492" si="243">A398</f>
        <v>0</v>
      </c>
      <c r="AW398" s="790">
        <f t="shared" ref="AW398:AW492" si="244">B398</f>
        <v>0</v>
      </c>
      <c r="AX398" s="790">
        <f t="shared" ref="AX398:AX492" si="245">C398</f>
        <v>0</v>
      </c>
      <c r="AY398" s="1174">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39"/>
      <c r="B399" s="1247"/>
      <c r="C399" s="1247"/>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0">
        <f t="shared" si="243"/>
        <v>0</v>
      </c>
      <c r="AW399" s="790">
        <f t="shared" si="244"/>
        <v>0</v>
      </c>
      <c r="AX399" s="790">
        <f t="shared" si="245"/>
        <v>0</v>
      </c>
      <c r="AY399" s="1174">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39"/>
      <c r="B400" s="1247"/>
      <c r="C400" s="1247"/>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0">
        <f t="shared" si="243"/>
        <v>0</v>
      </c>
      <c r="AW400" s="790">
        <f t="shared" si="244"/>
        <v>0</v>
      </c>
      <c r="AX400" s="790">
        <f t="shared" si="245"/>
        <v>0</v>
      </c>
      <c r="AY400" s="1174">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39"/>
      <c r="B401" s="1247"/>
      <c r="C401" s="1247"/>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0">
        <f t="shared" si="243"/>
        <v>0</v>
      </c>
      <c r="AW401" s="790">
        <f t="shared" si="244"/>
        <v>0</v>
      </c>
      <c r="AX401" s="790">
        <f t="shared" si="245"/>
        <v>0</v>
      </c>
      <c r="AY401" s="1174">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39"/>
      <c r="B402" s="1247"/>
      <c r="C402" s="1247"/>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0">
        <f t="shared" si="243"/>
        <v>0</v>
      </c>
      <c r="AW402" s="790">
        <f t="shared" si="244"/>
        <v>0</v>
      </c>
      <c r="AX402" s="790">
        <f t="shared" si="245"/>
        <v>0</v>
      </c>
      <c r="AY402" s="1174">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39"/>
      <c r="B403" s="1247"/>
      <c r="C403" s="1247"/>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0">
        <f t="shared" si="243"/>
        <v>0</v>
      </c>
      <c r="AW403" s="790">
        <f t="shared" si="244"/>
        <v>0</v>
      </c>
      <c r="AX403" s="790">
        <f t="shared" si="245"/>
        <v>0</v>
      </c>
      <c r="AY403" s="1174">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39"/>
      <c r="B404" s="1247"/>
      <c r="C404" s="1247"/>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0">
        <f t="shared" si="243"/>
        <v>0</v>
      </c>
      <c r="AW404" s="790">
        <f t="shared" si="244"/>
        <v>0</v>
      </c>
      <c r="AX404" s="790">
        <f t="shared" si="245"/>
        <v>0</v>
      </c>
      <c r="AY404" s="1174">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39"/>
      <c r="B405" s="1247"/>
      <c r="C405" s="1247"/>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0">
        <f t="shared" si="243"/>
        <v>0</v>
      </c>
      <c r="AW405" s="790">
        <f t="shared" si="244"/>
        <v>0</v>
      </c>
      <c r="AX405" s="790">
        <f t="shared" si="245"/>
        <v>0</v>
      </c>
      <c r="AY405" s="1174">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39"/>
      <c r="B406" s="1247"/>
      <c r="C406" s="1247"/>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0">
        <f t="shared" si="243"/>
        <v>0</v>
      </c>
      <c r="AW406" s="790">
        <f t="shared" si="244"/>
        <v>0</v>
      </c>
      <c r="AX406" s="790">
        <f t="shared" si="245"/>
        <v>0</v>
      </c>
      <c r="AY406" s="1174">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39"/>
      <c r="B407" s="1247"/>
      <c r="C407" s="1247"/>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0">
        <f t="shared" si="243"/>
        <v>0</v>
      </c>
      <c r="AW407" s="790">
        <f t="shared" si="244"/>
        <v>0</v>
      </c>
      <c r="AX407" s="790">
        <f t="shared" si="245"/>
        <v>0</v>
      </c>
      <c r="AY407" s="1174">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39"/>
      <c r="B408" s="1247"/>
      <c r="C408" s="1247"/>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0">
        <f t="shared" si="243"/>
        <v>0</v>
      </c>
      <c r="AW408" s="790">
        <f t="shared" si="244"/>
        <v>0</v>
      </c>
      <c r="AX408" s="790">
        <f t="shared" si="245"/>
        <v>0</v>
      </c>
      <c r="AY408" s="1174">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39"/>
      <c r="B409" s="1247"/>
      <c r="C409" s="1247"/>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0">
        <f t="shared" si="243"/>
        <v>0</v>
      </c>
      <c r="AW409" s="790">
        <f t="shared" si="244"/>
        <v>0</v>
      </c>
      <c r="AX409" s="790">
        <f t="shared" si="245"/>
        <v>0</v>
      </c>
      <c r="AY409" s="1174">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39"/>
      <c r="B410" s="1247"/>
      <c r="C410" s="1247"/>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0">
        <f t="shared" si="243"/>
        <v>0</v>
      </c>
      <c r="AW410" s="790">
        <f t="shared" si="244"/>
        <v>0</v>
      </c>
      <c r="AX410" s="790">
        <f t="shared" si="245"/>
        <v>0</v>
      </c>
      <c r="AY410" s="1174">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39"/>
      <c r="B411" s="1247"/>
      <c r="C411" s="1247"/>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0">
        <f t="shared" si="243"/>
        <v>0</v>
      </c>
      <c r="AW411" s="790">
        <f t="shared" si="244"/>
        <v>0</v>
      </c>
      <c r="AX411" s="790">
        <f t="shared" si="245"/>
        <v>0</v>
      </c>
      <c r="AY411" s="1174">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39"/>
      <c r="B412" s="1247"/>
      <c r="C412" s="1247"/>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0">
        <f t="shared" si="243"/>
        <v>0</v>
      </c>
      <c r="AW412" s="790">
        <f t="shared" si="244"/>
        <v>0</v>
      </c>
      <c r="AX412" s="790">
        <f t="shared" si="245"/>
        <v>0</v>
      </c>
      <c r="AY412" s="1174">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39"/>
      <c r="B413" s="1247"/>
      <c r="C413" s="1247"/>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0">
        <f t="shared" si="243"/>
        <v>0</v>
      </c>
      <c r="AW413" s="790">
        <f t="shared" si="244"/>
        <v>0</v>
      </c>
      <c r="AX413" s="790">
        <f t="shared" si="245"/>
        <v>0</v>
      </c>
      <c r="AY413" s="1174">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39"/>
      <c r="B414" s="1247"/>
      <c r="C414" s="1247"/>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0">
        <f t="shared" si="243"/>
        <v>0</v>
      </c>
      <c r="AW414" s="790">
        <f t="shared" si="244"/>
        <v>0</v>
      </c>
      <c r="AX414" s="790">
        <f t="shared" si="245"/>
        <v>0</v>
      </c>
      <c r="AY414" s="1174">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39"/>
      <c r="B415" s="1247"/>
      <c r="C415" s="1247"/>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0">
        <f t="shared" si="243"/>
        <v>0</v>
      </c>
      <c r="AW415" s="790">
        <f t="shared" si="244"/>
        <v>0</v>
      </c>
      <c r="AX415" s="790">
        <f t="shared" si="245"/>
        <v>0</v>
      </c>
      <c r="AY415" s="1174">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39"/>
      <c r="B416" s="1247"/>
      <c r="C416" s="1247"/>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0">
        <f t="shared" si="243"/>
        <v>0</v>
      </c>
      <c r="AW416" s="790">
        <f t="shared" si="244"/>
        <v>0</v>
      </c>
      <c r="AX416" s="790">
        <f t="shared" si="245"/>
        <v>0</v>
      </c>
      <c r="AY416" s="1174">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39"/>
      <c r="B417" s="1247"/>
      <c r="C417" s="1247"/>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0">
        <f t="shared" si="243"/>
        <v>0</v>
      </c>
      <c r="AW417" s="790">
        <f t="shared" si="244"/>
        <v>0</v>
      </c>
      <c r="AX417" s="790">
        <f t="shared" si="245"/>
        <v>0</v>
      </c>
      <c r="AY417" s="1174">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39"/>
      <c r="B418" s="1247"/>
      <c r="C418" s="1247"/>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0">
        <f t="shared" si="243"/>
        <v>0</v>
      </c>
      <c r="AW418" s="790">
        <f t="shared" si="244"/>
        <v>0</v>
      </c>
      <c r="AX418" s="790">
        <f t="shared" si="245"/>
        <v>0</v>
      </c>
      <c r="AY418" s="1174">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39"/>
      <c r="B419" s="1247"/>
      <c r="C419" s="1247"/>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0">
        <f t="shared" si="243"/>
        <v>0</v>
      </c>
      <c r="AW419" s="790">
        <f t="shared" si="244"/>
        <v>0</v>
      </c>
      <c r="AX419" s="790">
        <f t="shared" si="245"/>
        <v>0</v>
      </c>
      <c r="AY419" s="1174">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39"/>
      <c r="B420" s="1247"/>
      <c r="C420" s="1247"/>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0">
        <f t="shared" si="243"/>
        <v>0</v>
      </c>
      <c r="AW420" s="790">
        <f t="shared" si="244"/>
        <v>0</v>
      </c>
      <c r="AX420" s="790">
        <f t="shared" si="245"/>
        <v>0</v>
      </c>
      <c r="AY420" s="1174">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39"/>
      <c r="B421" s="1247"/>
      <c r="C421" s="1247"/>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0">
        <f t="shared" si="243"/>
        <v>0</v>
      </c>
      <c r="AW421" s="790">
        <f t="shared" si="244"/>
        <v>0</v>
      </c>
      <c r="AX421" s="790">
        <f t="shared" si="245"/>
        <v>0</v>
      </c>
      <c r="AY421" s="1174">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39"/>
      <c r="B422" s="1247"/>
      <c r="C422" s="1247"/>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0">
        <f t="shared" si="243"/>
        <v>0</v>
      </c>
      <c r="AW422" s="790">
        <f t="shared" si="244"/>
        <v>0</v>
      </c>
      <c r="AX422" s="790">
        <f t="shared" si="245"/>
        <v>0</v>
      </c>
      <c r="AY422" s="1174">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39"/>
      <c r="B423" s="1247"/>
      <c r="C423" s="1247"/>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0">
        <f t="shared" si="243"/>
        <v>0</v>
      </c>
      <c r="AW423" s="790">
        <f t="shared" si="244"/>
        <v>0</v>
      </c>
      <c r="AX423" s="790">
        <f t="shared" si="245"/>
        <v>0</v>
      </c>
      <c r="AY423" s="1174">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39"/>
      <c r="B424" s="1247"/>
      <c r="C424" s="1247"/>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0">
        <f t="shared" si="243"/>
        <v>0</v>
      </c>
      <c r="AW424" s="790">
        <f t="shared" si="244"/>
        <v>0</v>
      </c>
      <c r="AX424" s="790">
        <f t="shared" si="245"/>
        <v>0</v>
      </c>
      <c r="AY424" s="1174">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39"/>
      <c r="B425" s="1247"/>
      <c r="C425" s="1247"/>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0">
        <f t="shared" si="243"/>
        <v>0</v>
      </c>
      <c r="AW425" s="790">
        <f t="shared" si="244"/>
        <v>0</v>
      </c>
      <c r="AX425" s="790">
        <f t="shared" si="245"/>
        <v>0</v>
      </c>
      <c r="AY425" s="1174">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39"/>
      <c r="B426" s="1247"/>
      <c r="C426" s="1247"/>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0">
        <f t="shared" si="243"/>
        <v>0</v>
      </c>
      <c r="AW426" s="790">
        <f t="shared" si="244"/>
        <v>0</v>
      </c>
      <c r="AX426" s="790">
        <f t="shared" si="245"/>
        <v>0</v>
      </c>
      <c r="AY426" s="1174">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39"/>
      <c r="B427" s="1247"/>
      <c r="C427" s="1247"/>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0">
        <f t="shared" si="243"/>
        <v>0</v>
      </c>
      <c r="AW427" s="790">
        <f t="shared" si="244"/>
        <v>0</v>
      </c>
      <c r="AX427" s="790">
        <f t="shared" si="245"/>
        <v>0</v>
      </c>
      <c r="AY427" s="1174">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39"/>
      <c r="B428" s="1247"/>
      <c r="C428" s="1247"/>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0">
        <f t="shared" si="243"/>
        <v>0</v>
      </c>
      <c r="AW428" s="790">
        <f t="shared" si="244"/>
        <v>0</v>
      </c>
      <c r="AX428" s="790">
        <f t="shared" si="245"/>
        <v>0</v>
      </c>
      <c r="AY428" s="1174">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39"/>
      <c r="B429" s="1247"/>
      <c r="C429" s="1247"/>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0">
        <f t="shared" si="243"/>
        <v>0</v>
      </c>
      <c r="AW429" s="790">
        <f t="shared" si="244"/>
        <v>0</v>
      </c>
      <c r="AX429" s="790">
        <f t="shared" si="245"/>
        <v>0</v>
      </c>
      <c r="AY429" s="1174">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39"/>
      <c r="B430" s="1247"/>
      <c r="C430" s="1247"/>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0">
        <f t="shared" si="243"/>
        <v>0</v>
      </c>
      <c r="AW430" s="790">
        <f t="shared" si="244"/>
        <v>0</v>
      </c>
      <c r="AX430" s="790">
        <f t="shared" si="245"/>
        <v>0</v>
      </c>
      <c r="AY430" s="1174">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39"/>
      <c r="B431" s="1247"/>
      <c r="C431" s="1247"/>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0">
        <f t="shared" si="243"/>
        <v>0</v>
      </c>
      <c r="AW431" s="790">
        <f t="shared" si="244"/>
        <v>0</v>
      </c>
      <c r="AX431" s="790">
        <f t="shared" si="245"/>
        <v>0</v>
      </c>
      <c r="AY431" s="1174">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39"/>
      <c r="B432" s="1247"/>
      <c r="C432" s="1247"/>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0">
        <f t="shared" si="243"/>
        <v>0</v>
      </c>
      <c r="AW432" s="790">
        <f t="shared" si="244"/>
        <v>0</v>
      </c>
      <c r="AX432" s="790">
        <f t="shared" si="245"/>
        <v>0</v>
      </c>
      <c r="AY432" s="1174">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39"/>
      <c r="B433" s="1247"/>
      <c r="C433" s="1247"/>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0">
        <f t="shared" si="243"/>
        <v>0</v>
      </c>
      <c r="AW433" s="790">
        <f t="shared" si="244"/>
        <v>0</v>
      </c>
      <c r="AX433" s="790">
        <f t="shared" si="245"/>
        <v>0</v>
      </c>
      <c r="AY433" s="1174">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39"/>
      <c r="B434" s="1247"/>
      <c r="C434" s="1247"/>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0">
        <f t="shared" si="243"/>
        <v>0</v>
      </c>
      <c r="AW434" s="790">
        <f t="shared" si="244"/>
        <v>0</v>
      </c>
      <c r="AX434" s="790">
        <f t="shared" si="245"/>
        <v>0</v>
      </c>
      <c r="AY434" s="1174">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39"/>
      <c r="B435" s="1247"/>
      <c r="C435" s="1247"/>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0">
        <f t="shared" si="243"/>
        <v>0</v>
      </c>
      <c r="AW435" s="790">
        <f t="shared" si="244"/>
        <v>0</v>
      </c>
      <c r="AX435" s="790">
        <f t="shared" si="245"/>
        <v>0</v>
      </c>
      <c r="AY435" s="1174">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39"/>
      <c r="B436" s="1247"/>
      <c r="C436" s="1247"/>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0">
        <f t="shared" si="243"/>
        <v>0</v>
      </c>
      <c r="AW436" s="790">
        <f t="shared" si="244"/>
        <v>0</v>
      </c>
      <c r="AX436" s="790">
        <f t="shared" si="245"/>
        <v>0</v>
      </c>
      <c r="AY436" s="1174">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39"/>
      <c r="B437" s="1247"/>
      <c r="C437" s="1247"/>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0">
        <f t="shared" si="243"/>
        <v>0</v>
      </c>
      <c r="AW437" s="790">
        <f t="shared" si="244"/>
        <v>0</v>
      </c>
      <c r="AX437" s="790">
        <f t="shared" si="245"/>
        <v>0</v>
      </c>
      <c r="AY437" s="1174">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39"/>
      <c r="B438" s="1247"/>
      <c r="C438" s="1247"/>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0">
        <f t="shared" si="243"/>
        <v>0</v>
      </c>
      <c r="AW438" s="790">
        <f t="shared" si="244"/>
        <v>0</v>
      </c>
      <c r="AX438" s="790">
        <f t="shared" si="245"/>
        <v>0</v>
      </c>
      <c r="AY438" s="1174">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39"/>
      <c r="B439" s="1247"/>
      <c r="C439" s="1247"/>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0">
        <f t="shared" si="243"/>
        <v>0</v>
      </c>
      <c r="AW439" s="790">
        <f t="shared" si="244"/>
        <v>0</v>
      </c>
      <c r="AX439" s="790">
        <f t="shared" si="245"/>
        <v>0</v>
      </c>
      <c r="AY439" s="1174">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39"/>
      <c r="B440" s="1247"/>
      <c r="C440" s="1247"/>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0">
        <f t="shared" si="243"/>
        <v>0</v>
      </c>
      <c r="AW440" s="790">
        <f t="shared" si="244"/>
        <v>0</v>
      </c>
      <c r="AX440" s="790">
        <f t="shared" si="245"/>
        <v>0</v>
      </c>
      <c r="AY440" s="1174">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39"/>
      <c r="B441" s="1247"/>
      <c r="C441" s="1247"/>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0">
        <f t="shared" si="243"/>
        <v>0</v>
      </c>
      <c r="AW441" s="790">
        <f t="shared" si="244"/>
        <v>0</v>
      </c>
      <c r="AX441" s="790">
        <f t="shared" si="245"/>
        <v>0</v>
      </c>
      <c r="AY441" s="1174">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39"/>
      <c r="B442" s="1247"/>
      <c r="C442" s="1247"/>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0">
        <f t="shared" si="243"/>
        <v>0</v>
      </c>
      <c r="AW442" s="790">
        <f t="shared" si="244"/>
        <v>0</v>
      </c>
      <c r="AX442" s="790">
        <f t="shared" si="245"/>
        <v>0</v>
      </c>
      <c r="AY442" s="1174">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39"/>
      <c r="B443" s="1247"/>
      <c r="C443" s="1247"/>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0">
        <f t="shared" si="243"/>
        <v>0</v>
      </c>
      <c r="AW443" s="790">
        <f t="shared" si="244"/>
        <v>0</v>
      </c>
      <c r="AX443" s="790">
        <f t="shared" si="245"/>
        <v>0</v>
      </c>
      <c r="AY443" s="1174">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39"/>
      <c r="B444" s="1247"/>
      <c r="C444" s="1247"/>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0">
        <f t="shared" si="243"/>
        <v>0</v>
      </c>
      <c r="AW444" s="790">
        <f t="shared" si="244"/>
        <v>0</v>
      </c>
      <c r="AX444" s="790">
        <f t="shared" si="245"/>
        <v>0</v>
      </c>
      <c r="AY444" s="1174">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39"/>
      <c r="B445" s="1247"/>
      <c r="C445" s="1247"/>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0">
        <f t="shared" si="243"/>
        <v>0</v>
      </c>
      <c r="AW445" s="790">
        <f t="shared" si="244"/>
        <v>0</v>
      </c>
      <c r="AX445" s="790">
        <f t="shared" si="245"/>
        <v>0</v>
      </c>
      <c r="AY445" s="1174">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39"/>
      <c r="B446" s="1247"/>
      <c r="C446" s="1247"/>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0">
        <f t="shared" si="243"/>
        <v>0</v>
      </c>
      <c r="AW446" s="790">
        <f t="shared" si="244"/>
        <v>0</v>
      </c>
      <c r="AX446" s="790">
        <f t="shared" si="245"/>
        <v>0</v>
      </c>
      <c r="AY446" s="1174">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39"/>
      <c r="B447" s="1247"/>
      <c r="C447" s="1247"/>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0">
        <f t="shared" si="243"/>
        <v>0</v>
      </c>
      <c r="AW447" s="790">
        <f t="shared" si="244"/>
        <v>0</v>
      </c>
      <c r="AX447" s="790">
        <f t="shared" si="245"/>
        <v>0</v>
      </c>
      <c r="AY447" s="1174">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39"/>
      <c r="B448" s="1247"/>
      <c r="C448" s="1247"/>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0">
        <f t="shared" si="243"/>
        <v>0</v>
      </c>
      <c r="AW448" s="790">
        <f t="shared" si="244"/>
        <v>0</v>
      </c>
      <c r="AX448" s="790">
        <f t="shared" si="245"/>
        <v>0</v>
      </c>
      <c r="AY448" s="1174">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39"/>
      <c r="B449" s="1247"/>
      <c r="C449" s="1247"/>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0">
        <f t="shared" si="243"/>
        <v>0</v>
      </c>
      <c r="AW449" s="790">
        <f t="shared" si="244"/>
        <v>0</v>
      </c>
      <c r="AX449" s="790">
        <f t="shared" si="245"/>
        <v>0</v>
      </c>
      <c r="AY449" s="1174">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39"/>
      <c r="B450" s="1247"/>
      <c r="C450" s="1247"/>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0">
        <f t="shared" si="243"/>
        <v>0</v>
      </c>
      <c r="AW450" s="790">
        <f t="shared" si="244"/>
        <v>0</v>
      </c>
      <c r="AX450" s="790">
        <f t="shared" si="245"/>
        <v>0</v>
      </c>
      <c r="AY450" s="1174">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39"/>
      <c r="B451" s="1247"/>
      <c r="C451" s="1247"/>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0">
        <f t="shared" si="243"/>
        <v>0</v>
      </c>
      <c r="AW451" s="790">
        <f t="shared" si="244"/>
        <v>0</v>
      </c>
      <c r="AX451" s="790">
        <f t="shared" si="245"/>
        <v>0</v>
      </c>
      <c r="AY451" s="1174">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39"/>
      <c r="B452" s="1247"/>
      <c r="C452" s="1247"/>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0">
        <f t="shared" si="243"/>
        <v>0</v>
      </c>
      <c r="AW452" s="790">
        <f t="shared" si="244"/>
        <v>0</v>
      </c>
      <c r="AX452" s="790">
        <f t="shared" si="245"/>
        <v>0</v>
      </c>
      <c r="AY452" s="1174">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39"/>
      <c r="B453" s="1247"/>
      <c r="C453" s="1247"/>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0">
        <f t="shared" si="243"/>
        <v>0</v>
      </c>
      <c r="AW453" s="790">
        <f t="shared" si="244"/>
        <v>0</v>
      </c>
      <c r="AX453" s="790">
        <f t="shared" si="245"/>
        <v>0</v>
      </c>
      <c r="AY453" s="1174">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39"/>
      <c r="B454" s="1247"/>
      <c r="C454" s="1247"/>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0">
        <f t="shared" si="243"/>
        <v>0</v>
      </c>
      <c r="AW454" s="790">
        <f t="shared" si="244"/>
        <v>0</v>
      </c>
      <c r="AX454" s="790">
        <f t="shared" si="245"/>
        <v>0</v>
      </c>
      <c r="AY454" s="1174">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39"/>
      <c r="B455" s="1247"/>
      <c r="C455" s="1247"/>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0">
        <f t="shared" si="243"/>
        <v>0</v>
      </c>
      <c r="AW455" s="790">
        <f t="shared" si="244"/>
        <v>0</v>
      </c>
      <c r="AX455" s="790">
        <f t="shared" si="245"/>
        <v>0</v>
      </c>
      <c r="AY455" s="1174">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39"/>
      <c r="B456" s="1247"/>
      <c r="C456" s="1247"/>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0">
        <f t="shared" si="243"/>
        <v>0</v>
      </c>
      <c r="AW456" s="790">
        <f t="shared" si="244"/>
        <v>0</v>
      </c>
      <c r="AX456" s="790">
        <f t="shared" si="245"/>
        <v>0</v>
      </c>
      <c r="AY456" s="1174">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39"/>
      <c r="B457" s="1247"/>
      <c r="C457" s="1247"/>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0">
        <f t="shared" si="243"/>
        <v>0</v>
      </c>
      <c r="AW457" s="790">
        <f t="shared" si="244"/>
        <v>0</v>
      </c>
      <c r="AX457" s="790">
        <f t="shared" si="245"/>
        <v>0</v>
      </c>
      <c r="AY457" s="1174">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39"/>
      <c r="B458" s="1247"/>
      <c r="C458" s="1247"/>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0">
        <f t="shared" si="243"/>
        <v>0</v>
      </c>
      <c r="AW458" s="790">
        <f t="shared" si="244"/>
        <v>0</v>
      </c>
      <c r="AX458" s="790">
        <f t="shared" si="245"/>
        <v>0</v>
      </c>
      <c r="AY458" s="1174">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39"/>
      <c r="B459" s="1247"/>
      <c r="C459" s="1247"/>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0">
        <f t="shared" si="243"/>
        <v>0</v>
      </c>
      <c r="AW459" s="790">
        <f t="shared" si="244"/>
        <v>0</v>
      </c>
      <c r="AX459" s="790">
        <f t="shared" si="245"/>
        <v>0</v>
      </c>
      <c r="AY459" s="1174">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39"/>
      <c r="B460" s="1247"/>
      <c r="C460" s="1247"/>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0">
        <f t="shared" si="243"/>
        <v>0</v>
      </c>
      <c r="AW460" s="790">
        <f t="shared" si="244"/>
        <v>0</v>
      </c>
      <c r="AX460" s="790">
        <f t="shared" si="245"/>
        <v>0</v>
      </c>
      <c r="AY460" s="1174">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39"/>
      <c r="B461" s="1247"/>
      <c r="C461" s="1247"/>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0">
        <f t="shared" si="243"/>
        <v>0</v>
      </c>
      <c r="AW461" s="790">
        <f t="shared" si="244"/>
        <v>0</v>
      </c>
      <c r="AX461" s="790">
        <f t="shared" si="245"/>
        <v>0</v>
      </c>
      <c r="AY461" s="1174">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39"/>
      <c r="B462" s="1247"/>
      <c r="C462" s="1247"/>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0">
        <f t="shared" si="243"/>
        <v>0</v>
      </c>
      <c r="AW462" s="790">
        <f t="shared" si="244"/>
        <v>0</v>
      </c>
      <c r="AX462" s="790">
        <f t="shared" si="245"/>
        <v>0</v>
      </c>
      <c r="AY462" s="1174">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39"/>
      <c r="B463" s="1247"/>
      <c r="C463" s="1247"/>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0">
        <f t="shared" si="243"/>
        <v>0</v>
      </c>
      <c r="AW463" s="790">
        <f t="shared" si="244"/>
        <v>0</v>
      </c>
      <c r="AX463" s="790">
        <f t="shared" si="245"/>
        <v>0</v>
      </c>
      <c r="AY463" s="1174">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39"/>
      <c r="B464" s="1247"/>
      <c r="C464" s="1247"/>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0">
        <f t="shared" si="243"/>
        <v>0</v>
      </c>
      <c r="AW464" s="790">
        <f t="shared" si="244"/>
        <v>0</v>
      </c>
      <c r="AX464" s="790">
        <f t="shared" si="245"/>
        <v>0</v>
      </c>
      <c r="AY464" s="1174">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39"/>
      <c r="B465" s="1247"/>
      <c r="C465" s="1247"/>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0">
        <f t="shared" si="243"/>
        <v>0</v>
      </c>
      <c r="AW465" s="790">
        <f t="shared" si="244"/>
        <v>0</v>
      </c>
      <c r="AX465" s="790">
        <f t="shared" si="245"/>
        <v>0</v>
      </c>
      <c r="AY465" s="1174">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39"/>
      <c r="B466" s="1247"/>
      <c r="C466" s="1247"/>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0">
        <f t="shared" si="243"/>
        <v>0</v>
      </c>
      <c r="AW466" s="790">
        <f t="shared" si="244"/>
        <v>0</v>
      </c>
      <c r="AX466" s="790">
        <f t="shared" si="245"/>
        <v>0</v>
      </c>
      <c r="AY466" s="1174">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39"/>
      <c r="B467" s="1247"/>
      <c r="C467" s="1247"/>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0">
        <f t="shared" si="243"/>
        <v>0</v>
      </c>
      <c r="AW467" s="790">
        <f t="shared" si="244"/>
        <v>0</v>
      </c>
      <c r="AX467" s="790">
        <f t="shared" si="245"/>
        <v>0</v>
      </c>
      <c r="AY467" s="1174">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39"/>
      <c r="B468" s="1247"/>
      <c r="C468" s="1247"/>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0">
        <f t="shared" si="243"/>
        <v>0</v>
      </c>
      <c r="AW468" s="790">
        <f t="shared" si="244"/>
        <v>0</v>
      </c>
      <c r="AX468" s="790">
        <f t="shared" si="245"/>
        <v>0</v>
      </c>
      <c r="AY468" s="1174">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39"/>
      <c r="B469" s="1247"/>
      <c r="C469" s="1247"/>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0">
        <f t="shared" si="243"/>
        <v>0</v>
      </c>
      <c r="AW469" s="790">
        <f t="shared" si="244"/>
        <v>0</v>
      </c>
      <c r="AX469" s="790">
        <f t="shared" si="245"/>
        <v>0</v>
      </c>
      <c r="AY469" s="1174">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39"/>
      <c r="B470" s="1247"/>
      <c r="C470" s="1247"/>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0">
        <f t="shared" si="243"/>
        <v>0</v>
      </c>
      <c r="AW470" s="790">
        <f t="shared" si="244"/>
        <v>0</v>
      </c>
      <c r="AX470" s="790">
        <f t="shared" si="245"/>
        <v>0</v>
      </c>
      <c r="AY470" s="1174">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39"/>
      <c r="B471" s="1247"/>
      <c r="C471" s="1247"/>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0">
        <f t="shared" si="243"/>
        <v>0</v>
      </c>
      <c r="AW471" s="790">
        <f t="shared" si="244"/>
        <v>0</v>
      </c>
      <c r="AX471" s="790">
        <f t="shared" si="245"/>
        <v>0</v>
      </c>
      <c r="AY471" s="1174">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39"/>
      <c r="B472" s="1247"/>
      <c r="C472" s="1247"/>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0">
        <f t="shared" si="243"/>
        <v>0</v>
      </c>
      <c r="AW472" s="790">
        <f t="shared" si="244"/>
        <v>0</v>
      </c>
      <c r="AX472" s="790">
        <f t="shared" si="245"/>
        <v>0</v>
      </c>
      <c r="AY472" s="1174">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39"/>
      <c r="B473" s="1247"/>
      <c r="C473" s="1247"/>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0">
        <f t="shared" si="243"/>
        <v>0</v>
      </c>
      <c r="AW473" s="790">
        <f t="shared" si="244"/>
        <v>0</v>
      </c>
      <c r="AX473" s="790">
        <f t="shared" si="245"/>
        <v>0</v>
      </c>
      <c r="AY473" s="1174">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39"/>
      <c r="B474" s="1247"/>
      <c r="C474" s="1247"/>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0">
        <f t="shared" si="243"/>
        <v>0</v>
      </c>
      <c r="AW474" s="790">
        <f t="shared" si="244"/>
        <v>0</v>
      </c>
      <c r="AX474" s="790">
        <f t="shared" si="245"/>
        <v>0</v>
      </c>
      <c r="AY474" s="1174">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39"/>
      <c r="B475" s="1247"/>
      <c r="C475" s="1247"/>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0">
        <f t="shared" si="243"/>
        <v>0</v>
      </c>
      <c r="AW475" s="790">
        <f t="shared" si="244"/>
        <v>0</v>
      </c>
      <c r="AX475" s="790">
        <f t="shared" si="245"/>
        <v>0</v>
      </c>
      <c r="AY475" s="1174">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39"/>
      <c r="B476" s="1247"/>
      <c r="C476" s="1247"/>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0">
        <f t="shared" si="243"/>
        <v>0</v>
      </c>
      <c r="AW476" s="790">
        <f t="shared" si="244"/>
        <v>0</v>
      </c>
      <c r="AX476" s="790">
        <f t="shared" si="245"/>
        <v>0</v>
      </c>
      <c r="AY476" s="1174">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39"/>
      <c r="B477" s="1247"/>
      <c r="C477" s="1247"/>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0">
        <f t="shared" si="243"/>
        <v>0</v>
      </c>
      <c r="AW477" s="790">
        <f t="shared" si="244"/>
        <v>0</v>
      </c>
      <c r="AX477" s="790">
        <f t="shared" si="245"/>
        <v>0</v>
      </c>
      <c r="AY477" s="1174">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39"/>
      <c r="B478" s="1247"/>
      <c r="C478" s="1247"/>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0">
        <f t="shared" si="243"/>
        <v>0</v>
      </c>
      <c r="AW478" s="790">
        <f t="shared" si="244"/>
        <v>0</v>
      </c>
      <c r="AX478" s="790">
        <f t="shared" si="245"/>
        <v>0</v>
      </c>
      <c r="AY478" s="1174">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39"/>
      <c r="B479" s="1247"/>
      <c r="C479" s="1247"/>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0">
        <f t="shared" si="243"/>
        <v>0</v>
      </c>
      <c r="AW479" s="790">
        <f t="shared" si="244"/>
        <v>0</v>
      </c>
      <c r="AX479" s="790">
        <f t="shared" si="245"/>
        <v>0</v>
      </c>
      <c r="AY479" s="1174">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39"/>
      <c r="B480" s="1247"/>
      <c r="C480" s="1247"/>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0">
        <f t="shared" si="243"/>
        <v>0</v>
      </c>
      <c r="AW480" s="790">
        <f t="shared" si="244"/>
        <v>0</v>
      </c>
      <c r="AX480" s="790">
        <f t="shared" si="245"/>
        <v>0</v>
      </c>
      <c r="AY480" s="1174">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39"/>
      <c r="B481" s="1247"/>
      <c r="C481" s="1247"/>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0">
        <f t="shared" si="243"/>
        <v>0</v>
      </c>
      <c r="AW481" s="790">
        <f t="shared" si="244"/>
        <v>0</v>
      </c>
      <c r="AX481" s="790">
        <f t="shared" si="245"/>
        <v>0</v>
      </c>
      <c r="AY481" s="1174">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39"/>
      <c r="B482" s="1247"/>
      <c r="C482" s="1247"/>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0">
        <f t="shared" si="243"/>
        <v>0</v>
      </c>
      <c r="AW482" s="790">
        <f t="shared" si="244"/>
        <v>0</v>
      </c>
      <c r="AX482" s="790">
        <f t="shared" si="245"/>
        <v>0</v>
      </c>
      <c r="AY482" s="1174">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39"/>
      <c r="B483" s="1247"/>
      <c r="C483" s="1247"/>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0">
        <f t="shared" si="243"/>
        <v>0</v>
      </c>
      <c r="AW483" s="790">
        <f t="shared" si="244"/>
        <v>0</v>
      </c>
      <c r="AX483" s="790">
        <f t="shared" si="245"/>
        <v>0</v>
      </c>
      <c r="AY483" s="1174">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39"/>
      <c r="B484" s="1247"/>
      <c r="C484" s="1247"/>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0">
        <f t="shared" si="243"/>
        <v>0</v>
      </c>
      <c r="AW484" s="790">
        <f t="shared" si="244"/>
        <v>0</v>
      </c>
      <c r="AX484" s="790">
        <f t="shared" si="245"/>
        <v>0</v>
      </c>
      <c r="AY484" s="1174">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39"/>
      <c r="B485" s="1247"/>
      <c r="C485" s="1247"/>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0">
        <f t="shared" si="243"/>
        <v>0</v>
      </c>
      <c r="AW485" s="790">
        <f t="shared" si="244"/>
        <v>0</v>
      </c>
      <c r="AX485" s="790">
        <f t="shared" si="245"/>
        <v>0</v>
      </c>
      <c r="AY485" s="1174">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39"/>
      <c r="B486" s="1247"/>
      <c r="C486" s="1247"/>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0">
        <f t="shared" si="243"/>
        <v>0</v>
      </c>
      <c r="AW486" s="790">
        <f t="shared" si="244"/>
        <v>0</v>
      </c>
      <c r="AX486" s="790">
        <f t="shared" si="245"/>
        <v>0</v>
      </c>
      <c r="AY486" s="1174">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39"/>
      <c r="B487" s="1247"/>
      <c r="C487" s="1247"/>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0">
        <f t="shared" si="243"/>
        <v>0</v>
      </c>
      <c r="AW487" s="790">
        <f t="shared" si="244"/>
        <v>0</v>
      </c>
      <c r="AX487" s="790">
        <f t="shared" si="245"/>
        <v>0</v>
      </c>
      <c r="AY487" s="1174">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39"/>
      <c r="B488" s="1247"/>
      <c r="C488" s="1247"/>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0">
        <f t="shared" si="243"/>
        <v>0</v>
      </c>
      <c r="AW488" s="790">
        <f t="shared" si="244"/>
        <v>0</v>
      </c>
      <c r="AX488" s="790">
        <f t="shared" si="245"/>
        <v>0</v>
      </c>
      <c r="AY488" s="1174">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39"/>
      <c r="B489" s="1247"/>
      <c r="C489" s="1247"/>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0">
        <f t="shared" si="243"/>
        <v>0</v>
      </c>
      <c r="AW489" s="790">
        <f t="shared" si="244"/>
        <v>0</v>
      </c>
      <c r="AX489" s="790">
        <f t="shared" si="245"/>
        <v>0</v>
      </c>
      <c r="AY489" s="1174">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39"/>
      <c r="B490" s="1239"/>
      <c r="C490" s="1239"/>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2"/>
      <c r="AV490" s="790">
        <f t="shared" si="243"/>
        <v>0</v>
      </c>
      <c r="AW490" s="790">
        <f t="shared" si="244"/>
        <v>0</v>
      </c>
      <c r="AX490" s="790">
        <f t="shared" si="245"/>
        <v>0</v>
      </c>
      <c r="AY490" s="1174">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39"/>
      <c r="B491" s="1239"/>
      <c r="C491" s="1239"/>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2"/>
      <c r="AV491" s="790">
        <f t="shared" si="243"/>
        <v>0</v>
      </c>
      <c r="AW491" s="790">
        <f t="shared" si="244"/>
        <v>0</v>
      </c>
      <c r="AX491" s="790">
        <f t="shared" si="245"/>
        <v>0</v>
      </c>
      <c r="AY491" s="1174">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39"/>
      <c r="B492" s="1239"/>
      <c r="C492" s="1239"/>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2"/>
      <c r="AV492" s="790">
        <f t="shared" si="243"/>
        <v>0</v>
      </c>
      <c r="AW492" s="790">
        <f t="shared" si="244"/>
        <v>0</v>
      </c>
      <c r="AX492" s="790">
        <f t="shared" si="245"/>
        <v>0</v>
      </c>
      <c r="AY492" s="1174">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39"/>
      <c r="B493" s="1247"/>
      <c r="C493" s="1247"/>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0">
        <f t="shared" ref="AV493:AV520" si="294">A493</f>
        <v>0</v>
      </c>
      <c r="AW493" s="790">
        <f t="shared" ref="AW493:AW520" si="295">B493</f>
        <v>0</v>
      </c>
      <c r="AX493" s="790">
        <f t="shared" ref="AX493:AX520" si="296">C493</f>
        <v>0</v>
      </c>
      <c r="AY493" s="1174">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39"/>
      <c r="B494" s="1247"/>
      <c r="C494" s="1247"/>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0">
        <f t="shared" si="294"/>
        <v>0</v>
      </c>
      <c r="AW494" s="790">
        <f t="shared" si="295"/>
        <v>0</v>
      </c>
      <c r="AX494" s="790">
        <f t="shared" si="296"/>
        <v>0</v>
      </c>
      <c r="AY494" s="1174">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39"/>
      <c r="B495" s="1247"/>
      <c r="C495" s="1247"/>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0">
        <f t="shared" si="294"/>
        <v>0</v>
      </c>
      <c r="AW495" s="790">
        <f t="shared" si="295"/>
        <v>0</v>
      </c>
      <c r="AX495" s="790">
        <f t="shared" si="296"/>
        <v>0</v>
      </c>
      <c r="AY495" s="1174">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39"/>
      <c r="B496" s="1247"/>
      <c r="C496" s="1247"/>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0">
        <f t="shared" si="294"/>
        <v>0</v>
      </c>
      <c r="AW496" s="790">
        <f t="shared" si="295"/>
        <v>0</v>
      </c>
      <c r="AX496" s="790">
        <f t="shared" si="296"/>
        <v>0</v>
      </c>
      <c r="AY496" s="1174">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39"/>
      <c r="B497" s="1247"/>
      <c r="C497" s="1247"/>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0">
        <f t="shared" si="294"/>
        <v>0</v>
      </c>
      <c r="AW497" s="790">
        <f t="shared" si="295"/>
        <v>0</v>
      </c>
      <c r="AX497" s="790">
        <f t="shared" si="296"/>
        <v>0</v>
      </c>
      <c r="AY497" s="1174">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39"/>
      <c r="B498" s="1247"/>
      <c r="C498" s="1247"/>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0">
        <f t="shared" si="294"/>
        <v>0</v>
      </c>
      <c r="AW498" s="790">
        <f t="shared" si="295"/>
        <v>0</v>
      </c>
      <c r="AX498" s="790">
        <f t="shared" si="296"/>
        <v>0</v>
      </c>
      <c r="AY498" s="1174">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39"/>
      <c r="B499" s="1247"/>
      <c r="C499" s="1247"/>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0">
        <f t="shared" si="294"/>
        <v>0</v>
      </c>
      <c r="AW499" s="790">
        <f t="shared" si="295"/>
        <v>0</v>
      </c>
      <c r="AX499" s="790">
        <f t="shared" si="296"/>
        <v>0</v>
      </c>
      <c r="AY499" s="1174">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39"/>
      <c r="B500" s="1247"/>
      <c r="C500" s="1247"/>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0">
        <f t="shared" si="294"/>
        <v>0</v>
      </c>
      <c r="AW500" s="790">
        <f t="shared" si="295"/>
        <v>0</v>
      </c>
      <c r="AX500" s="790">
        <f t="shared" si="296"/>
        <v>0</v>
      </c>
      <c r="AY500" s="1174">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39"/>
      <c r="B501" s="1247"/>
      <c r="C501" s="1247"/>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0">
        <f t="shared" si="294"/>
        <v>0</v>
      </c>
      <c r="AW501" s="790">
        <f t="shared" si="295"/>
        <v>0</v>
      </c>
      <c r="AX501" s="790">
        <f t="shared" si="296"/>
        <v>0</v>
      </c>
      <c r="AY501" s="1174">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39"/>
      <c r="B502" s="1247"/>
      <c r="C502" s="1247"/>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0">
        <f t="shared" si="294"/>
        <v>0</v>
      </c>
      <c r="AW502" s="790">
        <f t="shared" si="295"/>
        <v>0</v>
      </c>
      <c r="AX502" s="790">
        <f t="shared" si="296"/>
        <v>0</v>
      </c>
      <c r="AY502" s="1174">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39"/>
      <c r="B503" s="1247"/>
      <c r="C503" s="1247"/>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0">
        <f t="shared" si="294"/>
        <v>0</v>
      </c>
      <c r="AW503" s="790">
        <f t="shared" si="295"/>
        <v>0</v>
      </c>
      <c r="AX503" s="790">
        <f t="shared" si="296"/>
        <v>0</v>
      </c>
      <c r="AY503" s="1174">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39"/>
      <c r="B504" s="1247"/>
      <c r="C504" s="1247"/>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0">
        <f t="shared" si="294"/>
        <v>0</v>
      </c>
      <c r="AW504" s="790">
        <f t="shared" si="295"/>
        <v>0</v>
      </c>
      <c r="AX504" s="790">
        <f t="shared" si="296"/>
        <v>0</v>
      </c>
      <c r="AY504" s="1174">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39"/>
      <c r="B505" s="1247"/>
      <c r="C505" s="1247"/>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0">
        <f t="shared" si="294"/>
        <v>0</v>
      </c>
      <c r="AW505" s="790">
        <f t="shared" si="295"/>
        <v>0</v>
      </c>
      <c r="AX505" s="790">
        <f t="shared" si="296"/>
        <v>0</v>
      </c>
      <c r="AY505" s="1174">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39"/>
      <c r="B506" s="1247"/>
      <c r="C506" s="1247"/>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0">
        <f t="shared" si="294"/>
        <v>0</v>
      </c>
      <c r="AW506" s="790">
        <f t="shared" si="295"/>
        <v>0</v>
      </c>
      <c r="AX506" s="790">
        <f t="shared" si="296"/>
        <v>0</v>
      </c>
      <c r="AY506" s="1174">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39"/>
      <c r="B507" s="1247"/>
      <c r="C507" s="1247"/>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0">
        <f t="shared" si="294"/>
        <v>0</v>
      </c>
      <c r="AW507" s="790">
        <f t="shared" si="295"/>
        <v>0</v>
      </c>
      <c r="AX507" s="790">
        <f t="shared" si="296"/>
        <v>0</v>
      </c>
      <c r="AY507" s="1174">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39"/>
      <c r="B508" s="1247"/>
      <c r="C508" s="1247"/>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0">
        <f t="shared" si="294"/>
        <v>0</v>
      </c>
      <c r="AW508" s="790">
        <f t="shared" si="295"/>
        <v>0</v>
      </c>
      <c r="AX508" s="790">
        <f t="shared" si="296"/>
        <v>0</v>
      </c>
      <c r="AY508" s="1174">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39"/>
      <c r="B509" s="1247"/>
      <c r="C509" s="1247"/>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0">
        <f t="shared" si="294"/>
        <v>0</v>
      </c>
      <c r="AW509" s="790">
        <f t="shared" si="295"/>
        <v>0</v>
      </c>
      <c r="AX509" s="790">
        <f t="shared" si="296"/>
        <v>0</v>
      </c>
      <c r="AY509" s="1174">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39"/>
      <c r="B510" s="1247"/>
      <c r="C510" s="1247"/>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0">
        <f t="shared" si="294"/>
        <v>0</v>
      </c>
      <c r="AW510" s="790">
        <f t="shared" si="295"/>
        <v>0</v>
      </c>
      <c r="AX510" s="790">
        <f t="shared" si="296"/>
        <v>0</v>
      </c>
      <c r="AY510" s="1174">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39"/>
      <c r="B511" s="1247"/>
      <c r="C511" s="1247"/>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0">
        <f t="shared" si="294"/>
        <v>0</v>
      </c>
      <c r="AW511" s="790">
        <f t="shared" si="295"/>
        <v>0</v>
      </c>
      <c r="AX511" s="790">
        <f t="shared" si="296"/>
        <v>0</v>
      </c>
      <c r="AY511" s="1174">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39"/>
      <c r="B512" s="1247"/>
      <c r="C512" s="1247"/>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0">
        <f t="shared" si="294"/>
        <v>0</v>
      </c>
      <c r="AW512" s="790">
        <f t="shared" si="295"/>
        <v>0</v>
      </c>
      <c r="AX512" s="790">
        <f t="shared" si="296"/>
        <v>0</v>
      </c>
      <c r="AY512" s="1174">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39"/>
      <c r="B513" s="1247"/>
      <c r="C513" s="1247"/>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0">
        <f t="shared" si="294"/>
        <v>0</v>
      </c>
      <c r="AW513" s="790">
        <f t="shared" si="295"/>
        <v>0</v>
      </c>
      <c r="AX513" s="790">
        <f t="shared" si="296"/>
        <v>0</v>
      </c>
      <c r="AY513" s="1174">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39"/>
      <c r="B514" s="1247"/>
      <c r="C514" s="1247"/>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0">
        <f t="shared" si="294"/>
        <v>0</v>
      </c>
      <c r="AW514" s="790">
        <f t="shared" si="295"/>
        <v>0</v>
      </c>
      <c r="AX514" s="790">
        <f t="shared" si="296"/>
        <v>0</v>
      </c>
      <c r="AY514" s="1174">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39"/>
      <c r="B515" s="1247"/>
      <c r="C515" s="1247"/>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0">
        <f t="shared" si="294"/>
        <v>0</v>
      </c>
      <c r="AW515" s="790">
        <f t="shared" si="295"/>
        <v>0</v>
      </c>
      <c r="AX515" s="790">
        <f t="shared" si="296"/>
        <v>0</v>
      </c>
      <c r="AY515" s="1174">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39"/>
      <c r="B516" s="1247"/>
      <c r="C516" s="1247"/>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0">
        <f t="shared" si="294"/>
        <v>0</v>
      </c>
      <c r="AW516" s="790">
        <f t="shared" si="295"/>
        <v>0</v>
      </c>
      <c r="AX516" s="790">
        <f t="shared" si="296"/>
        <v>0</v>
      </c>
      <c r="AY516" s="1174">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39"/>
      <c r="B517" s="1247"/>
      <c r="C517" s="1247"/>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0">
        <f t="shared" si="294"/>
        <v>0</v>
      </c>
      <c r="AW517" s="790">
        <f t="shared" si="295"/>
        <v>0</v>
      </c>
      <c r="AX517" s="790">
        <f t="shared" si="296"/>
        <v>0</v>
      </c>
      <c r="AY517" s="1174">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39"/>
      <c r="B518" s="1247"/>
      <c r="C518" s="1247"/>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0">
        <f t="shared" si="294"/>
        <v>0</v>
      </c>
      <c r="AW518" s="790">
        <f t="shared" si="295"/>
        <v>0</v>
      </c>
      <c r="AX518" s="790">
        <f t="shared" si="296"/>
        <v>0</v>
      </c>
      <c r="AY518" s="1174">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39"/>
      <c r="B519" s="1247"/>
      <c r="C519" s="1247"/>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0">
        <f t="shared" si="294"/>
        <v>0</v>
      </c>
      <c r="AW519" s="790">
        <f t="shared" si="295"/>
        <v>0</v>
      </c>
      <c r="AX519" s="790">
        <f t="shared" si="296"/>
        <v>0</v>
      </c>
      <c r="AY519" s="1174">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39"/>
      <c r="B520" s="1247"/>
      <c r="C520" s="1247"/>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0">
        <f t="shared" si="294"/>
        <v>0</v>
      </c>
      <c r="AW520" s="790">
        <f t="shared" si="295"/>
        <v>0</v>
      </c>
      <c r="AX520" s="790">
        <f t="shared" si="296"/>
        <v>0</v>
      </c>
      <c r="AY520" s="1174">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39"/>
      <c r="B521" s="1247"/>
      <c r="C521" s="1247"/>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0">
        <f t="shared" ref="AV521:AV552" si="298">A521</f>
        <v>0</v>
      </c>
      <c r="AW521" s="790">
        <f t="shared" ref="AW521:AW552" si="299">B521</f>
        <v>0</v>
      </c>
      <c r="AX521" s="790">
        <f t="shared" ref="AX521:AX552" si="300">C521</f>
        <v>0</v>
      </c>
      <c r="AY521" s="1174">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39"/>
      <c r="B522" s="1247"/>
      <c r="C522" s="1247"/>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0">
        <f t="shared" si="298"/>
        <v>0</v>
      </c>
      <c r="AW522" s="790">
        <f t="shared" si="299"/>
        <v>0</v>
      </c>
      <c r="AX522" s="790">
        <f t="shared" si="300"/>
        <v>0</v>
      </c>
      <c r="AY522" s="1174">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39"/>
      <c r="B523" s="1247"/>
      <c r="C523" s="1247"/>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0">
        <f t="shared" si="298"/>
        <v>0</v>
      </c>
      <c r="AW523" s="790">
        <f t="shared" si="299"/>
        <v>0</v>
      </c>
      <c r="AX523" s="790">
        <f t="shared" si="300"/>
        <v>0</v>
      </c>
      <c r="AY523" s="1174">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39"/>
      <c r="B524" s="1247"/>
      <c r="C524" s="1247"/>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0">
        <f t="shared" si="298"/>
        <v>0</v>
      </c>
      <c r="AW524" s="790">
        <f t="shared" si="299"/>
        <v>0</v>
      </c>
      <c r="AX524" s="790">
        <f t="shared" si="300"/>
        <v>0</v>
      </c>
      <c r="AY524" s="1174">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39"/>
      <c r="B525" s="1247"/>
      <c r="C525" s="1247"/>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0">
        <f t="shared" si="298"/>
        <v>0</v>
      </c>
      <c r="AW525" s="790">
        <f t="shared" si="299"/>
        <v>0</v>
      </c>
      <c r="AX525" s="790">
        <f t="shared" si="300"/>
        <v>0</v>
      </c>
      <c r="AY525" s="1174">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39"/>
      <c r="B526" s="1247"/>
      <c r="C526" s="1247"/>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0">
        <f t="shared" si="298"/>
        <v>0</v>
      </c>
      <c r="AW526" s="790">
        <f t="shared" si="299"/>
        <v>0</v>
      </c>
      <c r="AX526" s="790">
        <f t="shared" si="300"/>
        <v>0</v>
      </c>
      <c r="AY526" s="1174">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39"/>
      <c r="B527" s="1247"/>
      <c r="C527" s="1247"/>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0">
        <f t="shared" si="298"/>
        <v>0</v>
      </c>
      <c r="AW527" s="790">
        <f t="shared" si="299"/>
        <v>0</v>
      </c>
      <c r="AX527" s="790">
        <f t="shared" si="300"/>
        <v>0</v>
      </c>
      <c r="AY527" s="1174">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39"/>
      <c r="B528" s="1247"/>
      <c r="C528" s="1247"/>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0">
        <f t="shared" si="298"/>
        <v>0</v>
      </c>
      <c r="AW528" s="790">
        <f t="shared" si="299"/>
        <v>0</v>
      </c>
      <c r="AX528" s="790">
        <f t="shared" si="300"/>
        <v>0</v>
      </c>
      <c r="AY528" s="1174">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39"/>
      <c r="B529" s="1247"/>
      <c r="C529" s="1247"/>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0">
        <f t="shared" si="298"/>
        <v>0</v>
      </c>
      <c r="AW529" s="790">
        <f t="shared" si="299"/>
        <v>0</v>
      </c>
      <c r="AX529" s="790">
        <f t="shared" si="300"/>
        <v>0</v>
      </c>
      <c r="AY529" s="1174">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39"/>
      <c r="B530" s="1247"/>
      <c r="C530" s="1247"/>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0">
        <f t="shared" si="298"/>
        <v>0</v>
      </c>
      <c r="AW530" s="790">
        <f t="shared" si="299"/>
        <v>0</v>
      </c>
      <c r="AX530" s="790">
        <f t="shared" si="300"/>
        <v>0</v>
      </c>
      <c r="AY530" s="1174">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39"/>
      <c r="B531" s="1247"/>
      <c r="C531" s="1247"/>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0">
        <f t="shared" si="298"/>
        <v>0</v>
      </c>
      <c r="AW531" s="790">
        <f t="shared" si="299"/>
        <v>0</v>
      </c>
      <c r="AX531" s="790">
        <f t="shared" si="300"/>
        <v>0</v>
      </c>
      <c r="AY531" s="1174">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39"/>
      <c r="B532" s="1247"/>
      <c r="C532" s="1247"/>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0">
        <f t="shared" si="298"/>
        <v>0</v>
      </c>
      <c r="AW532" s="790">
        <f t="shared" si="299"/>
        <v>0</v>
      </c>
      <c r="AX532" s="790">
        <f t="shared" si="300"/>
        <v>0</v>
      </c>
      <c r="AY532" s="1174">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39"/>
      <c r="B533" s="1247"/>
      <c r="C533" s="1247"/>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0">
        <f t="shared" si="298"/>
        <v>0</v>
      </c>
      <c r="AW533" s="790">
        <f t="shared" si="299"/>
        <v>0</v>
      </c>
      <c r="AX533" s="790">
        <f t="shared" si="300"/>
        <v>0</v>
      </c>
      <c r="AY533" s="1174">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39"/>
      <c r="B534" s="1247"/>
      <c r="C534" s="1247"/>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0">
        <f t="shared" si="298"/>
        <v>0</v>
      </c>
      <c r="AW534" s="790">
        <f t="shared" si="299"/>
        <v>0</v>
      </c>
      <c r="AX534" s="790">
        <f t="shared" si="300"/>
        <v>0</v>
      </c>
      <c r="AY534" s="1174">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39"/>
      <c r="B535" s="1247"/>
      <c r="C535" s="1247"/>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0">
        <f t="shared" si="298"/>
        <v>0</v>
      </c>
      <c r="AW535" s="790">
        <f t="shared" si="299"/>
        <v>0</v>
      </c>
      <c r="AX535" s="790">
        <f t="shared" si="300"/>
        <v>0</v>
      </c>
      <c r="AY535" s="1174">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39"/>
      <c r="B536" s="1247"/>
      <c r="C536" s="1247"/>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0">
        <f t="shared" si="298"/>
        <v>0</v>
      </c>
      <c r="AW536" s="790">
        <f t="shared" si="299"/>
        <v>0</v>
      </c>
      <c r="AX536" s="790">
        <f t="shared" si="300"/>
        <v>0</v>
      </c>
      <c r="AY536" s="1174">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39"/>
      <c r="B537" s="1247"/>
      <c r="C537" s="1247"/>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0">
        <f t="shared" si="298"/>
        <v>0</v>
      </c>
      <c r="AW537" s="790">
        <f t="shared" si="299"/>
        <v>0</v>
      </c>
      <c r="AX537" s="790">
        <f t="shared" si="300"/>
        <v>0</v>
      </c>
      <c r="AY537" s="1174">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39"/>
      <c r="B538" s="1247"/>
      <c r="C538" s="1247"/>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0">
        <f t="shared" si="298"/>
        <v>0</v>
      </c>
      <c r="AW538" s="790">
        <f t="shared" si="299"/>
        <v>0</v>
      </c>
      <c r="AX538" s="790">
        <f t="shared" si="300"/>
        <v>0</v>
      </c>
      <c r="AY538" s="1174">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39"/>
      <c r="B539" s="1247"/>
      <c r="C539" s="1247"/>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0">
        <f t="shared" si="298"/>
        <v>0</v>
      </c>
      <c r="AW539" s="790">
        <f t="shared" si="299"/>
        <v>0</v>
      </c>
      <c r="AX539" s="790">
        <f t="shared" si="300"/>
        <v>0</v>
      </c>
      <c r="AY539" s="1174">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39"/>
      <c r="B540" s="1247"/>
      <c r="C540" s="1247"/>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0">
        <f t="shared" si="298"/>
        <v>0</v>
      </c>
      <c r="AW540" s="790">
        <f t="shared" si="299"/>
        <v>0</v>
      </c>
      <c r="AX540" s="790">
        <f t="shared" si="300"/>
        <v>0</v>
      </c>
      <c r="AY540" s="1174">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39"/>
      <c r="B541" s="1247"/>
      <c r="C541" s="1247"/>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0">
        <f t="shared" si="298"/>
        <v>0</v>
      </c>
      <c r="AW541" s="790">
        <f t="shared" si="299"/>
        <v>0</v>
      </c>
      <c r="AX541" s="790">
        <f t="shared" si="300"/>
        <v>0</v>
      </c>
      <c r="AY541" s="1174">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39"/>
      <c r="B542" s="1247"/>
      <c r="C542" s="1247"/>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0">
        <f t="shared" si="298"/>
        <v>0</v>
      </c>
      <c r="AW542" s="790">
        <f t="shared" si="299"/>
        <v>0</v>
      </c>
      <c r="AX542" s="790">
        <f t="shared" si="300"/>
        <v>0</v>
      </c>
      <c r="AY542" s="1174">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39"/>
      <c r="B543" s="1247"/>
      <c r="C543" s="1247"/>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0">
        <f t="shared" si="298"/>
        <v>0</v>
      </c>
      <c r="AW543" s="790">
        <f t="shared" si="299"/>
        <v>0</v>
      </c>
      <c r="AX543" s="790">
        <f t="shared" si="300"/>
        <v>0</v>
      </c>
      <c r="AY543" s="1174">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39"/>
      <c r="B544" s="1247"/>
      <c r="C544" s="1247"/>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0">
        <f t="shared" si="298"/>
        <v>0</v>
      </c>
      <c r="AW544" s="790">
        <f t="shared" si="299"/>
        <v>0</v>
      </c>
      <c r="AX544" s="790">
        <f t="shared" si="300"/>
        <v>0</v>
      </c>
      <c r="AY544" s="1174">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39"/>
      <c r="B545" s="1247"/>
      <c r="C545" s="1247"/>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0">
        <f t="shared" si="298"/>
        <v>0</v>
      </c>
      <c r="AW545" s="790">
        <f t="shared" si="299"/>
        <v>0</v>
      </c>
      <c r="AX545" s="790">
        <f t="shared" si="300"/>
        <v>0</v>
      </c>
      <c r="AY545" s="1174">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39"/>
      <c r="B546" s="1247"/>
      <c r="C546" s="1247"/>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0">
        <f t="shared" si="298"/>
        <v>0</v>
      </c>
      <c r="AW546" s="790">
        <f t="shared" si="299"/>
        <v>0</v>
      </c>
      <c r="AX546" s="790">
        <f t="shared" si="300"/>
        <v>0</v>
      </c>
      <c r="AY546" s="1174">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39"/>
      <c r="B547" s="1247"/>
      <c r="C547" s="1247"/>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0">
        <f t="shared" si="298"/>
        <v>0</v>
      </c>
      <c r="AW547" s="790">
        <f t="shared" si="299"/>
        <v>0</v>
      </c>
      <c r="AX547" s="790">
        <f t="shared" si="300"/>
        <v>0</v>
      </c>
      <c r="AY547" s="1174">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39"/>
      <c r="B548" s="1247"/>
      <c r="C548" s="1247"/>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0">
        <f t="shared" si="298"/>
        <v>0</v>
      </c>
      <c r="AW548" s="790">
        <f t="shared" si="299"/>
        <v>0</v>
      </c>
      <c r="AX548" s="790">
        <f t="shared" si="300"/>
        <v>0</v>
      </c>
      <c r="AY548" s="1174">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39"/>
      <c r="B549" s="1247"/>
      <c r="C549" s="1247"/>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0">
        <f t="shared" si="298"/>
        <v>0</v>
      </c>
      <c r="AW549" s="790">
        <f t="shared" si="299"/>
        <v>0</v>
      </c>
      <c r="AX549" s="790">
        <f t="shared" si="300"/>
        <v>0</v>
      </c>
      <c r="AY549" s="1174">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39"/>
      <c r="B550" s="1247"/>
      <c r="C550" s="1247"/>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0">
        <f t="shared" si="298"/>
        <v>0</v>
      </c>
      <c r="AW550" s="790">
        <f t="shared" si="299"/>
        <v>0</v>
      </c>
      <c r="AX550" s="790">
        <f t="shared" si="300"/>
        <v>0</v>
      </c>
      <c r="AY550" s="1174">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39"/>
      <c r="B551" s="1247"/>
      <c r="C551" s="1247"/>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0">
        <f t="shared" si="298"/>
        <v>0</v>
      </c>
      <c r="AW551" s="790">
        <f t="shared" si="299"/>
        <v>0</v>
      </c>
      <c r="AX551" s="790">
        <f t="shared" si="300"/>
        <v>0</v>
      </c>
      <c r="AY551" s="1174">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39"/>
      <c r="B552" s="1247"/>
      <c r="C552" s="1247"/>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0">
        <f t="shared" si="298"/>
        <v>0</v>
      </c>
      <c r="AW552" s="790">
        <f t="shared" si="299"/>
        <v>0</v>
      </c>
      <c r="AX552" s="790">
        <f t="shared" si="300"/>
        <v>0</v>
      </c>
      <c r="AY552" s="1174">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39"/>
      <c r="B553" s="1247"/>
      <c r="C553" s="1247"/>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0">
        <f t="shared" ref="AV553:AV587" si="330">A553</f>
        <v>0</v>
      </c>
      <c r="AW553" s="790">
        <f t="shared" ref="AW553:AW587" si="331">B553</f>
        <v>0</v>
      </c>
      <c r="AX553" s="790">
        <f t="shared" ref="AX553:AX587" si="332">C553</f>
        <v>0</v>
      </c>
      <c r="AY553" s="1174">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39"/>
      <c r="B554" s="1247"/>
      <c r="C554" s="1247"/>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0">
        <f t="shared" si="330"/>
        <v>0</v>
      </c>
      <c r="AW554" s="790">
        <f t="shared" si="331"/>
        <v>0</v>
      </c>
      <c r="AX554" s="790">
        <f t="shared" si="332"/>
        <v>0</v>
      </c>
      <c r="AY554" s="1174">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39"/>
      <c r="B555" s="1247"/>
      <c r="C555" s="1247"/>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0">
        <f t="shared" si="330"/>
        <v>0</v>
      </c>
      <c r="AW555" s="790">
        <f t="shared" si="331"/>
        <v>0</v>
      </c>
      <c r="AX555" s="790">
        <f t="shared" si="332"/>
        <v>0</v>
      </c>
      <c r="AY555" s="1174">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39"/>
      <c r="B556" s="1247"/>
      <c r="C556" s="1247"/>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0">
        <f t="shared" si="330"/>
        <v>0</v>
      </c>
      <c r="AW556" s="790">
        <f t="shared" si="331"/>
        <v>0</v>
      </c>
      <c r="AX556" s="790">
        <f t="shared" si="332"/>
        <v>0</v>
      </c>
      <c r="AY556" s="1174">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39"/>
      <c r="B557" s="1247"/>
      <c r="C557" s="1247"/>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0">
        <f t="shared" si="330"/>
        <v>0</v>
      </c>
      <c r="AW557" s="790">
        <f t="shared" si="331"/>
        <v>0</v>
      </c>
      <c r="AX557" s="790">
        <f t="shared" si="332"/>
        <v>0</v>
      </c>
      <c r="AY557" s="1174">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39"/>
      <c r="B558" s="1247"/>
      <c r="C558" s="1247"/>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0">
        <f t="shared" si="330"/>
        <v>0</v>
      </c>
      <c r="AW558" s="790">
        <f t="shared" si="331"/>
        <v>0</v>
      </c>
      <c r="AX558" s="790">
        <f t="shared" si="332"/>
        <v>0</v>
      </c>
      <c r="AY558" s="1174">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39"/>
      <c r="B559" s="1247"/>
      <c r="C559" s="1247"/>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0">
        <f t="shared" si="330"/>
        <v>0</v>
      </c>
      <c r="AW559" s="790">
        <f t="shared" si="331"/>
        <v>0</v>
      </c>
      <c r="AX559" s="790">
        <f t="shared" si="332"/>
        <v>0</v>
      </c>
      <c r="AY559" s="1174">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39"/>
      <c r="B560" s="1247"/>
      <c r="C560" s="1247"/>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0">
        <f t="shared" si="330"/>
        <v>0</v>
      </c>
      <c r="AW560" s="790">
        <f t="shared" si="331"/>
        <v>0</v>
      </c>
      <c r="AX560" s="790">
        <f t="shared" si="332"/>
        <v>0</v>
      </c>
      <c r="AY560" s="1174">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39"/>
      <c r="B561" s="1247"/>
      <c r="C561" s="1247"/>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0">
        <f t="shared" si="330"/>
        <v>0</v>
      </c>
      <c r="AW561" s="790">
        <f t="shared" si="331"/>
        <v>0</v>
      </c>
      <c r="AX561" s="790">
        <f t="shared" si="332"/>
        <v>0</v>
      </c>
      <c r="AY561" s="1174">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39"/>
      <c r="B562" s="1247"/>
      <c r="C562" s="1247"/>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0">
        <f t="shared" si="330"/>
        <v>0</v>
      </c>
      <c r="AW562" s="790">
        <f t="shared" si="331"/>
        <v>0</v>
      </c>
      <c r="AX562" s="790">
        <f t="shared" si="332"/>
        <v>0</v>
      </c>
      <c r="AY562" s="1174">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39"/>
      <c r="B563" s="1247"/>
      <c r="C563" s="1247"/>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0">
        <f t="shared" si="330"/>
        <v>0</v>
      </c>
      <c r="AW563" s="790">
        <f t="shared" si="331"/>
        <v>0</v>
      </c>
      <c r="AX563" s="790">
        <f t="shared" si="332"/>
        <v>0</v>
      </c>
      <c r="AY563" s="1174">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39"/>
      <c r="B564" s="1247"/>
      <c r="C564" s="1247"/>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0">
        <f t="shared" si="330"/>
        <v>0</v>
      </c>
      <c r="AW564" s="790">
        <f t="shared" si="331"/>
        <v>0</v>
      </c>
      <c r="AX564" s="790">
        <f t="shared" si="332"/>
        <v>0</v>
      </c>
      <c r="AY564" s="1174">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39"/>
      <c r="B565" s="1247"/>
      <c r="C565" s="1247"/>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0">
        <f t="shared" si="330"/>
        <v>0</v>
      </c>
      <c r="AW565" s="790">
        <f t="shared" si="331"/>
        <v>0</v>
      </c>
      <c r="AX565" s="790">
        <f t="shared" si="332"/>
        <v>0</v>
      </c>
      <c r="AY565" s="1174">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39"/>
      <c r="B566" s="1247"/>
      <c r="C566" s="1247"/>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0">
        <f t="shared" si="330"/>
        <v>0</v>
      </c>
      <c r="AW566" s="790">
        <f t="shared" si="331"/>
        <v>0</v>
      </c>
      <c r="AX566" s="790">
        <f t="shared" si="332"/>
        <v>0</v>
      </c>
      <c r="AY566" s="1174">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39"/>
      <c r="B567" s="1247"/>
      <c r="C567" s="1247"/>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0">
        <f t="shared" si="330"/>
        <v>0</v>
      </c>
      <c r="AW567" s="790">
        <f t="shared" si="331"/>
        <v>0</v>
      </c>
      <c r="AX567" s="790">
        <f t="shared" si="332"/>
        <v>0</v>
      </c>
      <c r="AY567" s="1174">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39"/>
      <c r="B568" s="1247"/>
      <c r="C568" s="1247"/>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0">
        <f t="shared" si="330"/>
        <v>0</v>
      </c>
      <c r="AW568" s="790">
        <f t="shared" si="331"/>
        <v>0</v>
      </c>
      <c r="AX568" s="790">
        <f t="shared" si="332"/>
        <v>0</v>
      </c>
      <c r="AY568" s="1174">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39"/>
      <c r="B569" s="1247"/>
      <c r="C569" s="1247"/>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0">
        <f t="shared" si="330"/>
        <v>0</v>
      </c>
      <c r="AW569" s="790">
        <f t="shared" si="331"/>
        <v>0</v>
      </c>
      <c r="AX569" s="790">
        <f t="shared" si="332"/>
        <v>0</v>
      </c>
      <c r="AY569" s="1174">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39"/>
      <c r="B570" s="1247"/>
      <c r="C570" s="1247"/>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0">
        <f t="shared" si="330"/>
        <v>0</v>
      </c>
      <c r="AW570" s="790">
        <f t="shared" si="331"/>
        <v>0</v>
      </c>
      <c r="AX570" s="790">
        <f t="shared" si="332"/>
        <v>0</v>
      </c>
      <c r="AY570" s="1174">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39"/>
      <c r="B571" s="1247"/>
      <c r="C571" s="1247"/>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0">
        <f t="shared" si="330"/>
        <v>0</v>
      </c>
      <c r="AW571" s="790">
        <f t="shared" si="331"/>
        <v>0</v>
      </c>
      <c r="AX571" s="790">
        <f t="shared" si="332"/>
        <v>0</v>
      </c>
      <c r="AY571" s="1174">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39"/>
      <c r="B572" s="1247"/>
      <c r="C572" s="1247"/>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0">
        <f t="shared" si="330"/>
        <v>0</v>
      </c>
      <c r="AW572" s="790">
        <f t="shared" si="331"/>
        <v>0</v>
      </c>
      <c r="AX572" s="790">
        <f t="shared" si="332"/>
        <v>0</v>
      </c>
      <c r="AY572" s="1174">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39"/>
      <c r="B573" s="1247"/>
      <c r="C573" s="1247"/>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0">
        <f t="shared" si="330"/>
        <v>0</v>
      </c>
      <c r="AW573" s="790">
        <f t="shared" si="331"/>
        <v>0</v>
      </c>
      <c r="AX573" s="790">
        <f t="shared" si="332"/>
        <v>0</v>
      </c>
      <c r="AY573" s="1174">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39"/>
      <c r="B574" s="1247"/>
      <c r="C574" s="1247"/>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0">
        <f t="shared" si="330"/>
        <v>0</v>
      </c>
      <c r="AW574" s="790">
        <f t="shared" si="331"/>
        <v>0</v>
      </c>
      <c r="AX574" s="790">
        <f t="shared" si="332"/>
        <v>0</v>
      </c>
      <c r="AY574" s="1174">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39"/>
      <c r="B575" s="1247"/>
      <c r="C575" s="1247"/>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0">
        <f t="shared" si="330"/>
        <v>0</v>
      </c>
      <c r="AW575" s="790">
        <f t="shared" si="331"/>
        <v>0</v>
      </c>
      <c r="AX575" s="790">
        <f t="shared" si="332"/>
        <v>0</v>
      </c>
      <c r="AY575" s="1174">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39"/>
      <c r="B576" s="1247"/>
      <c r="C576" s="1247"/>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0">
        <f t="shared" si="330"/>
        <v>0</v>
      </c>
      <c r="AW576" s="790">
        <f t="shared" si="331"/>
        <v>0</v>
      </c>
      <c r="AX576" s="790">
        <f t="shared" si="332"/>
        <v>0</v>
      </c>
      <c r="AY576" s="1174">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39"/>
      <c r="B577" s="1247"/>
      <c r="C577" s="1247"/>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0">
        <f t="shared" si="330"/>
        <v>0</v>
      </c>
      <c r="AW577" s="790">
        <f t="shared" si="331"/>
        <v>0</v>
      </c>
      <c r="AX577" s="790">
        <f t="shared" si="332"/>
        <v>0</v>
      </c>
      <c r="AY577" s="1174">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39"/>
      <c r="B578" s="1247"/>
      <c r="C578" s="1247"/>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0">
        <f t="shared" si="330"/>
        <v>0</v>
      </c>
      <c r="AW578" s="790">
        <f t="shared" si="331"/>
        <v>0</v>
      </c>
      <c r="AX578" s="790">
        <f t="shared" si="332"/>
        <v>0</v>
      </c>
      <c r="AY578" s="1174">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39"/>
      <c r="B579" s="1247"/>
      <c r="C579" s="1247"/>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0">
        <f t="shared" si="330"/>
        <v>0</v>
      </c>
      <c r="AW579" s="790">
        <f t="shared" si="331"/>
        <v>0</v>
      </c>
      <c r="AX579" s="790">
        <f t="shared" si="332"/>
        <v>0</v>
      </c>
      <c r="AY579" s="1174">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39"/>
      <c r="B580" s="1247"/>
      <c r="C580" s="1247"/>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0">
        <f t="shared" si="330"/>
        <v>0</v>
      </c>
      <c r="AW580" s="790">
        <f t="shared" si="331"/>
        <v>0</v>
      </c>
      <c r="AX580" s="790">
        <f t="shared" si="332"/>
        <v>0</v>
      </c>
      <c r="AY580" s="1174">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39"/>
      <c r="B581" s="1247"/>
      <c r="C581" s="1247"/>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0">
        <f t="shared" si="330"/>
        <v>0</v>
      </c>
      <c r="AW581" s="790">
        <f t="shared" si="331"/>
        <v>0</v>
      </c>
      <c r="AX581" s="790">
        <f t="shared" si="332"/>
        <v>0</v>
      </c>
      <c r="AY581" s="1174">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39"/>
      <c r="B582" s="1247"/>
      <c r="C582" s="1247"/>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0">
        <f t="shared" si="330"/>
        <v>0</v>
      </c>
      <c r="AW582" s="790">
        <f t="shared" si="331"/>
        <v>0</v>
      </c>
      <c r="AX582" s="790">
        <f t="shared" si="332"/>
        <v>0</v>
      </c>
      <c r="AY582" s="1174">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39"/>
      <c r="B583" s="1247"/>
      <c r="C583" s="1247"/>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0">
        <f t="shared" si="330"/>
        <v>0</v>
      </c>
      <c r="AW583" s="790">
        <f t="shared" si="331"/>
        <v>0</v>
      </c>
      <c r="AX583" s="790">
        <f t="shared" si="332"/>
        <v>0</v>
      </c>
      <c r="AY583" s="1174">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39"/>
      <c r="B584" s="1247"/>
      <c r="C584" s="1247"/>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0">
        <f t="shared" si="330"/>
        <v>0</v>
      </c>
      <c r="AW584" s="790">
        <f t="shared" si="331"/>
        <v>0</v>
      </c>
      <c r="AX584" s="790">
        <f t="shared" si="332"/>
        <v>0</v>
      </c>
      <c r="AY584" s="1174">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39"/>
      <c r="B585" s="1239"/>
      <c r="C585" s="1239"/>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2"/>
      <c r="AV585" s="790">
        <f t="shared" si="330"/>
        <v>0</v>
      </c>
      <c r="AW585" s="790">
        <f t="shared" si="331"/>
        <v>0</v>
      </c>
      <c r="AX585" s="790">
        <f t="shared" si="332"/>
        <v>0</v>
      </c>
      <c r="AY585" s="1174">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39"/>
      <c r="B586" s="1239"/>
      <c r="C586" s="1239"/>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2"/>
      <c r="AV586" s="790">
        <f t="shared" si="330"/>
        <v>0</v>
      </c>
      <c r="AW586" s="790">
        <f t="shared" si="331"/>
        <v>0</v>
      </c>
      <c r="AX586" s="790">
        <f t="shared" si="332"/>
        <v>0</v>
      </c>
      <c r="AY586" s="1174">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39"/>
      <c r="B587" s="1239"/>
      <c r="C587" s="1239"/>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2"/>
      <c r="AV587" s="790">
        <f t="shared" si="330"/>
        <v>0</v>
      </c>
      <c r="AW587" s="790">
        <f t="shared" si="331"/>
        <v>0</v>
      </c>
      <c r="AX587" s="790">
        <f t="shared" si="332"/>
        <v>0</v>
      </c>
      <c r="AY587" s="1174">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39" t="s">
        <v>569</v>
      </c>
      <c r="B2" s="3239"/>
      <c r="C2" s="3239"/>
      <c r="D2" s="2134" t="s">
        <v>570</v>
      </c>
      <c r="E2" s="2730" t="s">
        <v>571</v>
      </c>
      <c r="F2" s="2584"/>
      <c r="G2" s="2731"/>
      <c r="H2" s="2732"/>
      <c r="I2" s="2422" t="s">
        <v>572</v>
      </c>
      <c r="J2" s="2584"/>
      <c r="K2" s="2584"/>
      <c r="L2" s="2584"/>
      <c r="M2" s="2584"/>
      <c r="N2" s="1176"/>
      <c r="O2" s="2584"/>
      <c r="P2" s="2584"/>
    </row>
    <row r="3" spans="1:16" ht="15">
      <c r="A3" s="3240" t="s">
        <v>573</v>
      </c>
      <c r="B3" s="3240"/>
      <c r="C3" s="3240"/>
      <c r="D3" s="2733">
        <f>'数据-基础表'!AY6</f>
        <v>67351.83</v>
      </c>
      <c r="E3" s="2733">
        <f>'数据-基础表'!AZ5</f>
        <v>12749.85</v>
      </c>
      <c r="F3" s="2584"/>
      <c r="G3" s="2734"/>
      <c r="H3" s="2233" t="s">
        <v>574</v>
      </c>
      <c r="I3" s="1528">
        <f>ROUND('数据-基础表'!B3/'数据-基础表'!A3,2)</f>
        <v>0.19</v>
      </c>
      <c r="J3" s="2584"/>
      <c r="K3" s="2584"/>
      <c r="L3" s="2584"/>
      <c r="M3" s="2584"/>
      <c r="N3" s="1176"/>
      <c r="O3" s="2584"/>
      <c r="P3" s="2584"/>
    </row>
    <row r="4" spans="1:16" ht="15">
      <c r="A4" s="3241"/>
      <c r="B4" s="3242"/>
      <c r="C4" s="3243"/>
      <c r="D4" s="2735" t="s">
        <v>570</v>
      </c>
      <c r="E4" s="2736" t="s">
        <v>571</v>
      </c>
      <c r="F4" s="2584"/>
      <c r="G4" s="2737" t="s">
        <v>575</v>
      </c>
      <c r="H4" s="2233" t="s">
        <v>576</v>
      </c>
      <c r="I4" s="1528">
        <f>ROUND(SUMIF('数据-基础表'!I9:AS9,"地上",'数据-基础表'!I5:AS5)/'数据-基础表'!A3,2)</f>
        <v>0.19</v>
      </c>
      <c r="J4" s="2584"/>
      <c r="K4" s="2584"/>
      <c r="L4" s="2584"/>
      <c r="M4" s="2584"/>
      <c r="N4" s="1176"/>
      <c r="O4" s="2584"/>
      <c r="P4" s="2584"/>
    </row>
    <row r="5" spans="1:16">
      <c r="A5" s="2734" t="s">
        <v>577</v>
      </c>
      <c r="B5" s="3244" t="s">
        <v>578</v>
      </c>
      <c r="C5" s="3244"/>
      <c r="D5" s="2233">
        <f>ROUND($D$3*E5/$E$3,2)</f>
        <v>0</v>
      </c>
      <c r="E5" s="2738">
        <f>SUMIF('数据-基础表'!$11:$11,"住宅",'数据-基础表'!$5:$5)</f>
        <v>0</v>
      </c>
      <c r="F5" s="2584"/>
      <c r="G5" s="2734"/>
      <c r="H5" s="2233" t="s">
        <v>574</v>
      </c>
      <c r="I5" s="1528">
        <f>ROUND(E31/D31,2)</f>
        <v>0.19</v>
      </c>
      <c r="J5" s="2584"/>
      <c r="K5" s="2584"/>
      <c r="L5" s="2584"/>
      <c r="M5" s="2584"/>
      <c r="N5" s="2584"/>
      <c r="O5" s="2584"/>
      <c r="P5" s="2584"/>
    </row>
    <row r="6" spans="1:16">
      <c r="A6" s="2739"/>
      <c r="B6" s="3244" t="s">
        <v>579</v>
      </c>
      <c r="C6" s="3244"/>
      <c r="D6" s="2233">
        <f>ROUND($D$3*E6/$E$3,2)</f>
        <v>67351.83</v>
      </c>
      <c r="E6" s="2738">
        <f>E3-E5</f>
        <v>12749.85</v>
      </c>
      <c r="F6" s="2584"/>
      <c r="G6" s="2740" t="s">
        <v>580</v>
      </c>
      <c r="H6" s="2741" t="s">
        <v>576</v>
      </c>
      <c r="I6" s="2780">
        <f>ROUND(F31/D31,2)</f>
        <v>0.19</v>
      </c>
      <c r="J6" s="2584"/>
      <c r="K6" s="2584"/>
      <c r="L6" s="2584"/>
      <c r="M6" s="2584"/>
      <c r="N6" s="2584"/>
      <c r="O6" s="2584"/>
      <c r="P6" s="2584"/>
    </row>
    <row r="7" spans="1:16" ht="15">
      <c r="A7" s="3245"/>
      <c r="B7" s="3246"/>
      <c r="C7" s="3247"/>
      <c r="D7" s="2735" t="s">
        <v>570</v>
      </c>
      <c r="E7" s="2742" t="s">
        <v>581</v>
      </c>
      <c r="F7" s="2584"/>
      <c r="G7" s="2743" t="s">
        <v>582</v>
      </c>
      <c r="H7" s="2705"/>
      <c r="I7" s="2781">
        <v>1</v>
      </c>
      <c r="J7" s="2584"/>
      <c r="K7" s="2584"/>
      <c r="L7" s="2584"/>
      <c r="M7" s="2584"/>
      <c r="N7" s="2584"/>
      <c r="O7" s="2584"/>
      <c r="P7" s="2584"/>
    </row>
    <row r="8" spans="1:16">
      <c r="A8" s="2734" t="s">
        <v>583</v>
      </c>
      <c r="B8" s="2741" t="s">
        <v>584</v>
      </c>
      <c r="C8" s="2233" t="s">
        <v>585</v>
      </c>
      <c r="D8" s="2233">
        <f t="shared" ref="D8:D15" si="0">ROUND($D$3*E8/$E$3,2)</f>
        <v>67351.83</v>
      </c>
      <c r="E8" s="2744">
        <f>SUMIF('数据-基础表'!BB10:BK10,"地上",'数据-基础表'!BB5:BK5)</f>
        <v>12749.85</v>
      </c>
      <c r="F8" s="2584"/>
      <c r="G8" s="2584"/>
      <c r="H8" s="2584"/>
      <c r="I8" s="2584"/>
      <c r="J8" s="2584"/>
      <c r="K8" s="2584"/>
      <c r="L8" s="2584"/>
      <c r="M8" s="2584"/>
      <c r="N8" s="2584"/>
      <c r="O8" s="2584"/>
      <c r="P8" s="2584"/>
    </row>
    <row r="9" spans="1:16">
      <c r="A9" s="2740"/>
      <c r="B9" s="2745"/>
      <c r="C9" s="2233" t="s">
        <v>586</v>
      </c>
      <c r="D9" s="2233">
        <f t="shared" si="0"/>
        <v>0</v>
      </c>
      <c r="E9" s="2746">
        <v>0</v>
      </c>
      <c r="F9" s="2584"/>
      <c r="G9" s="2584"/>
      <c r="H9" s="2584"/>
      <c r="I9" s="2584"/>
      <c r="J9" s="2584"/>
      <c r="K9" s="2584"/>
      <c r="L9" s="2584"/>
      <c r="M9" s="2584"/>
      <c r="N9" s="2584"/>
      <c r="O9" s="2584"/>
      <c r="P9" s="2584"/>
    </row>
    <row r="10" spans="1:16">
      <c r="A10" s="2740"/>
      <c r="B10" s="2745"/>
      <c r="C10" s="2233" t="s">
        <v>587</v>
      </c>
      <c r="D10" s="2233">
        <f t="shared" si="0"/>
        <v>0</v>
      </c>
      <c r="E10" s="2744">
        <f>SUMPRODUCT(('数据-基础表'!BB10:BK10="地下")*('数据-基础表'!BB11:BK11="商业")*('数据-基础表'!BB5:BK5))</f>
        <v>0</v>
      </c>
      <c r="F10" s="2584"/>
      <c r="G10" s="2584"/>
      <c r="H10" s="2584"/>
      <c r="I10" s="2584"/>
      <c r="J10" s="2584"/>
      <c r="K10" s="2584"/>
      <c r="L10" s="2584"/>
      <c r="M10" s="2584"/>
      <c r="N10" s="2584"/>
      <c r="O10" s="2584"/>
      <c r="P10" s="2584"/>
    </row>
    <row r="11" spans="1:16">
      <c r="A11" s="2740"/>
      <c r="B11" s="2745"/>
      <c r="C11" s="2233" t="s">
        <v>588</v>
      </c>
      <c r="D11" s="2233">
        <f t="shared" si="0"/>
        <v>0</v>
      </c>
      <c r="E11" s="2744">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40"/>
      <c r="B12" s="2745"/>
      <c r="C12" s="2233" t="s">
        <v>589</v>
      </c>
      <c r="D12" s="2233">
        <f t="shared" si="0"/>
        <v>0</v>
      </c>
      <c r="E12" s="2744">
        <f>SUMPRODUCT(('数据-基础表'!BB10:BK10="地下")*('数据-基础表'!BB11:BK11="仓储")*('数据-基础表'!BB5:BK5))</f>
        <v>0</v>
      </c>
      <c r="F12" s="2584"/>
      <c r="G12" s="2584"/>
      <c r="H12" s="2584"/>
      <c r="I12" s="2584"/>
      <c r="J12" s="2584"/>
      <c r="K12" s="2584"/>
      <c r="L12" s="2584"/>
      <c r="M12" s="2584"/>
      <c r="N12" s="2584"/>
      <c r="O12" s="2584"/>
      <c r="P12" s="2584"/>
    </row>
    <row r="13" spans="1:16">
      <c r="A13" s="2740"/>
      <c r="B13" s="2745"/>
      <c r="C13" s="2233" t="s">
        <v>590</v>
      </c>
      <c r="D13" s="2233">
        <f t="shared" si="0"/>
        <v>0</v>
      </c>
      <c r="E13" s="2744">
        <f>SUMPRODUCT(('数据-基础表'!BB10:BK10="地下")*('数据-基础表'!BB11:BK11="车库")*('数据-基础表'!BB5:BK5))</f>
        <v>0</v>
      </c>
      <c r="F13" s="2584"/>
      <c r="G13" s="2584"/>
      <c r="H13" s="2584"/>
      <c r="I13" s="2584"/>
      <c r="J13" s="2584"/>
      <c r="K13" s="2584"/>
      <c r="L13" s="2584"/>
      <c r="M13" s="2584"/>
      <c r="N13" s="2584"/>
      <c r="O13" s="2584"/>
      <c r="P13" s="2584"/>
    </row>
    <row r="14" spans="1:16">
      <c r="A14" s="2740"/>
      <c r="B14" s="2745"/>
      <c r="C14" s="2233" t="s">
        <v>591</v>
      </c>
      <c r="D14" s="2233">
        <f t="shared" si="0"/>
        <v>0</v>
      </c>
      <c r="E14" s="2744">
        <f>SUMPRODUCT(('数据-基础表'!BB10:BK10="地下")*('数据-基础表'!BB11:BK11="车库—商业")*('数据-基础表'!BB5:BK5))</f>
        <v>0</v>
      </c>
      <c r="F14" s="2584"/>
      <c r="G14" s="2584"/>
      <c r="H14" s="2584"/>
      <c r="I14" s="2584"/>
      <c r="J14" s="2584"/>
      <c r="K14" s="2584"/>
      <c r="L14" s="2584"/>
      <c r="M14" s="2584"/>
      <c r="N14" s="2584"/>
      <c r="O14" s="2584"/>
      <c r="P14" s="2584"/>
    </row>
    <row r="15" spans="1:16">
      <c r="A15" s="2740"/>
      <c r="B15" s="2745"/>
      <c r="C15" s="2233" t="s">
        <v>592</v>
      </c>
      <c r="D15" s="2233">
        <f t="shared" si="0"/>
        <v>0</v>
      </c>
      <c r="E15" s="2744">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9"/>
      <c r="B16" s="2745"/>
      <c r="C16" s="2741" t="s">
        <v>593</v>
      </c>
      <c r="D16" s="2741">
        <f>SUM(D8:D15)</f>
        <v>67351.83</v>
      </c>
      <c r="E16" s="2747">
        <f>SUM(E8:E15)</f>
        <v>12749.85</v>
      </c>
      <c r="F16" s="2584"/>
      <c r="G16" s="2584"/>
      <c r="H16" s="2748" t="s">
        <v>594</v>
      </c>
      <c r="I16" s="2782"/>
      <c r="J16" s="2280"/>
      <c r="K16" s="3248" t="s">
        <v>594</v>
      </c>
      <c r="L16" s="3249"/>
      <c r="M16" s="3249"/>
      <c r="N16" s="3249"/>
      <c r="O16" s="3249"/>
      <c r="P16" s="3250"/>
    </row>
    <row r="17" spans="1:19" ht="15">
      <c r="A17" s="2696" t="s">
        <v>595</v>
      </c>
      <c r="B17" s="2749" t="s">
        <v>596</v>
      </c>
      <c r="C17" s="2254" t="s">
        <v>597</v>
      </c>
      <c r="D17" s="2750" t="s">
        <v>570</v>
      </c>
      <c r="E17" s="2751" t="s">
        <v>571</v>
      </c>
      <c r="F17" s="2752"/>
      <c r="G17" s="2753"/>
      <c r="H17" s="2754" t="s">
        <v>598</v>
      </c>
      <c r="I17" s="2783" t="s">
        <v>599</v>
      </c>
      <c r="J17" s="2280"/>
      <c r="K17" s="3251" t="s">
        <v>600</v>
      </c>
      <c r="L17" s="3252"/>
      <c r="M17" s="3253"/>
      <c r="N17" s="3251" t="s">
        <v>601</v>
      </c>
      <c r="O17" s="3252"/>
      <c r="P17" s="3253"/>
      <c r="R17" s="2169" t="s">
        <v>602</v>
      </c>
      <c r="S17" s="2223"/>
    </row>
    <row r="18" spans="1:19" ht="15">
      <c r="A18" s="2740"/>
      <c r="B18" s="2755"/>
      <c r="C18" s="2226"/>
      <c r="D18" s="2756"/>
      <c r="E18" s="2757" t="s">
        <v>603</v>
      </c>
      <c r="F18" s="2758" t="s">
        <v>576</v>
      </c>
      <c r="G18" s="2759" t="s">
        <v>604</v>
      </c>
      <c r="H18" s="2700" t="s">
        <v>605</v>
      </c>
      <c r="I18" s="2784" t="s">
        <v>606</v>
      </c>
      <c r="J18" s="2280"/>
      <c r="K18" s="2700" t="s">
        <v>607</v>
      </c>
      <c r="L18" s="2435" t="s">
        <v>608</v>
      </c>
      <c r="M18" s="1528" t="s">
        <v>609</v>
      </c>
      <c r="N18" s="2700" t="s">
        <v>607</v>
      </c>
      <c r="O18" s="2435" t="s">
        <v>608</v>
      </c>
      <c r="P18" s="1528" t="s">
        <v>609</v>
      </c>
      <c r="R18" s="2233" t="s">
        <v>605</v>
      </c>
      <c r="S18" s="2233" t="s">
        <v>606</v>
      </c>
    </row>
    <row r="19" spans="1:19">
      <c r="A19" s="2760"/>
      <c r="B19" s="2741" t="s">
        <v>610</v>
      </c>
      <c r="C19" s="2761" t="s">
        <v>611</v>
      </c>
      <c r="D19" s="2233">
        <f>ROUND($D$3*E19/$E$3,2)</f>
        <v>67351.83</v>
      </c>
      <c r="E19" s="2762">
        <f t="shared" ref="E19:E26" si="1">SUM(F19:G19)</f>
        <v>12749.85</v>
      </c>
      <c r="F19" s="2763">
        <f>'数据-基础表'!I13</f>
        <v>12749.85</v>
      </c>
      <c r="G19" s="2266"/>
      <c r="H19" s="2686">
        <f>ROUND($D$3*I19/$E$3,2)</f>
        <v>0</v>
      </c>
      <c r="I19" s="2744">
        <f t="shared" ref="I19:I26" si="2">IF($I$17="自定义",P19,M19)</f>
        <v>0</v>
      </c>
      <c r="J19" s="2280"/>
      <c r="K19" s="2686">
        <f t="shared" ref="K19:K26" si="3">ROUND(E$28*E19/E$27,2)</f>
        <v>0</v>
      </c>
      <c r="L19" s="2233">
        <f t="shared" ref="L19:L26" si="4">ROUND(IF(COUNTIF(C19,"*住宅*")&gt;0,E$29*E19/E$32,0),2)</f>
        <v>0</v>
      </c>
      <c r="M19" s="2744">
        <f>K19+L19</f>
        <v>0</v>
      </c>
      <c r="N19" s="2785"/>
      <c r="O19" s="2786"/>
      <c r="P19" s="2744">
        <f>N19+O19</f>
        <v>0</v>
      </c>
      <c r="R19" s="2233">
        <f t="shared" ref="R19:S26" si="5">D19+H19</f>
        <v>67351.83</v>
      </c>
      <c r="S19" s="2762">
        <f t="shared" si="5"/>
        <v>12749.85</v>
      </c>
    </row>
    <row r="20" spans="1:19">
      <c r="A20" s="2760"/>
      <c r="B20" s="2741" t="s">
        <v>610</v>
      </c>
      <c r="C20" s="2761"/>
      <c r="D20" s="2233">
        <f t="shared" ref="D20:D26" si="6">ROUND($D$3*E20/$E$3,2)</f>
        <v>0</v>
      </c>
      <c r="E20" s="2762">
        <f t="shared" si="1"/>
        <v>0</v>
      </c>
      <c r="F20" s="2763"/>
      <c r="G20" s="2266"/>
      <c r="H20" s="2686">
        <f t="shared" ref="H20:H26" si="7">ROUND($D$3*I20/$E$3,2)</f>
        <v>0</v>
      </c>
      <c r="I20" s="2744">
        <f t="shared" si="2"/>
        <v>0</v>
      </c>
      <c r="J20" s="2280"/>
      <c r="K20" s="2686">
        <f t="shared" si="3"/>
        <v>0</v>
      </c>
      <c r="L20" s="2233">
        <f t="shared" si="4"/>
        <v>0</v>
      </c>
      <c r="M20" s="2744">
        <f t="shared" ref="M20:M26" si="8">K20+L20</f>
        <v>0</v>
      </c>
      <c r="N20" s="2785"/>
      <c r="O20" s="2786"/>
      <c r="P20" s="2744">
        <f t="shared" ref="P20:P26" si="9">N20+O20</f>
        <v>0</v>
      </c>
      <c r="R20" s="2233">
        <f t="shared" si="5"/>
        <v>0</v>
      </c>
      <c r="S20" s="2762">
        <f t="shared" si="5"/>
        <v>0</v>
      </c>
    </row>
    <row r="21" spans="1:19">
      <c r="A21" s="2760"/>
      <c r="B21" s="2741" t="s">
        <v>610</v>
      </c>
      <c r="C21" s="2761"/>
      <c r="D21" s="2233">
        <f t="shared" si="6"/>
        <v>0</v>
      </c>
      <c r="E21" s="2762">
        <f t="shared" si="1"/>
        <v>0</v>
      </c>
      <c r="F21" s="2763"/>
      <c r="G21" s="2266"/>
      <c r="H21" s="2686">
        <f t="shared" si="7"/>
        <v>0</v>
      </c>
      <c r="I21" s="2744">
        <f t="shared" si="2"/>
        <v>0</v>
      </c>
      <c r="J21" s="2280"/>
      <c r="K21" s="2686">
        <f t="shared" si="3"/>
        <v>0</v>
      </c>
      <c r="L21" s="2233">
        <f t="shared" si="4"/>
        <v>0</v>
      </c>
      <c r="M21" s="2744">
        <f t="shared" si="8"/>
        <v>0</v>
      </c>
      <c r="N21" s="2785"/>
      <c r="O21" s="2786"/>
      <c r="P21" s="2744">
        <f t="shared" si="9"/>
        <v>0</v>
      </c>
      <c r="R21" s="2233">
        <f t="shared" si="5"/>
        <v>0</v>
      </c>
      <c r="S21" s="2762">
        <f t="shared" si="5"/>
        <v>0</v>
      </c>
    </row>
    <row r="22" spans="1:19">
      <c r="A22" s="2760"/>
      <c r="B22" s="2741" t="s">
        <v>610</v>
      </c>
      <c r="C22" s="2764"/>
      <c r="D22" s="2233">
        <f t="shared" si="6"/>
        <v>0</v>
      </c>
      <c r="E22" s="2762">
        <f t="shared" si="1"/>
        <v>0</v>
      </c>
      <c r="F22" s="2765"/>
      <c r="G22" s="2766"/>
      <c r="H22" s="2686">
        <f t="shared" si="7"/>
        <v>0</v>
      </c>
      <c r="I22" s="2744">
        <f t="shared" si="2"/>
        <v>0</v>
      </c>
      <c r="J22" s="2280"/>
      <c r="K22" s="2686">
        <f t="shared" si="3"/>
        <v>0</v>
      </c>
      <c r="L22" s="2233">
        <f t="shared" si="4"/>
        <v>0</v>
      </c>
      <c r="M22" s="2744">
        <f t="shared" si="8"/>
        <v>0</v>
      </c>
      <c r="N22" s="2785"/>
      <c r="O22" s="2786"/>
      <c r="P22" s="2744">
        <f t="shared" si="9"/>
        <v>0</v>
      </c>
      <c r="R22" s="2233">
        <f t="shared" si="5"/>
        <v>0</v>
      </c>
      <c r="S22" s="2762">
        <f t="shared" si="5"/>
        <v>0</v>
      </c>
    </row>
    <row r="23" spans="1:19">
      <c r="A23" s="2760"/>
      <c r="B23" s="2741" t="s">
        <v>610</v>
      </c>
      <c r="C23" s="2764"/>
      <c r="D23" s="2233">
        <f t="shared" si="6"/>
        <v>0</v>
      </c>
      <c r="E23" s="2762">
        <f t="shared" si="1"/>
        <v>0</v>
      </c>
      <c r="F23" s="2765"/>
      <c r="G23" s="2766"/>
      <c r="H23" s="2686">
        <f t="shared" si="7"/>
        <v>0</v>
      </c>
      <c r="I23" s="2744">
        <f t="shared" si="2"/>
        <v>0</v>
      </c>
      <c r="J23" s="2280"/>
      <c r="K23" s="2686">
        <f t="shared" si="3"/>
        <v>0</v>
      </c>
      <c r="L23" s="2233">
        <f t="shared" si="4"/>
        <v>0</v>
      </c>
      <c r="M23" s="2744">
        <f t="shared" si="8"/>
        <v>0</v>
      </c>
      <c r="N23" s="2785"/>
      <c r="O23" s="2786"/>
      <c r="P23" s="2744">
        <f t="shared" si="9"/>
        <v>0</v>
      </c>
      <c r="R23" s="2233">
        <f t="shared" si="5"/>
        <v>0</v>
      </c>
      <c r="S23" s="2762">
        <f t="shared" si="5"/>
        <v>0</v>
      </c>
    </row>
    <row r="24" spans="1:19">
      <c r="A24" s="2760"/>
      <c r="B24" s="2741" t="s">
        <v>610</v>
      </c>
      <c r="C24" s="2764"/>
      <c r="D24" s="2233">
        <f t="shared" si="6"/>
        <v>0</v>
      </c>
      <c r="E24" s="2762">
        <f t="shared" si="1"/>
        <v>0</v>
      </c>
      <c r="F24" s="2765"/>
      <c r="G24" s="2766"/>
      <c r="H24" s="2686">
        <f t="shared" si="7"/>
        <v>0</v>
      </c>
      <c r="I24" s="2744">
        <f t="shared" si="2"/>
        <v>0</v>
      </c>
      <c r="J24" s="2280"/>
      <c r="K24" s="2686">
        <f t="shared" si="3"/>
        <v>0</v>
      </c>
      <c r="L24" s="2233">
        <f t="shared" si="4"/>
        <v>0</v>
      </c>
      <c r="M24" s="2744">
        <f t="shared" si="8"/>
        <v>0</v>
      </c>
      <c r="N24" s="2785"/>
      <c r="O24" s="2786"/>
      <c r="P24" s="2744">
        <f t="shared" si="9"/>
        <v>0</v>
      </c>
      <c r="R24" s="2233">
        <f t="shared" si="5"/>
        <v>0</v>
      </c>
      <c r="S24" s="2762">
        <f t="shared" si="5"/>
        <v>0</v>
      </c>
    </row>
    <row r="25" spans="1:19">
      <c r="A25" s="2760"/>
      <c r="B25" s="2741" t="s">
        <v>610</v>
      </c>
      <c r="C25" s="2764"/>
      <c r="D25" s="2233">
        <f t="shared" si="6"/>
        <v>0</v>
      </c>
      <c r="E25" s="2762">
        <f t="shared" si="1"/>
        <v>0</v>
      </c>
      <c r="F25" s="2765"/>
      <c r="G25" s="2766"/>
      <c r="H25" s="2734">
        <f t="shared" si="7"/>
        <v>0</v>
      </c>
      <c r="I25" s="2744">
        <f t="shared" si="2"/>
        <v>0</v>
      </c>
      <c r="J25" s="2280"/>
      <c r="K25" s="2686">
        <f t="shared" si="3"/>
        <v>0</v>
      </c>
      <c r="L25" s="2233">
        <f t="shared" si="4"/>
        <v>0</v>
      </c>
      <c r="M25" s="2744">
        <f t="shared" si="8"/>
        <v>0</v>
      </c>
      <c r="N25" s="2785"/>
      <c r="O25" s="2786"/>
      <c r="P25" s="2744">
        <f t="shared" si="9"/>
        <v>0</v>
      </c>
      <c r="R25" s="2233">
        <f t="shared" si="5"/>
        <v>0</v>
      </c>
      <c r="S25" s="2762">
        <f t="shared" si="5"/>
        <v>0</v>
      </c>
    </row>
    <row r="26" spans="1:19">
      <c r="A26" s="2760"/>
      <c r="B26" s="2741" t="s">
        <v>610</v>
      </c>
      <c r="C26" s="2767"/>
      <c r="D26" s="2233">
        <f t="shared" si="6"/>
        <v>0</v>
      </c>
      <c r="E26" s="2762">
        <f t="shared" si="1"/>
        <v>0</v>
      </c>
      <c r="F26" s="2765"/>
      <c r="G26" s="2766"/>
      <c r="H26" s="2734">
        <f t="shared" si="7"/>
        <v>0</v>
      </c>
      <c r="I26" s="2744">
        <f t="shared" si="2"/>
        <v>0</v>
      </c>
      <c r="J26" s="2280"/>
      <c r="K26" s="2734">
        <f t="shared" si="3"/>
        <v>0</v>
      </c>
      <c r="L26" s="2741">
        <f t="shared" si="4"/>
        <v>0</v>
      </c>
      <c r="M26" s="2747">
        <f t="shared" si="8"/>
        <v>0</v>
      </c>
      <c r="N26" s="2787"/>
      <c r="O26" s="2788"/>
      <c r="P26" s="2747">
        <f t="shared" si="9"/>
        <v>0</v>
      </c>
      <c r="R26" s="2233">
        <f t="shared" si="5"/>
        <v>0</v>
      </c>
      <c r="S26" s="2762">
        <f t="shared" si="5"/>
        <v>0</v>
      </c>
    </row>
    <row r="27" spans="1:19" ht="15">
      <c r="A27" s="2760"/>
      <c r="B27" s="2233"/>
      <c r="C27" s="2425" t="s">
        <v>612</v>
      </c>
      <c r="D27" s="2768">
        <f>SUM(D19:D26)</f>
        <v>67351.83</v>
      </c>
      <c r="E27" s="2769">
        <f>IF(SUM(E19:E26)='数据-基础表'!BA5,SUM(E19:E26),IF(F27="地上面积有误","面积有误","地下面积有误"))</f>
        <v>12749.85</v>
      </c>
      <c r="F27" s="2768">
        <f>IF(SUM(F19:F26)=E8,SUM(F19:F26),"地上面积有误")</f>
        <v>12749.85</v>
      </c>
      <c r="G27" s="2770">
        <f>SUM(G19:G26)</f>
        <v>0</v>
      </c>
      <c r="H27" s="2771">
        <f>SUM(H19:H26)</f>
        <v>0</v>
      </c>
      <c r="I27" s="2789">
        <f>SUM(I19:I26)</f>
        <v>0</v>
      </c>
      <c r="J27" s="2280"/>
      <c r="K27" s="2790">
        <f>SUM(K19:K26)</f>
        <v>0</v>
      </c>
      <c r="L27" s="2176">
        <f>SUM(L19:L26)</f>
        <v>0</v>
      </c>
      <c r="M27" s="2791">
        <f>SUM(M19:M26)</f>
        <v>0</v>
      </c>
      <c r="N27" s="2790">
        <f t="shared" ref="N27:P27" si="10">SUM(N19:N26)</f>
        <v>0</v>
      </c>
      <c r="O27" s="2176">
        <f t="shared" si="10"/>
        <v>0</v>
      </c>
      <c r="P27" s="2704">
        <f t="shared" si="10"/>
        <v>0</v>
      </c>
      <c r="R27" s="2721">
        <f>IF(SUM(R19:R26)=$D$3,SUM(R19:R26),SUM(R19:R26)&amp;"误差"&amp;ROUND(SUM(R19:R26)-$D$3,2))</f>
        <v>67351.83</v>
      </c>
      <c r="S27" s="2233">
        <f>IF(SUM(S19:S26)=$E$3,SUM(S19:S26),SUM(S19:S26)&amp;"误差"&amp;ROUND(SUM(S19:S26)-E3,2))</f>
        <v>12749.85</v>
      </c>
    </row>
    <row r="28" spans="1:19">
      <c r="A28" s="2760"/>
      <c r="B28" s="2741" t="s">
        <v>613</v>
      </c>
      <c r="C28" s="2223" t="s">
        <v>614</v>
      </c>
      <c r="D28" s="2233">
        <f>ROUND($D$3*E28/$E$3,2)</f>
        <v>0</v>
      </c>
      <c r="E28" s="2762">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60"/>
      <c r="B29" s="2741" t="s">
        <v>613</v>
      </c>
      <c r="C29" s="2278" t="s">
        <v>615</v>
      </c>
      <c r="D29" s="2233">
        <f>ROUND($D$3*E29/$E$3,2)</f>
        <v>0</v>
      </c>
      <c r="E29" s="2762">
        <f>SUM(F29:G29)</f>
        <v>0</v>
      </c>
      <c r="F29" s="2772">
        <f>'数据-基础表'!BM5+'数据-基础表'!BO5</f>
        <v>0</v>
      </c>
      <c r="G29" s="2747">
        <f>'数据-基础表'!BN5+'数据-基础表'!BP5</f>
        <v>0</v>
      </c>
      <c r="H29" s="2584"/>
      <c r="I29" s="2584"/>
      <c r="J29" s="2584"/>
      <c r="K29" s="2584"/>
      <c r="L29" s="2584"/>
      <c r="M29" s="2584"/>
      <c r="N29" s="2584"/>
      <c r="O29" s="2584"/>
      <c r="P29" s="2584"/>
    </row>
    <row r="30" spans="1:19" ht="15">
      <c r="A30" s="2760"/>
      <c r="B30" s="2741"/>
      <c r="C30" s="2773" t="s">
        <v>612</v>
      </c>
      <c r="D30" s="2768">
        <f>SUM(D28:D29)</f>
        <v>0</v>
      </c>
      <c r="E30" s="2768">
        <f>SUM(E28:E29)</f>
        <v>0</v>
      </c>
      <c r="F30" s="2768">
        <f>SUM(F28:F29)</f>
        <v>0</v>
      </c>
      <c r="G30" s="2770">
        <f>SUM(G28:G29)</f>
        <v>0</v>
      </c>
      <c r="H30" s="2584"/>
      <c r="I30" s="2584"/>
      <c r="J30" s="2584"/>
      <c r="K30" s="2584"/>
      <c r="L30" s="2584"/>
      <c r="M30" s="2584"/>
      <c r="N30" s="2584"/>
      <c r="O30" s="2584"/>
      <c r="P30" s="2584"/>
    </row>
    <row r="31" spans="1:19" ht="15">
      <c r="A31" s="2774"/>
      <c r="B31" s="2694"/>
      <c r="C31" s="2176" t="s">
        <v>616</v>
      </c>
      <c r="D31" s="2775">
        <f>D27+D30</f>
        <v>67351.83</v>
      </c>
      <c r="E31" s="2775">
        <f>E27+E30</f>
        <v>12749.85</v>
      </c>
      <c r="F31" s="2776">
        <f>F27+F30</f>
        <v>12749.85</v>
      </c>
      <c r="G31" s="2777">
        <f>G27+G30</f>
        <v>0</v>
      </c>
      <c r="H31" s="2584"/>
      <c r="I31" s="2584"/>
      <c r="J31" s="2584"/>
      <c r="K31" s="2584"/>
      <c r="L31" s="2584"/>
      <c r="M31" s="2584"/>
      <c r="N31" s="2584"/>
      <c r="O31" s="2584"/>
      <c r="P31" s="2584"/>
    </row>
    <row r="32" spans="1:19">
      <c r="A32" s="2755"/>
      <c r="B32" s="2755" t="s">
        <v>617</v>
      </c>
      <c r="C32" s="2755"/>
      <c r="D32" s="2755"/>
      <c r="E32" s="2778">
        <f>SUMIF(C19:C26,"*住宅*",E19:E26)</f>
        <v>0</v>
      </c>
      <c r="F32" s="2755"/>
      <c r="G32" s="2755"/>
      <c r="H32" s="2584"/>
      <c r="I32" s="2584"/>
      <c r="J32" s="2584"/>
      <c r="K32" s="2584"/>
      <c r="L32" s="2584"/>
      <c r="M32" s="2584"/>
      <c r="N32" s="2584"/>
      <c r="O32" s="2584"/>
      <c r="P32" s="2584"/>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7"/>
  <sheetViews>
    <sheetView workbookViewId="0">
      <selection activeCell="C15" sqref="C15"/>
    </sheetView>
  </sheetViews>
  <sheetFormatPr defaultColWidth="9" defaultRowHeight="12.75"/>
  <cols>
    <col min="1" max="1" width="6.625" style="852" customWidth="1"/>
    <col min="2" max="2" width="24.25" style="852" customWidth="1"/>
    <col min="3" max="3" width="21.125" style="852" customWidth="1"/>
    <col min="4" max="4" width="20" style="852" customWidth="1"/>
    <col min="5" max="5" width="9" style="852"/>
    <col min="6" max="6" width="5.875" style="852" customWidth="1"/>
    <col min="7" max="7" width="8.625" style="852" customWidth="1"/>
    <col min="8" max="16384" width="9" style="852"/>
  </cols>
  <sheetData>
    <row r="1" spans="1:10">
      <c r="A1" s="852" t="s">
        <v>618</v>
      </c>
      <c r="B1" s="852" t="s">
        <v>619</v>
      </c>
      <c r="C1" s="852" t="s">
        <v>620</v>
      </c>
      <c r="D1" s="852" t="s">
        <v>621</v>
      </c>
      <c r="E1" s="852" t="s">
        <v>622</v>
      </c>
      <c r="F1" s="852" t="s">
        <v>623</v>
      </c>
      <c r="G1" s="852" t="s">
        <v>624</v>
      </c>
    </row>
    <row r="2" spans="1:10">
      <c r="A2" s="852">
        <v>1</v>
      </c>
      <c r="B2" s="2727" t="s">
        <v>625</v>
      </c>
      <c r="C2" s="852" t="s">
        <v>626</v>
      </c>
      <c r="D2" s="852" t="s">
        <v>627</v>
      </c>
      <c r="E2" s="852">
        <v>6365.01</v>
      </c>
      <c r="F2" s="852" t="s">
        <v>628</v>
      </c>
      <c r="G2" s="2728">
        <v>55623</v>
      </c>
    </row>
    <row r="3" spans="1:10">
      <c r="A3" s="852">
        <v>2</v>
      </c>
      <c r="B3" s="852" t="s">
        <v>629</v>
      </c>
      <c r="C3" s="852" t="s">
        <v>626</v>
      </c>
      <c r="D3" s="852" t="s">
        <v>627</v>
      </c>
      <c r="E3" s="852">
        <v>5858.6</v>
      </c>
      <c r="F3" s="852" t="s">
        <v>628</v>
      </c>
      <c r="G3" s="2728">
        <v>55623</v>
      </c>
    </row>
    <row r="4" spans="1:10">
      <c r="A4" s="852">
        <v>3</v>
      </c>
      <c r="B4" s="852" t="s">
        <v>630</v>
      </c>
      <c r="C4" s="852" t="s">
        <v>626</v>
      </c>
      <c r="D4" s="852" t="s">
        <v>627</v>
      </c>
      <c r="E4" s="852">
        <v>6559.07</v>
      </c>
      <c r="F4" s="852" t="s">
        <v>628</v>
      </c>
      <c r="G4" s="2728">
        <v>55623</v>
      </c>
    </row>
    <row r="5" spans="1:10">
      <c r="A5" s="852">
        <v>4</v>
      </c>
      <c r="B5" s="852" t="s">
        <v>631</v>
      </c>
      <c r="C5" s="852" t="s">
        <v>626</v>
      </c>
      <c r="D5" s="852" t="s">
        <v>627</v>
      </c>
      <c r="E5" s="852">
        <v>6285.86</v>
      </c>
      <c r="F5" s="852" t="s">
        <v>628</v>
      </c>
      <c r="G5" s="2728">
        <v>55623</v>
      </c>
    </row>
    <row r="6" spans="1:10">
      <c r="A6" s="852">
        <v>5</v>
      </c>
      <c r="B6" s="852" t="s">
        <v>632</v>
      </c>
      <c r="C6" s="852" t="s">
        <v>626</v>
      </c>
      <c r="D6" s="852" t="s">
        <v>627</v>
      </c>
      <c r="E6" s="852">
        <v>5797.98</v>
      </c>
      <c r="F6" s="852" t="s">
        <v>628</v>
      </c>
      <c r="G6" s="2728">
        <v>55623</v>
      </c>
    </row>
    <row r="7" spans="1:10">
      <c r="A7" s="852">
        <v>6</v>
      </c>
      <c r="B7" s="852" t="s">
        <v>633</v>
      </c>
      <c r="C7" s="852" t="s">
        <v>626</v>
      </c>
      <c r="D7" s="852" t="s">
        <v>627</v>
      </c>
      <c r="E7" s="852">
        <v>5828.29</v>
      </c>
      <c r="F7" s="852" t="s">
        <v>628</v>
      </c>
      <c r="G7" s="2728">
        <v>55623</v>
      </c>
    </row>
    <row r="8" spans="1:10">
      <c r="A8" s="852">
        <v>7</v>
      </c>
      <c r="B8" s="852" t="s">
        <v>634</v>
      </c>
      <c r="C8" s="852" t="s">
        <v>626</v>
      </c>
      <c r="D8" s="852" t="s">
        <v>627</v>
      </c>
      <c r="E8" s="852">
        <v>6666</v>
      </c>
      <c r="F8" s="852" t="s">
        <v>628</v>
      </c>
      <c r="G8" s="2728">
        <v>55623</v>
      </c>
    </row>
    <row r="9" spans="1:10">
      <c r="A9" s="852">
        <v>8</v>
      </c>
      <c r="B9" s="852" t="s">
        <v>635</v>
      </c>
      <c r="C9" s="852" t="s">
        <v>626</v>
      </c>
      <c r="D9" s="852" t="s">
        <v>627</v>
      </c>
      <c r="E9" s="852">
        <v>6511.77</v>
      </c>
      <c r="F9" s="852" t="s">
        <v>628</v>
      </c>
      <c r="G9" s="2728">
        <v>55623</v>
      </c>
    </row>
    <row r="10" spans="1:10">
      <c r="A10" s="852">
        <v>9</v>
      </c>
      <c r="B10" s="852" t="s">
        <v>636</v>
      </c>
      <c r="C10" s="852" t="s">
        <v>626</v>
      </c>
      <c r="D10" s="852" t="s">
        <v>627</v>
      </c>
      <c r="E10" s="852">
        <v>5737.35</v>
      </c>
      <c r="F10" s="852" t="s">
        <v>628</v>
      </c>
      <c r="G10" s="2728">
        <v>55623</v>
      </c>
    </row>
    <row r="11" spans="1:10">
      <c r="A11" s="852">
        <v>10</v>
      </c>
      <c r="B11" s="852" t="s">
        <v>637</v>
      </c>
      <c r="C11" s="852" t="s">
        <v>626</v>
      </c>
      <c r="D11" s="852" t="s">
        <v>627</v>
      </c>
      <c r="E11" s="852">
        <v>5974.24</v>
      </c>
      <c r="F11" s="852" t="s">
        <v>628</v>
      </c>
      <c r="G11" s="2728">
        <v>55623</v>
      </c>
    </row>
    <row r="12" spans="1:10">
      <c r="A12" s="852">
        <v>11</v>
      </c>
      <c r="B12" s="852" t="s">
        <v>638</v>
      </c>
      <c r="C12" s="852" t="s">
        <v>626</v>
      </c>
      <c r="D12" s="852" t="s">
        <v>627</v>
      </c>
      <c r="E12" s="852">
        <v>5767.66</v>
      </c>
      <c r="F12" s="852" t="s">
        <v>628</v>
      </c>
      <c r="G12" s="2728">
        <v>55623</v>
      </c>
    </row>
    <row r="13" spans="1:10">
      <c r="A13" s="852" t="s">
        <v>639</v>
      </c>
      <c r="E13" s="852">
        <f>SUM(E2:E12)</f>
        <v>67351.83</v>
      </c>
    </row>
    <row r="14" spans="1:10">
      <c r="A14" s="852" t="s">
        <v>618</v>
      </c>
      <c r="B14" s="2729" t="s">
        <v>640</v>
      </c>
      <c r="C14" s="2729" t="s">
        <v>641</v>
      </c>
      <c r="D14" s="2729" t="s">
        <v>642</v>
      </c>
      <c r="E14" s="2729" t="s">
        <v>643</v>
      </c>
      <c r="F14" s="2729" t="s">
        <v>404</v>
      </c>
      <c r="G14" s="2729" t="s">
        <v>644</v>
      </c>
      <c r="H14" s="2729" t="s">
        <v>645</v>
      </c>
      <c r="I14" s="2729" t="s">
        <v>646</v>
      </c>
      <c r="J14" s="2729" t="s">
        <v>647</v>
      </c>
    </row>
    <row r="15" spans="1:10">
      <c r="A15" s="852">
        <v>1</v>
      </c>
      <c r="B15" s="2727" t="s">
        <v>648</v>
      </c>
      <c r="C15" s="2727" t="s">
        <v>649</v>
      </c>
      <c r="D15" s="2727" t="s">
        <v>650</v>
      </c>
      <c r="E15" s="852">
        <v>12749.85</v>
      </c>
      <c r="F15" s="852" t="s">
        <v>628</v>
      </c>
      <c r="G15" s="2729"/>
      <c r="I15" s="2729"/>
      <c r="J15" s="2729"/>
    </row>
    <row r="16" spans="1:10">
      <c r="D16" s="852" t="s">
        <v>651</v>
      </c>
      <c r="E16" s="852">
        <v>8549.41</v>
      </c>
      <c r="F16" s="852" t="s">
        <v>628</v>
      </c>
      <c r="G16" s="2729" t="s">
        <v>652</v>
      </c>
      <c r="H16" s="852">
        <v>2004</v>
      </c>
      <c r="I16" s="852">
        <v>2</v>
      </c>
      <c r="J16" s="852">
        <v>2</v>
      </c>
    </row>
    <row r="17" spans="4:10">
      <c r="D17" s="852" t="s">
        <v>653</v>
      </c>
      <c r="E17" s="852">
        <v>4200.4399999999996</v>
      </c>
      <c r="F17" s="852" t="s">
        <v>628</v>
      </c>
      <c r="G17" s="2729" t="s">
        <v>652</v>
      </c>
      <c r="H17" s="852">
        <v>2004</v>
      </c>
      <c r="I17" s="852">
        <v>2</v>
      </c>
      <c r="J17" s="852">
        <v>2</v>
      </c>
    </row>
  </sheetData>
  <phoneticPr fontId="23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29" sqref="J29"/>
    </sheetView>
  </sheetViews>
  <sheetFormatPr defaultColWidth="13.75" defaultRowHeight="12.75"/>
  <cols>
    <col min="1" max="1" width="20.875" style="2548" customWidth="1"/>
    <col min="2" max="2" width="12" style="2210" customWidth="1"/>
    <col min="3" max="3" width="12.75" style="2210" customWidth="1"/>
    <col min="4" max="4" width="9.125" style="2549" customWidth="1"/>
    <col min="5" max="5" width="15" style="2210" customWidth="1"/>
    <col min="6" max="10" width="8.875" style="2210" customWidth="1"/>
    <col min="11" max="12" width="12.375" style="2550" customWidth="1"/>
    <col min="13" max="13" width="8.625" style="2210" customWidth="1"/>
    <col min="14" max="14" width="11.875" style="2210" customWidth="1"/>
    <col min="15" max="15" width="8.5" style="2210" customWidth="1"/>
    <col min="16" max="17" width="10.875" style="2210" customWidth="1"/>
    <col min="18" max="19" width="12.5" style="2210" customWidth="1"/>
    <col min="20" max="20" width="12.125" style="2210" customWidth="1"/>
    <col min="21" max="21" width="7.5" style="2210" customWidth="1"/>
    <col min="22" max="22" width="6.375" style="2210" customWidth="1"/>
    <col min="23" max="30" width="6.75" style="2210" customWidth="1"/>
    <col min="31" max="31" width="8" style="2210" customWidth="1"/>
    <col min="32" max="34" width="7.25" style="2210" customWidth="1"/>
    <col min="35" max="39" width="8" style="2210" customWidth="1"/>
    <col min="40" max="40" width="13.75" style="893"/>
    <col min="41" max="41" width="11.625" style="893" customWidth="1"/>
    <col min="42" max="42" width="9.75" style="893" customWidth="1"/>
    <col min="43" max="67" width="13.75" style="893"/>
    <col min="68" max="16384" width="13.75" style="2210"/>
  </cols>
  <sheetData>
    <row r="1" spans="1:67" ht="18.75">
      <c r="A1" s="2551" t="s">
        <v>654</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655</v>
      </c>
      <c r="B2" s="2554">
        <f>项目基本情况!D3</f>
        <v>45791</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656</v>
      </c>
      <c r="B4" s="2240"/>
      <c r="C4" s="2557"/>
      <c r="D4" s="2558"/>
      <c r="E4" s="2557" t="s">
        <v>657</v>
      </c>
      <c r="F4" s="2557"/>
      <c r="G4" s="2557"/>
      <c r="H4" s="2557"/>
      <c r="I4" s="2557"/>
      <c r="J4" s="2276"/>
      <c r="K4" s="2648"/>
      <c r="L4" s="2649"/>
      <c r="M4" s="2557"/>
      <c r="N4" s="2557" t="s">
        <v>658</v>
      </c>
      <c r="O4" s="2557"/>
      <c r="P4" s="2557"/>
      <c r="Q4" s="2557"/>
      <c r="R4" s="2557"/>
      <c r="S4" s="2276"/>
      <c r="T4" s="2669" t="str">
        <f>'数据-汇总表'!I17</f>
        <v>按面积比例</v>
      </c>
      <c r="U4" s="2240" t="s">
        <v>659</v>
      </c>
      <c r="V4" s="2557"/>
      <c r="W4" s="2557"/>
      <c r="X4" s="2557"/>
      <c r="Y4" s="2276"/>
      <c r="Z4" s="2254" t="s">
        <v>660</v>
      </c>
      <c r="AA4" s="2254"/>
      <c r="AB4" s="2254"/>
      <c r="AC4" s="2254"/>
      <c r="AD4" s="2254"/>
      <c r="AE4" s="2696" t="s">
        <v>661</v>
      </c>
      <c r="AF4" s="2254"/>
      <c r="AG4" s="2706"/>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662</v>
      </c>
      <c r="D5" s="2562" t="s">
        <v>663</v>
      </c>
      <c r="E5" s="1270" t="s">
        <v>664</v>
      </c>
      <c r="F5" s="2563" t="s">
        <v>665</v>
      </c>
      <c r="G5" s="1270" t="s">
        <v>666</v>
      </c>
      <c r="H5" s="1270" t="s">
        <v>667</v>
      </c>
      <c r="I5" s="1270" t="s">
        <v>668</v>
      </c>
      <c r="J5" s="1331" t="s">
        <v>669</v>
      </c>
      <c r="K5" s="2650" t="s">
        <v>606</v>
      </c>
      <c r="L5" s="2651" t="s">
        <v>670</v>
      </c>
      <c r="M5" s="2652" t="s">
        <v>671</v>
      </c>
      <c r="N5" s="2653" t="s">
        <v>672</v>
      </c>
      <c r="O5" s="2651" t="s">
        <v>673</v>
      </c>
      <c r="P5" s="2654" t="s">
        <v>674</v>
      </c>
      <c r="Q5" s="1337" t="s">
        <v>675</v>
      </c>
      <c r="R5" s="2670" t="s">
        <v>676</v>
      </c>
      <c r="S5" s="2671" t="s">
        <v>677</v>
      </c>
      <c r="T5" s="2672" t="s">
        <v>678</v>
      </c>
      <c r="U5" s="2673" t="s">
        <v>679</v>
      </c>
      <c r="V5" s="1270" t="s">
        <v>680</v>
      </c>
      <c r="W5" s="1270" t="s">
        <v>681</v>
      </c>
      <c r="X5" s="1041"/>
      <c r="Y5" s="1043" t="s">
        <v>682</v>
      </c>
      <c r="Z5" s="1236" t="s">
        <v>679</v>
      </c>
      <c r="AA5" s="1270" t="s">
        <v>680</v>
      </c>
      <c r="AB5" s="1270" t="s">
        <v>681</v>
      </c>
      <c r="AC5" s="1041"/>
      <c r="AD5" s="1041" t="s">
        <v>682</v>
      </c>
      <c r="AE5" s="2673" t="s">
        <v>683</v>
      </c>
      <c r="AF5" s="1270" t="s">
        <v>684</v>
      </c>
      <c r="AG5" s="1043" t="s">
        <v>685</v>
      </c>
      <c r="AH5" s="2673" t="s">
        <v>686</v>
      </c>
      <c r="AI5" s="1236" t="s">
        <v>687</v>
      </c>
      <c r="AJ5" s="1236" t="s">
        <v>688</v>
      </c>
      <c r="AK5" s="1270" t="s">
        <v>689</v>
      </c>
      <c r="AL5" s="1270" t="s">
        <v>690</v>
      </c>
      <c r="AM5" s="1043" t="s">
        <v>691</v>
      </c>
      <c r="AN5" s="2707" t="s">
        <v>692</v>
      </c>
      <c r="AO5" s="2720" t="s">
        <v>693</v>
      </c>
      <c r="AP5" s="2721" t="s">
        <v>694</v>
      </c>
      <c r="AQ5" s="2722" t="s">
        <v>695</v>
      </c>
      <c r="AR5" s="2722" t="s">
        <v>696</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食品基地</v>
      </c>
      <c r="B6" s="2565" t="str">
        <f>IF(A6=0,"","经营性")</f>
        <v>经营性</v>
      </c>
      <c r="C6" s="2566" t="s">
        <v>408</v>
      </c>
      <c r="D6" s="2567">
        <f>SUMIF(项目基本情况!C$12:I$12,C6,项目基本情况!C$14:I$14)</f>
        <v>50</v>
      </c>
      <c r="E6" s="2568">
        <f>IF(B6="","",SUMIF(项目基本情况!C$12:I$12,C6,项目基本情况!C$13:I$13))</f>
        <v>55623</v>
      </c>
      <c r="F6" s="2569">
        <f>SUMIF(项目基本情况!C$12:I$12,C6,项目基本情况!C$15:I$15)</f>
        <v>26.93</v>
      </c>
      <c r="G6" s="2570">
        <f>IF(ISERROR(ROUND(POWER(1+H6,D6-F6)*(POWER(1+H6,F6)-1)/(POWER(1+H6,D6)-1),3)),0,ROUND(POWER(1+H6,D6-F6)*(POWER(1+H6,F6)-1)/(POWER(1+H6,D6)-1),3))</f>
        <v>0.80100000000000005</v>
      </c>
      <c r="H6" s="2571">
        <v>0.05</v>
      </c>
      <c r="I6" s="2571">
        <v>5.5E-2</v>
      </c>
      <c r="J6" s="2572">
        <v>7.0000000000000007E-2</v>
      </c>
      <c r="K6" s="2655">
        <f>SUMIF('数据-汇总表'!C$19:C$33,A6,'数据-汇总表'!E$19:E$33)</f>
        <v>12749.85</v>
      </c>
      <c r="L6" s="2656">
        <v>2800</v>
      </c>
      <c r="M6" s="2657">
        <f t="shared" ref="M6:M14" si="0">ROUND(K6*L6/10000,0)</f>
        <v>3570</v>
      </c>
      <c r="N6" s="2658">
        <f>N19</f>
        <v>0.71</v>
      </c>
      <c r="O6" s="2657" t="str">
        <f>IF($N$5="成新度","——",ROUND(M6*N6,0))</f>
        <v>——</v>
      </c>
      <c r="P6" s="1177" t="str">
        <f>IF($N$5="成新度","——",M6-O6)</f>
        <v>——</v>
      </c>
      <c r="Q6" s="2674">
        <v>0.1</v>
      </c>
      <c r="R6" s="2675">
        <f ca="1">SUMIF('数据-汇总表'!C$19:C$33,A6,'数据-汇总表'!R$19:R$27)</f>
        <v>67351.83</v>
      </c>
      <c r="S6" s="2676">
        <f>IF('数据-汇总表'!$I$17="按面积比例",SUMIF('数据-汇总表'!C$19:C$33,A6,'数据-汇总表'!K$19:K$33),SUMIF('数据-汇总表'!C$19:C$33,A6,'数据-汇总表'!N$19:N$33))</f>
        <v>0</v>
      </c>
      <c r="T6" s="2677">
        <f>ROUND($L$14*S6/10000,0)</f>
        <v>0</v>
      </c>
      <c r="U6" s="2678">
        <v>1.7</v>
      </c>
      <c r="V6" s="2679">
        <v>0.02</v>
      </c>
      <c r="W6" s="2679">
        <v>0.1</v>
      </c>
      <c r="X6" s="2680"/>
      <c r="Y6" s="2697">
        <f>N6</f>
        <v>0.71</v>
      </c>
      <c r="Z6" s="2698"/>
      <c r="AA6" s="2572"/>
      <c r="AB6" s="2572"/>
      <c r="AC6" s="2680"/>
      <c r="AD6" s="2699"/>
      <c r="AE6" s="2700">
        <f ca="1">IF(AN6="",0,SUMIF(INDIRECT("'"&amp;AN6&amp;"'"&amp;"!E:E"),$AE$5,INDIRECT("'"&amp;AN6&amp;"'"&amp;"!F:F")))</f>
        <v>26.93</v>
      </c>
      <c r="AF6" s="2220"/>
      <c r="AG6" s="1605">
        <f>IF(AF6="",0,AE6-AF6)</f>
        <v>0</v>
      </c>
      <c r="AH6" s="2708"/>
      <c r="AI6" s="2709">
        <v>365</v>
      </c>
      <c r="AJ6" s="2220"/>
      <c r="AK6" s="2710">
        <v>5.0000000000000001E-3</v>
      </c>
      <c r="AL6" s="2711">
        <v>1.5E-3</v>
      </c>
      <c r="AM6" s="2712">
        <v>0.01</v>
      </c>
      <c r="AN6" s="2713" t="s">
        <v>697</v>
      </c>
      <c r="AO6" s="1231">
        <f ca="1">SUMIF(INDIRECT("'"&amp;AN6&amp;"'"&amp;"!A:A"),"总价",INDIRECT("'"&amp;AN6&amp;"'"&amp;"!B:B"))</f>
        <v>9610</v>
      </c>
      <c r="AP6" s="2723">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7"/>
      <c r="Z7" s="2698"/>
      <c r="AA7" s="2572"/>
      <c r="AB7" s="2572"/>
      <c r="AC7" s="2680"/>
      <c r="AD7" s="2699"/>
      <c r="AE7" s="2700">
        <f t="shared" ref="AE7:AE13" ca="1" si="6">IF(AN7="",0,SUMIF(INDIRECT("'"&amp;AN7&amp;"'"&amp;"!E:E"),$AE$5,INDIRECT("'"&amp;AN7&amp;"'"&amp;"!F:F")))</f>
        <v>0</v>
      </c>
      <c r="AF7" s="2220"/>
      <c r="AG7" s="1605">
        <f t="shared" ref="AG7:AG13" si="7">IF(AF7="",0,AE7-AF7)</f>
        <v>0</v>
      </c>
      <c r="AH7" s="2708"/>
      <c r="AI7" s="2709"/>
      <c r="AJ7" s="2220"/>
      <c r="AK7" s="2710"/>
      <c r="AL7" s="2711"/>
      <c r="AM7" s="2712"/>
      <c r="AN7" s="2713"/>
      <c r="AO7" s="1231" t="e">
        <f t="shared" ref="AO7:AO13" ca="1" si="8">SUMIF(INDIRECT("'"&amp;AN7&amp;"'"&amp;"!A:A"),"总价",INDIRECT("'"&amp;AN7&amp;"'"&amp;"!B:B"))</f>
        <v>#REF!</v>
      </c>
      <c r="AP7" s="2723">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7"/>
      <c r="Z8" s="2698"/>
      <c r="AA8" s="2572"/>
      <c r="AB8" s="2572"/>
      <c r="AC8" s="2680"/>
      <c r="AD8" s="2699"/>
      <c r="AE8" s="2700">
        <f t="shared" ca="1" si="6"/>
        <v>0</v>
      </c>
      <c r="AF8" s="2220"/>
      <c r="AG8" s="1605">
        <f t="shared" si="7"/>
        <v>0</v>
      </c>
      <c r="AH8" s="2714"/>
      <c r="AI8" s="2709"/>
      <c r="AJ8" s="2220"/>
      <c r="AK8" s="2715"/>
      <c r="AL8" s="2716"/>
      <c r="AM8" s="2616"/>
      <c r="AN8" s="2713"/>
      <c r="AO8" s="1231" t="e">
        <f t="shared" ca="1" si="8"/>
        <v>#REF!</v>
      </c>
      <c r="AP8" s="2723">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7"/>
      <c r="Z9" s="2698"/>
      <c r="AA9" s="2572"/>
      <c r="AB9" s="2572"/>
      <c r="AC9" s="2680"/>
      <c r="AD9" s="2699"/>
      <c r="AE9" s="2700">
        <f t="shared" ca="1" si="6"/>
        <v>0</v>
      </c>
      <c r="AF9" s="2220"/>
      <c r="AG9" s="1605">
        <f t="shared" si="7"/>
        <v>0</v>
      </c>
      <c r="AH9" s="2708"/>
      <c r="AI9" s="2709"/>
      <c r="AJ9" s="2220"/>
      <c r="AK9" s="2710"/>
      <c r="AL9" s="2711"/>
      <c r="AM9" s="2712"/>
      <c r="AN9" s="2713"/>
      <c r="AO9" s="1231" t="e">
        <f t="shared" ca="1" si="8"/>
        <v>#REF!</v>
      </c>
      <c r="AP9" s="2723">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7"/>
      <c r="Z10" s="2698"/>
      <c r="AA10" s="2572"/>
      <c r="AB10" s="2572"/>
      <c r="AC10" s="2680"/>
      <c r="AD10" s="2699"/>
      <c r="AE10" s="2700">
        <f t="shared" ca="1" si="6"/>
        <v>0</v>
      </c>
      <c r="AF10" s="2220"/>
      <c r="AG10" s="1605">
        <f t="shared" si="7"/>
        <v>0</v>
      </c>
      <c r="AH10" s="2708"/>
      <c r="AI10" s="2709"/>
      <c r="AJ10" s="2220"/>
      <c r="AK10" s="2710"/>
      <c r="AL10" s="2711"/>
      <c r="AM10" s="2712"/>
      <c r="AN10" s="2713"/>
      <c r="AO10" s="1231" t="e">
        <f t="shared" ca="1" si="8"/>
        <v>#REF!</v>
      </c>
      <c r="AP10" s="2723">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2"/>
      <c r="W11" s="2572"/>
      <c r="X11" s="2680"/>
      <c r="Y11" s="2697"/>
      <c r="Z11" s="2701"/>
      <c r="AA11" s="2572"/>
      <c r="AB11" s="2572"/>
      <c r="AC11" s="2680"/>
      <c r="AD11" s="2699"/>
      <c r="AE11" s="2700">
        <f t="shared" ca="1" si="6"/>
        <v>0</v>
      </c>
      <c r="AF11" s="2220"/>
      <c r="AG11" s="1605">
        <f t="shared" si="7"/>
        <v>0</v>
      </c>
      <c r="AH11" s="2708"/>
      <c r="AI11" s="2709"/>
      <c r="AJ11" s="2220"/>
      <c r="AK11" s="2710"/>
      <c r="AL11" s="2711"/>
      <c r="AM11" s="2712"/>
      <c r="AN11" s="2713"/>
      <c r="AO11" s="1231" t="e">
        <f t="shared" ca="1" si="8"/>
        <v>#REF!</v>
      </c>
      <c r="AP11" s="2723">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2"/>
      <c r="W12" s="2572"/>
      <c r="X12" s="2680"/>
      <c r="Y12" s="2697"/>
      <c r="Z12" s="2701"/>
      <c r="AA12" s="2572"/>
      <c r="AB12" s="2572"/>
      <c r="AC12" s="2680"/>
      <c r="AD12" s="2699"/>
      <c r="AE12" s="2700">
        <f t="shared" ca="1" si="6"/>
        <v>0</v>
      </c>
      <c r="AF12" s="2220"/>
      <c r="AG12" s="1605">
        <f t="shared" si="7"/>
        <v>0</v>
      </c>
      <c r="AH12" s="2708"/>
      <c r="AI12" s="2709"/>
      <c r="AJ12" s="2220"/>
      <c r="AK12" s="2710"/>
      <c r="AL12" s="2711"/>
      <c r="AM12" s="2712"/>
      <c r="AN12" s="2713"/>
      <c r="AO12" s="1231" t="e">
        <f t="shared" ca="1" si="8"/>
        <v>#REF!</v>
      </c>
      <c r="AP12" s="2723">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7"/>
      <c r="Z13" s="2698"/>
      <c r="AA13" s="2572"/>
      <c r="AB13" s="2572"/>
      <c r="AC13" s="2680"/>
      <c r="AD13" s="2699"/>
      <c r="AE13" s="2700">
        <f t="shared" ca="1" si="6"/>
        <v>0</v>
      </c>
      <c r="AF13" s="2220"/>
      <c r="AG13" s="1605">
        <f t="shared" si="7"/>
        <v>0</v>
      </c>
      <c r="AH13" s="2708"/>
      <c r="AI13" s="2709"/>
      <c r="AJ13" s="2220"/>
      <c r="AK13" s="2710"/>
      <c r="AL13" s="2711"/>
      <c r="AM13" s="2712"/>
      <c r="AN13" s="2713"/>
      <c r="AO13" s="1231" t="e">
        <f t="shared" ca="1" si="8"/>
        <v>#REF!</v>
      </c>
      <c r="AP13" s="2723">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5"/>
      <c r="R14" s="2675"/>
      <c r="S14" s="2676"/>
      <c r="T14" s="2677"/>
      <c r="U14" s="2686"/>
      <c r="V14" s="2687"/>
      <c r="W14" s="2687"/>
      <c r="X14" s="2688"/>
      <c r="Y14" s="2702"/>
      <c r="Z14" s="2223"/>
      <c r="AA14" s="2703"/>
      <c r="AB14" s="2703"/>
      <c r="AC14" s="2680"/>
      <c r="AD14" s="2688"/>
      <c r="AE14" s="2700"/>
      <c r="AF14" s="1231"/>
      <c r="AG14" s="1605"/>
      <c r="AH14" s="2700"/>
      <c r="AI14" s="1222"/>
      <c r="AJ14" s="1231"/>
      <c r="AK14" s="2717"/>
      <c r="AL14" s="2718"/>
      <c r="AM14" s="2719"/>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698</v>
      </c>
      <c r="D15" s="2567"/>
      <c r="E15" s="2568"/>
      <c r="F15" s="2569"/>
      <c r="G15" s="2570"/>
      <c r="H15" s="2575"/>
      <c r="I15" s="2575"/>
      <c r="J15" s="2575"/>
      <c r="K15" s="2655">
        <f>SUMIF('数据-汇总表'!C$19:C$33,A15,'数据-汇总表'!E$19:E$33)</f>
        <v>0</v>
      </c>
      <c r="L15" s="2661"/>
      <c r="M15" s="2657"/>
      <c r="N15" s="2662"/>
      <c r="O15" s="2657"/>
      <c r="P15" s="1177"/>
      <c r="Q15" s="2685"/>
      <c r="R15" s="2675"/>
      <c r="S15" s="2676"/>
      <c r="T15" s="2677"/>
      <c r="U15" s="2686"/>
      <c r="V15" s="2687"/>
      <c r="W15" s="2687"/>
      <c r="X15" s="2688"/>
      <c r="Y15" s="2702"/>
      <c r="Z15" s="2223"/>
      <c r="AA15" s="2703"/>
      <c r="AB15" s="2703"/>
      <c r="AC15" s="2680"/>
      <c r="AD15" s="2688"/>
      <c r="AE15" s="2700"/>
      <c r="AF15" s="1231"/>
      <c r="AG15" s="1605"/>
      <c r="AH15" s="2700"/>
      <c r="AI15" s="1222"/>
      <c r="AJ15" s="1231"/>
      <c r="AK15" s="2717"/>
      <c r="AL15" s="2718"/>
      <c r="AM15" s="2719"/>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0.80100000000000005</v>
      </c>
      <c r="H16" s="2580">
        <f>ROUND(SUMPRODUCT(H6:H13,K6:K13)/SUMPRODUCT((H6:H13&gt;0)*(K6:K13)),3)</f>
        <v>0.05</v>
      </c>
      <c r="I16" s="2663"/>
      <c r="J16" s="2663"/>
      <c r="K16" s="2664">
        <f>SUM(K6:K15)</f>
        <v>12749.85</v>
      </c>
      <c r="L16" s="2665">
        <f>ROUND(M16*10000/SUM(K6:K14),0)</f>
        <v>2800</v>
      </c>
      <c r="M16" s="2665">
        <f>SUM(M6:M14)</f>
        <v>3570</v>
      </c>
      <c r="N16" s="2666">
        <f>ROUND(SUMPRODUCT(M6:M14,N6:N14)/M16,3)</f>
        <v>0.71</v>
      </c>
      <c r="O16" s="2665">
        <f>SUM(O6:O14)</f>
        <v>0</v>
      </c>
      <c r="P16" s="2665">
        <f>SUM(P6:P14)</f>
        <v>0</v>
      </c>
      <c r="Q16" s="2689">
        <f>ROUND(SUMPRODUCT(Q6:Q13,K6:K13)/SUMPRODUCT((Q6:Q13&gt;0)*(K6:K13)),2)</f>
        <v>0.1</v>
      </c>
      <c r="R16" s="2690">
        <f ca="1">SUM(R6:R13)</f>
        <v>67351.83</v>
      </c>
      <c r="S16" s="2691">
        <f>SUM(S6:S13)</f>
        <v>0</v>
      </c>
      <c r="T16" s="2692">
        <f>IF(SUMIF(T6:T13,"&lt;9E307")=M14,SUMIF(T6:T13,"&lt;9E307"),"有误，请检查")</f>
        <v>0</v>
      </c>
      <c r="U16" s="2693"/>
      <c r="V16" s="2235"/>
      <c r="W16" s="2235"/>
      <c r="X16" s="2694"/>
      <c r="Y16" s="2704"/>
      <c r="Z16" s="2705"/>
      <c r="AA16" s="2235"/>
      <c r="AB16" s="2235"/>
      <c r="AC16" s="2694"/>
      <c r="AD16" s="2694"/>
      <c r="AE16" s="2693"/>
      <c r="AF16" s="2235"/>
      <c r="AG16" s="2704"/>
      <c r="AH16" s="2693"/>
      <c r="AI16" s="2705"/>
      <c r="AJ16" s="2705"/>
      <c r="AK16" s="2235"/>
      <c r="AL16" s="2235"/>
      <c r="AM16" s="2704"/>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699</v>
      </c>
      <c r="B18" s="2583"/>
      <c r="C18" s="2584"/>
      <c r="D18" s="2585"/>
      <c r="E18" s="2584"/>
      <c r="F18" s="2584"/>
      <c r="G18" s="2584"/>
      <c r="H18" s="2584"/>
      <c r="I18" s="2584"/>
      <c r="J18" s="2584"/>
      <c r="K18" s="2667"/>
      <c r="L18" s="2667"/>
      <c r="M18" s="2117"/>
      <c r="N18" s="2117">
        <v>2004</v>
      </c>
      <c r="O18" s="2668" t="s">
        <v>700</v>
      </c>
      <c r="P18" s="2117"/>
      <c r="Q18" s="2117"/>
      <c r="R18" s="2117"/>
      <c r="S18" s="2668" t="s">
        <v>643</v>
      </c>
      <c r="T18" s="2695">
        <f>K16</f>
        <v>12749.85</v>
      </c>
      <c r="U18" s="2117">
        <v>1.2</v>
      </c>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701</v>
      </c>
      <c r="B19" s="2587">
        <v>0</v>
      </c>
      <c r="C19" s="2588" t="s">
        <v>702</v>
      </c>
      <c r="D19" s="2585"/>
      <c r="E19" s="2584"/>
      <c r="F19" s="2584"/>
      <c r="G19" s="2584"/>
      <c r="H19" s="2584"/>
      <c r="I19" s="2584"/>
      <c r="J19" s="2584"/>
      <c r="K19" s="2667"/>
      <c r="L19" s="2667"/>
      <c r="M19" s="2117"/>
      <c r="N19" s="2117">
        <f>ROUND(1-(2025-N18)/70*0.98,2)</f>
        <v>0.71</v>
      </c>
      <c r="O19" s="2117"/>
      <c r="P19" s="2117"/>
      <c r="Q19" s="2117"/>
      <c r="R19" s="2117"/>
      <c r="S19" s="2668" t="s">
        <v>703</v>
      </c>
      <c r="T19" s="2117">
        <f>'数据-基础表'!A3</f>
        <v>67351.83</v>
      </c>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704</v>
      </c>
      <c r="B20" s="2590">
        <v>1</v>
      </c>
      <c r="C20" s="2591" t="s">
        <v>705</v>
      </c>
      <c r="D20" s="2585"/>
      <c r="E20" s="2584"/>
      <c r="F20" s="2584"/>
      <c r="G20" s="2584"/>
      <c r="H20" s="2584"/>
      <c r="I20" s="2584"/>
      <c r="J20" s="2584"/>
      <c r="K20" s="2667"/>
      <c r="L20" s="2667"/>
      <c r="M20" s="2117"/>
      <c r="N20" s="2117"/>
      <c r="O20" s="2117"/>
      <c r="P20" s="2117"/>
      <c r="Q20" s="2117"/>
      <c r="R20" s="2117"/>
      <c r="S20" s="2117"/>
      <c r="T20" s="2117">
        <f>ROUND(T19-T18/2,2)</f>
        <v>60976.91</v>
      </c>
      <c r="U20" s="2117">
        <v>0.1</v>
      </c>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706</v>
      </c>
      <c r="B21" s="2590">
        <v>1</v>
      </c>
      <c r="C21" s="2584"/>
      <c r="D21" s="2585"/>
      <c r="E21" s="2584"/>
      <c r="F21" s="2584"/>
      <c r="G21" s="2584"/>
      <c r="H21" s="2584"/>
      <c r="I21" s="2584"/>
      <c r="J21" s="2584"/>
      <c r="K21" s="2667"/>
      <c r="L21" s="2667"/>
      <c r="M21" s="2117"/>
      <c r="N21" s="2117"/>
      <c r="O21" s="2117"/>
      <c r="P21" s="2117"/>
      <c r="Q21" s="2117"/>
      <c r="R21" s="2117"/>
      <c r="S21" s="2117"/>
      <c r="T21" s="2117"/>
      <c r="U21" s="2117">
        <f>ROUND((T18*U18+T20*U20)/T18,2)</f>
        <v>1.68</v>
      </c>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707</v>
      </c>
      <c r="B22" s="2593">
        <f>B19+B20</f>
        <v>1</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708</v>
      </c>
      <c r="B23" s="2593">
        <f>B19+B21</f>
        <v>1</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709</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710</v>
      </c>
      <c r="B26" s="2596" t="s">
        <v>711</v>
      </c>
      <c r="C26" s="2597" t="s">
        <v>712</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713</v>
      </c>
      <c r="B27" s="2599">
        <v>150</v>
      </c>
      <c r="C27" s="2600" t="s">
        <v>714</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715</v>
      </c>
      <c r="B28" s="2603">
        <v>190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716</v>
      </c>
      <c r="B29" s="2606">
        <f ca="1">成本法!C10</f>
        <v>242</v>
      </c>
      <c r="C29" s="2607" t="s">
        <v>717</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718</v>
      </c>
      <c r="B30" s="2609">
        <v>150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719</v>
      </c>
      <c r="B31" s="2610">
        <f>B30-B32</f>
        <v>150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720</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721</v>
      </c>
      <c r="B33" s="2614">
        <v>0.05</v>
      </c>
      <c r="C33" s="2615" t="s">
        <v>722</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723</v>
      </c>
      <c r="B34" s="2616">
        <v>0</v>
      </c>
      <c r="C34" s="2615" t="s">
        <v>724</v>
      </c>
      <c r="D34" s="2617" t="s">
        <v>725</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726</v>
      </c>
      <c r="B35" s="2603">
        <v>150</v>
      </c>
      <c r="C35" s="2615" t="s">
        <v>727</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728</v>
      </c>
      <c r="B36" s="2618">
        <v>0.02</v>
      </c>
      <c r="C36" s="2615" t="s">
        <v>729</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730</v>
      </c>
      <c r="B37" s="2619">
        <v>0.02</v>
      </c>
      <c r="C37" s="2615" t="s">
        <v>731</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732</v>
      </c>
      <c r="B38" s="2616">
        <v>0.02</v>
      </c>
      <c r="C38" s="2615" t="s">
        <v>733</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734</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735</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736</v>
      </c>
      <c r="B41" s="2625">
        <f>B42+B43</f>
        <v>5.5E-2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737</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738</v>
      </c>
      <c r="B43" s="2629">
        <f>B42*(B44+B45+B46)+B47</f>
        <v>5.0000000000000001E-3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739</v>
      </c>
      <c r="B44" s="2631">
        <v>0.05</v>
      </c>
      <c r="C44" s="2615" t="s">
        <v>740</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741</v>
      </c>
      <c r="B45" s="2627">
        <v>0.03</v>
      </c>
      <c r="C45" s="2607" t="s">
        <v>742</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743</v>
      </c>
      <c r="B46" s="2627">
        <v>0.02</v>
      </c>
      <c r="C46" s="2607" t="s">
        <v>744</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745</v>
      </c>
      <c r="B47" s="2633"/>
      <c r="C47" s="2634" t="s">
        <v>746</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747</v>
      </c>
      <c r="B48" s="2636">
        <v>0.03</v>
      </c>
      <c r="C48" s="2607" t="s">
        <v>742</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748</v>
      </c>
      <c r="B49" s="2627">
        <v>5.0000000000000001E-4</v>
      </c>
      <c r="C49" s="2607" t="s">
        <v>749</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750</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751</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752</v>
      </c>
      <c r="B52" s="2640">
        <f>SUMIF(A54:A63,B53,B54:B63)</f>
        <v>1.5</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753</v>
      </c>
      <c r="B53" s="2641" t="s">
        <v>273</v>
      </c>
      <c r="C53" s="1176" t="s">
        <v>754</v>
      </c>
      <c r="D53" s="2642" t="s">
        <v>755</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756</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757</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758</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759</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760</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761</v>
      </c>
      <c r="B59" s="2644">
        <v>1.5</v>
      </c>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762</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763</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764</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765</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4"/>
      <c r="K69" s="983"/>
      <c r="L69" s="983"/>
    </row>
    <row r="70" spans="1:44" s="894" customFormat="1">
      <c r="A70" s="2471"/>
      <c r="D70" s="2724"/>
      <c r="K70" s="983"/>
      <c r="L70" s="983"/>
    </row>
    <row r="71" spans="1:44" s="894" customFormat="1">
      <c r="A71" s="2471"/>
      <c r="D71" s="2724"/>
      <c r="K71" s="983"/>
      <c r="L71" s="983"/>
    </row>
    <row r="72" spans="1:44" s="894" customFormat="1">
      <c r="A72" s="2471"/>
      <c r="D72" s="2724"/>
      <c r="K72" s="983"/>
      <c r="L72" s="983"/>
    </row>
    <row r="73" spans="1:44" s="894" customFormat="1">
      <c r="A73" s="2471"/>
      <c r="D73" s="2724"/>
      <c r="K73" s="983"/>
      <c r="L73" s="983"/>
    </row>
    <row r="74" spans="1:44" s="894" customFormat="1">
      <c r="A74" s="2471"/>
      <c r="D74" s="2724"/>
      <c r="K74" s="983"/>
      <c r="L74" s="983"/>
    </row>
    <row r="75" spans="1:44" s="894" customFormat="1">
      <c r="A75" s="2471"/>
      <c r="D75" s="2724"/>
      <c r="K75" s="983"/>
      <c r="L75" s="983"/>
    </row>
    <row r="76" spans="1:44" s="894" customFormat="1">
      <c r="A76" s="2471"/>
      <c r="D76" s="2724"/>
      <c r="K76" s="983"/>
      <c r="L76" s="983"/>
    </row>
    <row r="77" spans="1:44" s="894" customFormat="1">
      <c r="A77" s="2471"/>
      <c r="D77" s="2724"/>
      <c r="K77" s="983"/>
      <c r="L77" s="983"/>
    </row>
    <row r="78" spans="1:44" s="894" customFormat="1">
      <c r="A78" s="2471"/>
      <c r="D78" s="2724"/>
      <c r="K78" s="983"/>
      <c r="L78" s="983"/>
    </row>
    <row r="79" spans="1:44" s="894" customFormat="1">
      <c r="A79" s="2471"/>
      <c r="D79" s="2724"/>
      <c r="K79" s="983"/>
      <c r="L79" s="983"/>
    </row>
    <row r="80" spans="1:44" s="894" customFormat="1">
      <c r="A80" s="2471"/>
      <c r="D80" s="2724"/>
      <c r="K80" s="983"/>
      <c r="L80" s="983"/>
    </row>
    <row r="81" spans="1:12" s="894" customFormat="1">
      <c r="A81" s="2471"/>
      <c r="D81" s="2724"/>
      <c r="K81" s="983"/>
      <c r="L81" s="983"/>
    </row>
    <row r="82" spans="1:12" s="894" customFormat="1">
      <c r="A82" s="2471"/>
      <c r="D82" s="2724"/>
      <c r="K82" s="983"/>
      <c r="L82" s="983"/>
    </row>
    <row r="83" spans="1:12" s="894" customFormat="1">
      <c r="A83" s="2471"/>
      <c r="D83" s="2724"/>
      <c r="K83" s="983"/>
      <c r="L83" s="983"/>
    </row>
    <row r="84" spans="1:12" s="894" customFormat="1">
      <c r="A84" s="2471"/>
      <c r="D84" s="2724"/>
      <c r="K84" s="983"/>
      <c r="L84" s="983"/>
    </row>
    <row r="85" spans="1:12" s="894" customFormat="1">
      <c r="A85" s="2471"/>
      <c r="D85" s="2724"/>
      <c r="K85" s="983"/>
      <c r="L85" s="983"/>
    </row>
    <row r="86" spans="1:12" s="894" customFormat="1">
      <c r="A86" s="2471"/>
      <c r="D86" s="2724"/>
      <c r="K86" s="983"/>
      <c r="L86" s="983"/>
    </row>
    <row r="87" spans="1:12" s="894" customFormat="1">
      <c r="A87" s="2471"/>
      <c r="D87" s="2724"/>
      <c r="K87" s="983"/>
      <c r="L87" s="983"/>
    </row>
    <row r="88" spans="1:12" s="894" customFormat="1">
      <c r="A88" s="2471"/>
      <c r="D88" s="2724"/>
      <c r="K88" s="983"/>
      <c r="L88" s="983"/>
    </row>
    <row r="89" spans="1:12" s="894" customFormat="1">
      <c r="A89" s="2471"/>
      <c r="D89" s="2724"/>
      <c r="K89" s="983"/>
      <c r="L89" s="983"/>
    </row>
    <row r="90" spans="1:12" s="894" customFormat="1">
      <c r="A90" s="2471"/>
      <c r="D90" s="2724"/>
      <c r="K90" s="983"/>
      <c r="L90" s="983"/>
    </row>
    <row r="91" spans="1:12" s="894" customFormat="1">
      <c r="A91" s="2471"/>
      <c r="D91" s="2724"/>
      <c r="K91" s="983"/>
      <c r="L91" s="983"/>
    </row>
    <row r="92" spans="1:12" s="894" customFormat="1">
      <c r="A92" s="2471"/>
      <c r="D92" s="2724"/>
      <c r="K92" s="983"/>
      <c r="L92" s="983"/>
    </row>
    <row r="93" spans="1:12" s="894" customFormat="1">
      <c r="A93" s="2471"/>
      <c r="D93" s="2724"/>
      <c r="K93" s="983"/>
      <c r="L93" s="983"/>
    </row>
    <row r="94" spans="1:12" s="894" customFormat="1">
      <c r="A94" s="2471"/>
      <c r="D94" s="2724"/>
      <c r="K94" s="983"/>
      <c r="L94" s="983"/>
    </row>
    <row r="95" spans="1:12" s="894" customFormat="1">
      <c r="A95" s="2471"/>
      <c r="D95" s="2724"/>
      <c r="K95" s="983"/>
      <c r="L95" s="983"/>
    </row>
    <row r="96" spans="1:12" s="894" customFormat="1">
      <c r="A96" s="2471"/>
      <c r="D96" s="2724"/>
      <c r="K96" s="983"/>
      <c r="L96" s="983"/>
    </row>
    <row r="97" spans="1:12" s="894" customFormat="1">
      <c r="A97" s="2471"/>
      <c r="D97" s="2724"/>
      <c r="K97" s="983"/>
      <c r="L97" s="983"/>
    </row>
    <row r="98" spans="1:12" s="894" customFormat="1">
      <c r="A98" s="2471"/>
      <c r="D98" s="2724"/>
      <c r="K98" s="983"/>
      <c r="L98" s="983"/>
    </row>
    <row r="99" spans="1:12" s="894" customFormat="1">
      <c r="A99" s="2471"/>
      <c r="D99" s="2724"/>
      <c r="K99" s="983"/>
      <c r="L99" s="983"/>
    </row>
    <row r="100" spans="1:12" s="894" customFormat="1">
      <c r="A100" s="2471"/>
      <c r="D100" s="2724"/>
      <c r="K100" s="983"/>
      <c r="L100" s="983"/>
    </row>
    <row r="101" spans="1:12" s="894" customFormat="1">
      <c r="A101" s="2471"/>
      <c r="D101" s="2724"/>
      <c r="K101" s="983"/>
      <c r="L101" s="983"/>
    </row>
    <row r="102" spans="1:12" s="894" customFormat="1">
      <c r="A102" s="2471"/>
      <c r="D102" s="2724"/>
      <c r="K102" s="983"/>
      <c r="L102" s="983"/>
    </row>
    <row r="103" spans="1:12" s="894" customFormat="1">
      <c r="A103" s="2471"/>
      <c r="D103" s="2724"/>
      <c r="K103" s="983"/>
      <c r="L103" s="983"/>
    </row>
    <row r="104" spans="1:12" s="894" customFormat="1">
      <c r="A104" s="2471"/>
      <c r="D104" s="2724"/>
      <c r="K104" s="983"/>
      <c r="L104" s="983"/>
    </row>
    <row r="105" spans="1:12" s="894" customFormat="1">
      <c r="A105" s="2471"/>
      <c r="D105" s="2724"/>
      <c r="K105" s="983"/>
      <c r="L105" s="983"/>
    </row>
    <row r="106" spans="1:12" s="894" customFormat="1">
      <c r="A106" s="2471"/>
      <c r="D106" s="2724"/>
      <c r="K106" s="983"/>
      <c r="L106" s="983"/>
    </row>
    <row r="107" spans="1:12" s="894" customFormat="1">
      <c r="A107" s="2471"/>
      <c r="D107" s="2724"/>
      <c r="K107" s="983"/>
      <c r="L107" s="983"/>
    </row>
    <row r="108" spans="1:12" s="894" customFormat="1">
      <c r="A108" s="2471"/>
      <c r="D108" s="2724"/>
      <c r="K108" s="983"/>
      <c r="L108" s="983"/>
    </row>
    <row r="109" spans="1:12" s="894" customFormat="1">
      <c r="A109" s="2471"/>
      <c r="D109" s="2724"/>
      <c r="K109" s="983"/>
      <c r="L109" s="983"/>
    </row>
    <row r="110" spans="1:12" s="894" customFormat="1">
      <c r="A110" s="2471"/>
      <c r="D110" s="2724"/>
      <c r="K110" s="983"/>
      <c r="L110" s="983"/>
    </row>
    <row r="111" spans="1:12" s="894" customFormat="1">
      <c r="A111" s="2471"/>
      <c r="D111" s="2724"/>
      <c r="K111" s="983"/>
      <c r="L111" s="983"/>
    </row>
    <row r="112" spans="1:12" s="894" customFormat="1">
      <c r="A112" s="2471"/>
      <c r="D112" s="2724"/>
      <c r="K112" s="983"/>
      <c r="L112" s="983"/>
    </row>
    <row r="113" spans="1:12" s="894" customFormat="1">
      <c r="A113" s="2471"/>
      <c r="D113" s="2724"/>
      <c r="K113" s="983"/>
      <c r="L113" s="983"/>
    </row>
    <row r="114" spans="1:12" s="894" customFormat="1">
      <c r="A114" s="2471"/>
      <c r="D114" s="2724"/>
      <c r="K114" s="983"/>
      <c r="L114" s="983"/>
    </row>
    <row r="115" spans="1:12" s="894" customFormat="1">
      <c r="A115" s="2471"/>
      <c r="D115" s="2724"/>
      <c r="K115" s="983"/>
      <c r="L115" s="983"/>
    </row>
    <row r="116" spans="1:12" s="894" customFormat="1">
      <c r="A116" s="2471"/>
      <c r="D116" s="2724"/>
      <c r="K116" s="983"/>
      <c r="L116" s="983"/>
    </row>
    <row r="117" spans="1:12" s="894" customFormat="1">
      <c r="A117" s="2471"/>
      <c r="D117" s="2724"/>
      <c r="K117" s="983"/>
      <c r="L117" s="983"/>
    </row>
    <row r="118" spans="1:12" s="894" customFormat="1">
      <c r="A118" s="2471"/>
      <c r="D118" s="2724"/>
      <c r="K118" s="983"/>
      <c r="L118" s="983"/>
    </row>
    <row r="119" spans="1:12" s="894" customFormat="1">
      <c r="A119" s="2471"/>
      <c r="D119" s="2724"/>
      <c r="K119" s="983"/>
      <c r="L119" s="983"/>
    </row>
    <row r="120" spans="1:12" s="894" customFormat="1">
      <c r="A120" s="2471"/>
      <c r="D120" s="2724"/>
      <c r="K120" s="983"/>
      <c r="L120" s="983"/>
    </row>
    <row r="121" spans="1:12" s="894" customFormat="1">
      <c r="A121" s="2471"/>
      <c r="D121" s="2724"/>
      <c r="K121" s="983"/>
      <c r="L121" s="983"/>
    </row>
    <row r="122" spans="1:12" s="894" customFormat="1">
      <c r="A122" s="2471"/>
      <c r="D122" s="2724"/>
      <c r="K122" s="983"/>
      <c r="L122" s="983"/>
    </row>
    <row r="123" spans="1:12" s="894" customFormat="1">
      <c r="A123" s="2471"/>
      <c r="D123" s="2724"/>
      <c r="K123" s="983"/>
      <c r="L123" s="983"/>
    </row>
    <row r="124" spans="1:12" s="894" customFormat="1">
      <c r="A124" s="2471"/>
      <c r="D124" s="2724"/>
      <c r="K124" s="983"/>
      <c r="L124" s="983"/>
    </row>
    <row r="125" spans="1:12" s="894" customFormat="1">
      <c r="A125" s="2471"/>
      <c r="D125" s="2724"/>
      <c r="K125" s="983"/>
      <c r="L125" s="983"/>
    </row>
    <row r="126" spans="1:12" s="894" customFormat="1">
      <c r="A126" s="2471"/>
      <c r="D126" s="2724"/>
      <c r="K126" s="983"/>
      <c r="L126" s="983"/>
    </row>
    <row r="127" spans="1:12" s="894" customFormat="1">
      <c r="A127" s="2471"/>
      <c r="D127" s="2724"/>
      <c r="K127" s="983"/>
      <c r="L127" s="983"/>
    </row>
    <row r="128" spans="1:12" s="894" customFormat="1">
      <c r="A128" s="2471"/>
      <c r="D128" s="2724"/>
      <c r="K128" s="983"/>
      <c r="L128" s="983"/>
    </row>
    <row r="129" spans="1:12" s="894" customFormat="1">
      <c r="A129" s="2471"/>
      <c r="D129" s="2724"/>
      <c r="K129" s="983"/>
      <c r="L129" s="983"/>
    </row>
    <row r="130" spans="1:12" s="894" customFormat="1">
      <c r="A130" s="2471"/>
      <c r="D130" s="2724"/>
      <c r="K130" s="983"/>
      <c r="L130" s="983"/>
    </row>
    <row r="131" spans="1:12" s="894" customFormat="1">
      <c r="A131" s="2471"/>
      <c r="D131" s="2724"/>
      <c r="K131" s="983"/>
      <c r="L131" s="983"/>
    </row>
    <row r="132" spans="1:12" s="894" customFormat="1">
      <c r="A132" s="2471"/>
      <c r="D132" s="2724"/>
      <c r="K132" s="983"/>
      <c r="L132" s="983"/>
    </row>
    <row r="133" spans="1:12" s="894" customFormat="1">
      <c r="A133" s="2471"/>
      <c r="D133" s="2724"/>
      <c r="K133" s="983"/>
      <c r="L133" s="983"/>
    </row>
    <row r="134" spans="1:12" s="893" customFormat="1">
      <c r="A134" s="2725"/>
      <c r="D134" s="2726"/>
      <c r="K134" s="890"/>
      <c r="L134" s="890"/>
    </row>
    <row r="135" spans="1:12" s="893" customFormat="1">
      <c r="A135" s="2725"/>
      <c r="D135" s="2726"/>
      <c r="K135" s="890"/>
      <c r="L135" s="890"/>
    </row>
    <row r="136" spans="1:12" s="893" customFormat="1">
      <c r="A136" s="2725"/>
      <c r="D136" s="2726"/>
      <c r="K136" s="890"/>
      <c r="L136" s="890"/>
    </row>
    <row r="137" spans="1:12" s="893" customFormat="1">
      <c r="A137" s="2725"/>
      <c r="D137" s="2726"/>
      <c r="K137" s="890"/>
      <c r="L137" s="890"/>
    </row>
    <row r="138" spans="1:12" s="893" customFormat="1">
      <c r="A138" s="2725"/>
      <c r="D138" s="2726"/>
      <c r="K138" s="890"/>
      <c r="L138" s="890"/>
    </row>
    <row r="139" spans="1:12" s="893" customFormat="1">
      <c r="A139" s="2725"/>
      <c r="D139" s="2726"/>
      <c r="K139" s="890"/>
      <c r="L139" s="890"/>
    </row>
    <row r="140" spans="1:12" s="893" customFormat="1">
      <c r="A140" s="2725"/>
      <c r="D140" s="2726"/>
      <c r="K140" s="890"/>
      <c r="L140" s="890"/>
    </row>
    <row r="141" spans="1:12" s="893" customFormat="1">
      <c r="A141" s="2725"/>
      <c r="D141" s="2726"/>
      <c r="K141" s="890"/>
      <c r="L141" s="890"/>
    </row>
    <row r="142" spans="1:12" s="893" customFormat="1">
      <c r="A142" s="2725"/>
      <c r="D142" s="2726"/>
      <c r="K142" s="890"/>
      <c r="L142" s="890"/>
    </row>
    <row r="143" spans="1:12" s="893" customFormat="1">
      <c r="A143" s="2725"/>
      <c r="D143" s="2726"/>
      <c r="K143" s="890"/>
      <c r="L143" s="890"/>
    </row>
    <row r="144" spans="1:12" s="893" customFormat="1">
      <c r="A144" s="2725"/>
      <c r="D144" s="2726"/>
      <c r="K144" s="890"/>
      <c r="L144" s="890"/>
    </row>
    <row r="145" spans="1:12" s="893" customFormat="1">
      <c r="A145" s="2725"/>
      <c r="D145" s="2726"/>
      <c r="K145" s="890"/>
      <c r="L145" s="890"/>
    </row>
    <row r="146" spans="1:12" s="893" customFormat="1">
      <c r="A146" s="2725"/>
      <c r="D146" s="2726"/>
      <c r="K146" s="890"/>
      <c r="L146" s="890"/>
    </row>
    <row r="147" spans="1:12" s="893" customFormat="1">
      <c r="A147" s="2725"/>
      <c r="D147" s="2726"/>
      <c r="K147" s="890"/>
      <c r="L147" s="890"/>
    </row>
    <row r="148" spans="1:12" s="893" customFormat="1">
      <c r="A148" s="2725"/>
      <c r="D148" s="2726"/>
      <c r="K148" s="890"/>
      <c r="L148" s="890"/>
    </row>
    <row r="149" spans="1:12" s="893" customFormat="1">
      <c r="A149" s="2725"/>
      <c r="D149" s="2726"/>
      <c r="K149" s="890"/>
      <c r="L149" s="890"/>
    </row>
    <row r="150" spans="1:12" s="893" customFormat="1">
      <c r="A150" s="2725"/>
      <c r="D150" s="2726"/>
      <c r="K150" s="890"/>
      <c r="L150" s="890"/>
    </row>
    <row r="151" spans="1:12" s="893" customFormat="1">
      <c r="A151" s="2725"/>
      <c r="D151" s="2726"/>
      <c r="K151" s="890"/>
      <c r="L151" s="890"/>
    </row>
    <row r="152" spans="1:12" s="893" customFormat="1">
      <c r="A152" s="2725"/>
      <c r="D152" s="2726"/>
      <c r="K152" s="890"/>
      <c r="L152" s="890"/>
    </row>
    <row r="153" spans="1:12" s="893" customFormat="1">
      <c r="A153" s="2725"/>
      <c r="D153" s="2726"/>
      <c r="K153" s="890"/>
      <c r="L153" s="890"/>
    </row>
    <row r="154" spans="1:12" s="893" customFormat="1">
      <c r="A154" s="2725"/>
      <c r="D154" s="2726"/>
      <c r="K154" s="890"/>
      <c r="L154" s="890"/>
    </row>
    <row r="155" spans="1:12" s="893" customFormat="1">
      <c r="A155" s="2725"/>
      <c r="D155" s="2726"/>
      <c r="K155" s="890"/>
      <c r="L155" s="890"/>
    </row>
    <row r="156" spans="1:12" s="893" customFormat="1">
      <c r="A156" s="2725"/>
      <c r="D156" s="2726"/>
      <c r="K156" s="890"/>
      <c r="L156" s="890"/>
    </row>
    <row r="157" spans="1:12" s="893" customFormat="1">
      <c r="A157" s="2725"/>
      <c r="D157" s="2726"/>
      <c r="K157" s="890"/>
      <c r="L157" s="890"/>
    </row>
    <row r="158" spans="1:12" s="893" customFormat="1">
      <c r="A158" s="2725"/>
      <c r="D158" s="2726"/>
      <c r="K158" s="890"/>
      <c r="L158" s="890"/>
    </row>
    <row r="159" spans="1:12" s="893" customFormat="1">
      <c r="A159" s="2725"/>
      <c r="D159" s="2726"/>
      <c r="K159" s="890"/>
      <c r="L159" s="890"/>
    </row>
    <row r="160" spans="1:12" s="893" customFormat="1">
      <c r="A160" s="2725"/>
      <c r="D160" s="2726"/>
      <c r="K160" s="890"/>
      <c r="L160" s="890"/>
    </row>
    <row r="161" spans="1:12" s="893" customFormat="1">
      <c r="A161" s="2725"/>
      <c r="D161" s="2726"/>
      <c r="K161" s="890"/>
      <c r="L161" s="890"/>
    </row>
    <row r="162" spans="1:12" s="893" customFormat="1">
      <c r="A162" s="2725"/>
      <c r="D162" s="2726"/>
      <c r="K162" s="890"/>
      <c r="L162" s="890"/>
    </row>
    <row r="163" spans="1:12" s="893" customFormat="1">
      <c r="A163" s="2725"/>
      <c r="D163" s="2726"/>
      <c r="K163" s="890"/>
      <c r="L163" s="890"/>
    </row>
    <row r="164" spans="1:12" s="893" customFormat="1">
      <c r="A164" s="2725"/>
      <c r="D164" s="2726"/>
      <c r="K164" s="890"/>
      <c r="L164" s="890"/>
    </row>
    <row r="165" spans="1:12" s="893" customFormat="1">
      <c r="A165" s="2725"/>
      <c r="D165" s="2726"/>
      <c r="K165" s="890"/>
      <c r="L165" s="890"/>
    </row>
    <row r="166" spans="1:12" s="893" customFormat="1">
      <c r="A166" s="2725"/>
      <c r="D166" s="2726"/>
      <c r="K166" s="890"/>
      <c r="L166" s="890"/>
    </row>
    <row r="167" spans="1:12" s="893" customFormat="1">
      <c r="A167" s="2725"/>
      <c r="D167" s="2726"/>
      <c r="K167" s="890"/>
      <c r="L167" s="890"/>
    </row>
    <row r="168" spans="1:12" s="893" customFormat="1">
      <c r="A168" s="2725"/>
      <c r="D168" s="2726"/>
      <c r="K168" s="890"/>
      <c r="L168" s="890"/>
    </row>
    <row r="169" spans="1:12" s="893" customFormat="1">
      <c r="A169" s="2725"/>
      <c r="D169" s="2726"/>
      <c r="K169" s="890"/>
      <c r="L169" s="890"/>
    </row>
    <row r="170" spans="1:12" s="893" customFormat="1">
      <c r="A170" s="2725"/>
      <c r="D170" s="2726"/>
      <c r="K170" s="890"/>
      <c r="L170" s="890"/>
    </row>
    <row r="171" spans="1:12" s="893" customFormat="1">
      <c r="A171" s="2725"/>
      <c r="D171" s="2726"/>
      <c r="K171" s="890"/>
      <c r="L171" s="890"/>
    </row>
    <row r="172" spans="1:12" s="893" customFormat="1">
      <c r="A172" s="2725"/>
      <c r="D172" s="2726"/>
      <c r="K172" s="890"/>
      <c r="L172" s="890"/>
    </row>
    <row r="173" spans="1:12" s="893" customFormat="1">
      <c r="A173" s="2725"/>
      <c r="D173" s="2726"/>
      <c r="K173" s="890"/>
      <c r="L173" s="890"/>
    </row>
    <row r="174" spans="1:12" s="893" customFormat="1">
      <c r="A174" s="2725"/>
      <c r="D174" s="2726"/>
      <c r="K174" s="890"/>
      <c r="L174" s="890"/>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54" t="s">
        <v>766</v>
      </c>
      <c r="B1" s="3255"/>
      <c r="C1" s="3255"/>
      <c r="D1" s="3255"/>
      <c r="E1" s="3255"/>
      <c r="F1" s="3255"/>
      <c r="G1" s="3255"/>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767</v>
      </c>
      <c r="D2" s="2497"/>
      <c r="E2" s="2494"/>
      <c r="F2" s="2498"/>
      <c r="G2" s="2496" t="s">
        <v>768</v>
      </c>
      <c r="H2" s="2106"/>
      <c r="I2" s="2106"/>
      <c r="J2" s="2106"/>
      <c r="K2" s="2106"/>
      <c r="L2" s="2106"/>
      <c r="M2" s="2106"/>
      <c r="N2" s="2106"/>
      <c r="O2" s="2106"/>
      <c r="P2" s="2106"/>
      <c r="Q2" s="2106"/>
    </row>
    <row r="3" spans="1:29" ht="48">
      <c r="A3" s="2499" t="s">
        <v>769</v>
      </c>
      <c r="B3" s="2500" t="s">
        <v>770</v>
      </c>
      <c r="C3" s="2501" t="s">
        <v>771</v>
      </c>
      <c r="D3" s="2502"/>
      <c r="E3" s="2503" t="s">
        <v>769</v>
      </c>
      <c r="F3" s="2504" t="s">
        <v>772</v>
      </c>
      <c r="G3" s="2505" t="s">
        <v>773</v>
      </c>
      <c r="H3" s="2106"/>
      <c r="I3" s="2106"/>
      <c r="J3" s="2106"/>
      <c r="K3" s="2106"/>
      <c r="L3" s="2106"/>
      <c r="M3" s="2106"/>
      <c r="N3" s="2106"/>
      <c r="O3" s="2106"/>
      <c r="P3" s="2106"/>
      <c r="Q3" s="2106"/>
    </row>
    <row r="4" spans="1:29" ht="36.75">
      <c r="A4" s="2503"/>
      <c r="B4" s="1897" t="s">
        <v>774</v>
      </c>
      <c r="C4" s="2506" t="s">
        <v>775</v>
      </c>
      <c r="D4" s="2502"/>
      <c r="E4" s="2507"/>
      <c r="F4" s="2101" t="s">
        <v>776</v>
      </c>
      <c r="G4" s="2508" t="s">
        <v>777</v>
      </c>
      <c r="H4" s="2106"/>
      <c r="I4" s="2106"/>
      <c r="J4" s="2106"/>
      <c r="K4" s="2106"/>
      <c r="L4" s="2106"/>
      <c r="M4" s="2106"/>
      <c r="N4" s="2106"/>
      <c r="O4" s="2106"/>
      <c r="P4" s="2106"/>
      <c r="Q4" s="2106"/>
    </row>
    <row r="5" spans="1:29" ht="36.75">
      <c r="A5" s="2503"/>
      <c r="B5" s="1897" t="s">
        <v>778</v>
      </c>
      <c r="C5" s="2506" t="s">
        <v>779</v>
      </c>
      <c r="D5" s="2502"/>
      <c r="E5" s="2507"/>
      <c r="F5" s="1897" t="s">
        <v>559</v>
      </c>
      <c r="G5" s="2508" t="s">
        <v>780</v>
      </c>
      <c r="H5" s="2106"/>
      <c r="I5" s="2106"/>
      <c r="J5" s="2106"/>
      <c r="K5" s="2106"/>
      <c r="L5" s="2106"/>
      <c r="M5" s="2106"/>
      <c r="N5" s="2106"/>
      <c r="O5" s="2106"/>
      <c r="P5" s="2106"/>
      <c r="Q5" s="2106"/>
    </row>
    <row r="6" spans="1:29" ht="36">
      <c r="A6" s="2503"/>
      <c r="B6" s="1897" t="s">
        <v>776</v>
      </c>
      <c r="C6" s="2508" t="s">
        <v>777</v>
      </c>
      <c r="D6" s="2502"/>
      <c r="E6" s="2507"/>
      <c r="F6" s="1897" t="s">
        <v>781</v>
      </c>
      <c r="G6" s="2508" t="s">
        <v>782</v>
      </c>
      <c r="H6" s="2106"/>
      <c r="I6" s="2106"/>
      <c r="J6" s="2106"/>
      <c r="K6" s="2106"/>
      <c r="L6" s="2106"/>
      <c r="M6" s="2106"/>
      <c r="N6" s="2106"/>
      <c r="O6" s="2106"/>
      <c r="P6" s="2106"/>
      <c r="Q6" s="2106"/>
    </row>
    <row r="7" spans="1:29" ht="24">
      <c r="A7" s="2503"/>
      <c r="B7" s="1897" t="s">
        <v>559</v>
      </c>
      <c r="C7" s="2508" t="s">
        <v>780</v>
      </c>
      <c r="D7" s="2509"/>
      <c r="E7" s="2510"/>
      <c r="F7" s="2511" t="s">
        <v>783</v>
      </c>
      <c r="G7" s="2512" t="s">
        <v>784</v>
      </c>
      <c r="H7" s="2106"/>
      <c r="I7" s="2106"/>
      <c r="J7" s="2106"/>
      <c r="K7" s="2106"/>
      <c r="L7" s="2106"/>
      <c r="M7" s="2106"/>
      <c r="N7" s="2106"/>
      <c r="O7" s="2106"/>
      <c r="P7" s="2106"/>
      <c r="Q7" s="2106"/>
    </row>
    <row r="8" spans="1:29">
      <c r="A8" s="2503"/>
      <c r="B8" s="1897" t="s">
        <v>781</v>
      </c>
      <c r="C8" s="2508" t="s">
        <v>782</v>
      </c>
      <c r="D8" s="2509"/>
      <c r="E8" s="2509"/>
      <c r="F8" s="935"/>
      <c r="G8" s="935"/>
      <c r="H8" s="2106"/>
      <c r="I8" s="2106"/>
      <c r="J8" s="2106"/>
      <c r="K8" s="2106"/>
      <c r="L8" s="2106"/>
      <c r="M8" s="2106"/>
      <c r="N8" s="2106"/>
      <c r="O8" s="2106"/>
      <c r="P8" s="2106"/>
      <c r="Q8" s="2106"/>
    </row>
    <row r="9" spans="1:29" ht="24">
      <c r="A9" s="2503"/>
      <c r="B9" s="1897" t="s">
        <v>785</v>
      </c>
      <c r="C9" s="2506" t="s">
        <v>786</v>
      </c>
      <c r="D9" s="2502"/>
      <c r="E9" s="2509"/>
      <c r="F9" s="935"/>
      <c r="G9" s="935"/>
      <c r="H9" s="2106"/>
      <c r="I9" s="2106"/>
      <c r="J9" s="2106"/>
      <c r="K9" s="2106"/>
      <c r="L9" s="2106"/>
      <c r="M9" s="2106"/>
      <c r="N9" s="2106"/>
      <c r="O9" s="2106"/>
      <c r="P9" s="2106"/>
      <c r="Q9" s="2106"/>
    </row>
    <row r="10" spans="1:29">
      <c r="A10" s="2513"/>
      <c r="B10" s="2514" t="s">
        <v>787</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788</v>
      </c>
      <c r="B13" s="2517"/>
      <c r="C13" s="2517"/>
      <c r="D13" s="2516"/>
      <c r="E13" s="2517"/>
      <c r="F13" s="2517"/>
      <c r="G13" s="2517"/>
    </row>
    <row r="14" spans="1:29">
      <c r="A14" s="2520"/>
      <c r="B14" s="2520"/>
      <c r="C14" s="2521" t="s">
        <v>767</v>
      </c>
      <c r="D14" s="2502"/>
      <c r="E14" s="2522"/>
      <c r="F14" s="2522"/>
      <c r="G14" s="2496" t="s">
        <v>768</v>
      </c>
    </row>
    <row r="15" spans="1:29" ht="51">
      <c r="A15" s="2523" t="s">
        <v>769</v>
      </c>
      <c r="B15" s="2524" t="s">
        <v>770</v>
      </c>
      <c r="C15" s="2525" t="str">
        <f>C3</f>
        <v>估价对象周边居住用地比例、居住小区规模和社区发展完善程度，综合评价居住社区成熟度一般</v>
      </c>
      <c r="D15" s="2502"/>
      <c r="E15" s="2526" t="s">
        <v>769</v>
      </c>
      <c r="F15" s="2524" t="s">
        <v>772</v>
      </c>
      <c r="G15" s="2527" t="str">
        <f>G3</f>
        <v>估价对象位于XX开发区，园区建设成熟度XX，产业集聚程度XX</v>
      </c>
    </row>
    <row r="16" spans="1:29" ht="38.25">
      <c r="A16" s="2528"/>
      <c r="B16" s="2529" t="s">
        <v>774</v>
      </c>
      <c r="C16" s="2530" t="str">
        <f>C4</f>
        <v>估价对象位于XX商圈，周边商业氛围成熟，人流量大，商业繁华度好</v>
      </c>
      <c r="D16" s="2502"/>
      <c r="E16" s="2531"/>
      <c r="F16" s="2532" t="s">
        <v>776</v>
      </c>
      <c r="G16" s="2533" t="str">
        <f>G4</f>
        <v>估价对象周边道路状况、公共交通通达情况、停车便捷程度，综合评价交通便捷度较好</v>
      </c>
    </row>
    <row r="17" spans="1:17" ht="38.25">
      <c r="A17" s="2528"/>
      <c r="B17" s="2529" t="s">
        <v>778</v>
      </c>
      <c r="C17" s="2530" t="str">
        <f>C5</f>
        <v>估价对象位于XX商圈，周边办公楼项目较多，入驻率高，办公集聚程度较好</v>
      </c>
      <c r="D17" s="2509"/>
      <c r="E17" s="2531"/>
      <c r="F17" s="2532" t="s">
        <v>789</v>
      </c>
      <c r="G17" s="2534"/>
    </row>
    <row r="18" spans="1:17" ht="38.25">
      <c r="A18" s="2528"/>
      <c r="B18" s="2532" t="s">
        <v>776</v>
      </c>
      <c r="C18" s="2533" t="str">
        <f>C6</f>
        <v>估价对象周边道路状况、公共交通通达情况、停车便捷程度，综合评价交通便捷度较好</v>
      </c>
      <c r="D18" s="2509"/>
      <c r="E18" s="2531"/>
      <c r="F18" s="2532" t="s">
        <v>783</v>
      </c>
      <c r="G18" s="2533" t="str">
        <f>G7</f>
        <v>该园区内是否有污染型企业，绿化情况，卫生条件，整体环境状况判断</v>
      </c>
    </row>
    <row r="19" spans="1:17" ht="25.5">
      <c r="A19" s="2528"/>
      <c r="B19" s="2532" t="s">
        <v>789</v>
      </c>
      <c r="C19" s="2534"/>
      <c r="D19" s="2502"/>
      <c r="E19" s="2531"/>
      <c r="F19" s="1897" t="s">
        <v>559</v>
      </c>
      <c r="G19" s="2533" t="str">
        <f>G5</f>
        <v>估价对象所在区域公共配套设施齐备情况</v>
      </c>
    </row>
    <row r="20" spans="1:17" ht="25.5">
      <c r="A20" s="2528"/>
      <c r="B20" s="2532" t="s">
        <v>790</v>
      </c>
      <c r="C20" s="2530" t="str">
        <f>C9</f>
        <v>区域自然环境：；人文环境；综合评价环境状况一般</v>
      </c>
      <c r="D20" s="2509"/>
      <c r="E20" s="2531"/>
      <c r="F20" s="1897" t="s">
        <v>781</v>
      </c>
      <c r="G20" s="2533" t="str">
        <f>G6</f>
        <v>估价对象所在区域基础设施水平</v>
      </c>
    </row>
    <row r="21" spans="1:17" ht="25.5">
      <c r="A21" s="2528"/>
      <c r="B21" s="1897" t="s">
        <v>559</v>
      </c>
      <c r="C21" s="2533" t="str">
        <f>C7</f>
        <v>估价对象所在区域公共配套设施齐备情况</v>
      </c>
      <c r="D21" s="2502"/>
      <c r="E21" s="2531"/>
      <c r="F21" s="2532" t="s">
        <v>791</v>
      </c>
      <c r="G21" s="2535"/>
    </row>
    <row r="22" spans="1:17" ht="13.5" customHeight="1">
      <c r="A22" s="2528"/>
      <c r="B22" s="1897" t="s">
        <v>781</v>
      </c>
      <c r="C22" s="2533" t="str">
        <f>C8</f>
        <v>估价对象所在区域基础设施水平</v>
      </c>
      <c r="D22" s="2502"/>
      <c r="E22" s="2531"/>
      <c r="F22" s="2532" t="s">
        <v>787</v>
      </c>
      <c r="G22" s="2534"/>
    </row>
    <row r="23" spans="1:17" s="2106" customFormat="1">
      <c r="A23" s="2528"/>
      <c r="B23" s="2532" t="s">
        <v>791</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787</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476" customWidth="1"/>
    <col min="2" max="9" width="15.75" style="2476" customWidth="1"/>
    <col min="10" max="16384" width="9" style="2476"/>
  </cols>
  <sheetData>
    <row r="1" spans="1:11" ht="16.5">
      <c r="A1" s="2477" t="s">
        <v>792</v>
      </c>
      <c r="B1" s="2477">
        <f>SUM(B14:B23)</f>
        <v>12749.85</v>
      </c>
      <c r="C1" s="2478"/>
      <c r="D1" s="2478"/>
      <c r="E1" s="2478"/>
      <c r="F1" s="2478"/>
      <c r="G1" s="2479"/>
      <c r="H1" s="2479"/>
      <c r="I1" s="2479"/>
      <c r="J1" s="2479"/>
      <c r="K1" s="2479"/>
    </row>
    <row r="2" spans="1:11" ht="16.5">
      <c r="A2" s="2477" t="s">
        <v>793</v>
      </c>
      <c r="B2" s="2477">
        <f>SUM(C14:C23)</f>
        <v>67351.83</v>
      </c>
      <c r="C2" s="2478"/>
      <c r="D2" s="2478"/>
      <c r="E2" s="2478"/>
      <c r="F2" s="2478"/>
      <c r="G2" s="2479"/>
      <c r="H2" s="2479"/>
      <c r="I2" s="2479"/>
      <c r="J2" s="2479"/>
      <c r="K2" s="2479"/>
    </row>
    <row r="3" spans="1:11" ht="16.5">
      <c r="A3" s="2477" t="s">
        <v>794</v>
      </c>
      <c r="B3" s="2480">
        <f>项目基本情况!D3</f>
        <v>45791</v>
      </c>
      <c r="C3" s="2478"/>
      <c r="D3" s="2478"/>
      <c r="E3" s="2478"/>
      <c r="F3" s="2478"/>
      <c r="G3" s="2479"/>
      <c r="H3" s="2479"/>
      <c r="I3" s="2479"/>
      <c r="J3" s="2479"/>
      <c r="K3" s="2479"/>
    </row>
    <row r="4" spans="1:11" ht="33">
      <c r="A4" s="2477" t="s">
        <v>795</v>
      </c>
      <c r="B4" s="2477" t="s">
        <v>796</v>
      </c>
      <c r="C4" s="2477" t="s">
        <v>797</v>
      </c>
      <c r="D4" s="2477" t="s">
        <v>798</v>
      </c>
      <c r="E4" s="2478"/>
      <c r="F4" s="2479"/>
      <c r="G4" s="2479"/>
      <c r="H4" s="2479"/>
      <c r="I4" s="2479"/>
      <c r="J4" s="2479"/>
      <c r="K4" s="2479"/>
    </row>
    <row r="5" spans="1:11" ht="16.5">
      <c r="A5" s="2477" t="s">
        <v>799</v>
      </c>
      <c r="B5" s="2477">
        <f ca="1">SUM(D14:D23)</f>
        <v>14031</v>
      </c>
      <c r="C5" s="2477">
        <f ca="1">IF(B5=D14,结果表!H102,ROUND(B5*10000/$B$1,0))</f>
        <v>11005</v>
      </c>
      <c r="D5" s="2477">
        <f ca="1">ROUND(B5*10000/$B$2,0)</f>
        <v>2083</v>
      </c>
      <c r="E5" s="2478"/>
      <c r="F5" s="2479"/>
      <c r="G5" s="2479"/>
      <c r="H5" s="2479"/>
      <c r="I5" s="2479"/>
      <c r="J5" s="2479"/>
      <c r="K5" s="2479"/>
    </row>
    <row r="6" spans="1:11" ht="16.5">
      <c r="A6" s="2477" t="s">
        <v>800</v>
      </c>
      <c r="B6" s="2477">
        <f ca="1">SUM(G14:G23)</f>
        <v>14031</v>
      </c>
      <c r="C6" s="2477">
        <f ca="1">IF(B6=G14,结果表!H108,ROUND(B6*10000/$B$1,0))</f>
        <v>11005</v>
      </c>
      <c r="D6" s="2477">
        <f ca="1">ROUND(B6*10000/$B$2,0)</f>
        <v>2083</v>
      </c>
      <c r="E6" s="2478"/>
      <c r="F6" s="2479"/>
      <c r="G6" s="2479"/>
      <c r="H6" s="2479"/>
      <c r="I6" s="2479"/>
      <c r="J6" s="2479"/>
      <c r="K6" s="2479"/>
    </row>
    <row r="7" spans="1:11" ht="16.5">
      <c r="A7" s="2477" t="s">
        <v>801</v>
      </c>
      <c r="B7" s="2477">
        <f>SUM(H14:H23)</f>
        <v>0</v>
      </c>
      <c r="C7" s="2477" t="str">
        <f>IF(B7=H14,结果表!H110,ROUND(B7*10000/$B$1,0))</f>
        <v>——</v>
      </c>
      <c r="D7" s="2477">
        <f>ROUND(B7*10000/$B$2,0)</f>
        <v>0</v>
      </c>
      <c r="E7" s="2478"/>
      <c r="F7" s="2479"/>
      <c r="G7" s="2479"/>
      <c r="H7" s="2479"/>
      <c r="I7" s="2479"/>
      <c r="J7" s="2479"/>
      <c r="K7" s="2479"/>
    </row>
    <row r="8" spans="1:11" ht="16.5">
      <c r="A8" s="2477" t="s">
        <v>336</v>
      </c>
      <c r="B8" s="2477">
        <f>SUM(I14:I23)</f>
        <v>0</v>
      </c>
      <c r="C8" s="2477" t="str">
        <f>IF(B8=I14,结果表!H112,ROUND(B8*10000/$B$1,0))</f>
        <v>——</v>
      </c>
      <c r="D8" s="2477">
        <f>ROUND(B8*10000/$B$2,0)</f>
        <v>0</v>
      </c>
      <c r="E8" s="2478"/>
      <c r="F8" s="2479"/>
      <c r="G8" s="2479"/>
      <c r="H8" s="2479"/>
      <c r="I8" s="2479"/>
      <c r="J8" s="2479"/>
      <c r="K8" s="2479"/>
    </row>
    <row r="9" spans="1:11" ht="16.5">
      <c r="A9" s="2477" t="s">
        <v>802</v>
      </c>
      <c r="B9" s="2481"/>
      <c r="C9" s="2478"/>
      <c r="D9" s="2478"/>
      <c r="E9" s="2478"/>
      <c r="F9" s="2479"/>
      <c r="G9" s="2479"/>
      <c r="H9" s="2479"/>
      <c r="I9" s="2479"/>
      <c r="J9" s="2479"/>
      <c r="K9" s="2479"/>
    </row>
    <row r="10" spans="1:11" ht="16.5">
      <c r="A10" s="2477" t="s">
        <v>803</v>
      </c>
      <c r="B10" s="2477">
        <f>IF(E10="",0,ROUND(B1*(E10*365/G10)/10000,0))</f>
        <v>0</v>
      </c>
      <c r="C10" s="2477" t="s">
        <v>804</v>
      </c>
      <c r="D10" s="2477" t="s">
        <v>803</v>
      </c>
      <c r="E10" s="2482"/>
      <c r="F10" s="2483" t="s">
        <v>805</v>
      </c>
      <c r="G10" s="2484"/>
      <c r="H10" s="2479"/>
      <c r="I10" s="2479"/>
      <c r="J10" s="2479"/>
      <c r="K10" s="2479"/>
    </row>
    <row r="11" spans="1:11" ht="16.5">
      <c r="A11" s="2477" t="s">
        <v>806</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807</v>
      </c>
      <c r="B13" s="2486" t="s">
        <v>792</v>
      </c>
      <c r="C13" s="2486" t="s">
        <v>793</v>
      </c>
      <c r="D13" s="2486" t="s">
        <v>808</v>
      </c>
      <c r="E13" s="2477" t="s">
        <v>797</v>
      </c>
      <c r="F13" s="2477" t="s">
        <v>798</v>
      </c>
      <c r="G13" s="2486" t="s">
        <v>809</v>
      </c>
      <c r="H13" s="2486" t="s">
        <v>810</v>
      </c>
      <c r="I13" s="2486" t="s">
        <v>811</v>
      </c>
      <c r="J13" s="2479"/>
      <c r="K13" s="2479"/>
    </row>
    <row r="14" spans="1:11" ht="16.5">
      <c r="A14" s="2487" t="s">
        <v>812</v>
      </c>
      <c r="B14" s="2488">
        <f>'数据-汇总表'!E31</f>
        <v>12749.85</v>
      </c>
      <c r="C14" s="2488">
        <f>'数据-汇总表'!D31</f>
        <v>67351.83</v>
      </c>
      <c r="D14" s="2488">
        <f ca="1">结果表!G19</f>
        <v>14031</v>
      </c>
      <c r="E14" s="2488">
        <f ca="1">ROUND(D14*10000/B14,0)</f>
        <v>11005</v>
      </c>
      <c r="F14" s="2488">
        <f ca="1">ROUND(D14*10000/C14,0)</f>
        <v>2083</v>
      </c>
      <c r="G14" s="2488">
        <f ca="1">D14</f>
        <v>14031</v>
      </c>
      <c r="H14" s="2488"/>
      <c r="I14" s="2488"/>
      <c r="J14" s="2479"/>
      <c r="K14" s="2479"/>
    </row>
    <row r="15" spans="1:11" ht="16.5">
      <c r="A15" s="2487" t="s">
        <v>813</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814</v>
      </c>
      <c r="B16" s="2489"/>
      <c r="C16" s="2489"/>
      <c r="D16" s="2489"/>
      <c r="E16" s="2488" t="e">
        <f t="shared" si="0"/>
        <v>#DIV/0!</v>
      </c>
      <c r="F16" s="2488" t="e">
        <f t="shared" si="1"/>
        <v>#DIV/0!</v>
      </c>
      <c r="G16" s="2481"/>
      <c r="H16" s="2481"/>
      <c r="I16" s="2489"/>
      <c r="J16" s="2479"/>
      <c r="K16" s="2479"/>
    </row>
    <row r="17" spans="1:11" ht="16.5">
      <c r="A17" s="2487" t="s">
        <v>815</v>
      </c>
      <c r="B17" s="2489"/>
      <c r="C17" s="2489"/>
      <c r="D17" s="2489"/>
      <c r="E17" s="2488" t="e">
        <f t="shared" si="0"/>
        <v>#DIV/0!</v>
      </c>
      <c r="F17" s="2488" t="e">
        <f t="shared" si="1"/>
        <v>#DIV/0!</v>
      </c>
      <c r="G17" s="2481"/>
      <c r="H17" s="2481"/>
      <c r="I17" s="2489"/>
      <c r="J17" s="2479"/>
      <c r="K17" s="2479"/>
    </row>
    <row r="18" spans="1:11" ht="16.5">
      <c r="A18" s="2487" t="s">
        <v>816</v>
      </c>
      <c r="B18" s="2489"/>
      <c r="C18" s="2489"/>
      <c r="D18" s="2489"/>
      <c r="E18" s="2488" t="e">
        <f t="shared" si="0"/>
        <v>#DIV/0!</v>
      </c>
      <c r="F18" s="2488" t="e">
        <f t="shared" si="1"/>
        <v>#DIV/0!</v>
      </c>
      <c r="G18" s="2489"/>
      <c r="H18" s="2489"/>
      <c r="I18" s="2489"/>
      <c r="J18" s="2479"/>
      <c r="K18" s="2479"/>
    </row>
    <row r="19" spans="1:11" ht="16.5">
      <c r="A19" s="2487" t="s">
        <v>817</v>
      </c>
      <c r="B19" s="2489"/>
      <c r="C19" s="2489"/>
      <c r="D19" s="2489"/>
      <c r="E19" s="2488" t="e">
        <f t="shared" si="0"/>
        <v>#DIV/0!</v>
      </c>
      <c r="F19" s="2488" t="e">
        <f t="shared" si="1"/>
        <v>#DIV/0!</v>
      </c>
      <c r="G19" s="2489"/>
      <c r="H19" s="2489"/>
      <c r="I19" s="2489"/>
      <c r="J19" s="2479"/>
      <c r="K19" s="2479"/>
    </row>
    <row r="20" spans="1:11" ht="16.5">
      <c r="A20" s="2487" t="s">
        <v>818</v>
      </c>
      <c r="B20" s="2489"/>
      <c r="C20" s="2489"/>
      <c r="D20" s="2489"/>
      <c r="E20" s="2488" t="e">
        <f t="shared" si="0"/>
        <v>#DIV/0!</v>
      </c>
      <c r="F20" s="2488" t="e">
        <f t="shared" si="1"/>
        <v>#DIV/0!</v>
      </c>
      <c r="G20" s="2489"/>
      <c r="H20" s="2489"/>
      <c r="I20" s="2489"/>
      <c r="J20" s="2479"/>
      <c r="K20" s="2479"/>
    </row>
    <row r="21" spans="1:11" ht="16.5">
      <c r="A21" s="2487" t="s">
        <v>819</v>
      </c>
      <c r="B21" s="2489"/>
      <c r="C21" s="2489"/>
      <c r="D21" s="2489"/>
      <c r="E21" s="2488" t="e">
        <f t="shared" si="0"/>
        <v>#DIV/0!</v>
      </c>
      <c r="F21" s="2488" t="e">
        <f t="shared" si="1"/>
        <v>#DIV/0!</v>
      </c>
      <c r="G21" s="2489"/>
      <c r="H21" s="2489"/>
      <c r="I21" s="2489"/>
      <c r="J21" s="2479"/>
      <c r="K21" s="2479"/>
    </row>
    <row r="22" spans="1:11" ht="16.5">
      <c r="A22" s="2487" t="s">
        <v>820</v>
      </c>
      <c r="B22" s="2489"/>
      <c r="C22" s="2489"/>
      <c r="D22" s="2489"/>
      <c r="E22" s="2488" t="e">
        <f t="shared" si="0"/>
        <v>#DIV/0!</v>
      </c>
      <c r="F22" s="2488" t="e">
        <f t="shared" si="1"/>
        <v>#DIV/0!</v>
      </c>
      <c r="G22" s="2489"/>
      <c r="H22" s="2489"/>
      <c r="I22" s="2489"/>
      <c r="J22" s="2479"/>
      <c r="K22" s="2479"/>
    </row>
    <row r="23" spans="1:11" ht="16.5">
      <c r="A23" s="2487" t="s">
        <v>821</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5" zoomScaleNormal="100" zoomScalePageLayoutView="80" workbookViewId="0">
      <selection activeCell="G26" sqref="G26"/>
    </sheetView>
  </sheetViews>
  <sheetFormatPr defaultColWidth="12.625" defaultRowHeight="21.75" customHeight="1"/>
  <cols>
    <col min="1" max="2" width="12.625" style="2210"/>
    <col min="3" max="4" width="12.625" style="2210" customWidth="1"/>
    <col min="5" max="9" width="12.625" style="2210"/>
    <col min="10" max="11" width="12.625" style="894" customWidth="1"/>
    <col min="12" max="12" width="12.625" style="894"/>
    <col min="13" max="13" width="14.125" style="894" customWidth="1"/>
    <col min="14" max="26" width="12.625" style="894"/>
    <col min="27" max="35" width="12.625" style="2209"/>
    <col min="36" max="16384" width="12.625" style="2210"/>
  </cols>
  <sheetData>
    <row r="1" spans="1:12" ht="21.75" customHeight="1">
      <c r="A1" s="2211" t="s">
        <v>822</v>
      </c>
      <c r="B1" s="1999"/>
      <c r="C1" s="2212"/>
      <c r="D1" s="1999"/>
      <c r="E1" s="1999"/>
      <c r="F1" s="2213" t="s">
        <v>823</v>
      </c>
      <c r="G1" s="2214"/>
      <c r="H1" s="2213" t="str">
        <f>IF(G1="现房","——","估价对象范围")</f>
        <v>估价对象范围</v>
      </c>
      <c r="I1" s="2341"/>
    </row>
    <row r="2" spans="1:12" ht="21.75" customHeight="1">
      <c r="A2" s="3256" t="str">
        <f>项目基本情况!S2</f>
        <v>北京市房地产</v>
      </c>
      <c r="B2" s="3257"/>
      <c r="C2" s="3257"/>
      <c r="D2" s="3257"/>
      <c r="E2" s="3257"/>
      <c r="F2" s="3257"/>
      <c r="G2" s="3257"/>
      <c r="H2" s="3257"/>
      <c r="I2" s="3258"/>
    </row>
    <row r="3" spans="1:12" ht="12.75">
      <c r="A3" s="3259" t="s">
        <v>824</v>
      </c>
      <c r="B3" s="3260"/>
      <c r="C3" s="3260"/>
      <c r="D3" s="3260"/>
      <c r="E3" s="3260"/>
      <c r="F3" s="3260"/>
      <c r="G3" s="3260"/>
      <c r="H3" s="3260"/>
      <c r="I3" s="3260"/>
    </row>
    <row r="4" spans="1:12" ht="14.25">
      <c r="A4" s="2215" t="s">
        <v>825</v>
      </c>
      <c r="B4" s="2216" t="s">
        <v>826</v>
      </c>
      <c r="C4" s="2217" t="s">
        <v>827</v>
      </c>
      <c r="D4" s="2217" t="s">
        <v>697</v>
      </c>
      <c r="E4" s="3261" t="s">
        <v>828</v>
      </c>
      <c r="F4" s="3262"/>
      <c r="G4" s="3262"/>
      <c r="H4" s="3262"/>
      <c r="I4" s="3263"/>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15" t="s">
        <v>829</v>
      </c>
      <c r="B5" s="3331">
        <v>25</v>
      </c>
      <c r="C5" s="3334"/>
      <c r="D5" s="3337"/>
      <c r="E5" s="1896" t="s">
        <v>830</v>
      </c>
      <c r="F5" s="2221"/>
      <c r="G5" s="2221"/>
      <c r="H5" s="2221"/>
      <c r="I5" s="2101"/>
    </row>
    <row r="6" spans="1:12" ht="12.75">
      <c r="A6" s="3315"/>
      <c r="B6" s="3331"/>
      <c r="C6" s="3335"/>
      <c r="D6" s="3337"/>
      <c r="E6" s="1896" t="s">
        <v>831</v>
      </c>
      <c r="F6" s="2221"/>
      <c r="G6" s="2221"/>
      <c r="H6" s="2221"/>
      <c r="I6" s="2101"/>
    </row>
    <row r="7" spans="1:12" ht="12.75">
      <c r="A7" s="3315"/>
      <c r="B7" s="3331"/>
      <c r="C7" s="3336"/>
      <c r="D7" s="3337"/>
      <c r="E7" s="1896" t="s">
        <v>832</v>
      </c>
      <c r="F7" s="2221"/>
      <c r="G7" s="2221"/>
      <c r="H7" s="2221"/>
      <c r="I7" s="2101"/>
    </row>
    <row r="8" spans="1:12" ht="12.75">
      <c r="A8" s="3315" t="s">
        <v>833</v>
      </c>
      <c r="B8" s="3331">
        <v>15</v>
      </c>
      <c r="C8" s="3334"/>
      <c r="D8" s="3337"/>
      <c r="E8" s="1896" t="s">
        <v>834</v>
      </c>
      <c r="F8" s="2221"/>
      <c r="G8" s="2221"/>
      <c r="H8" s="2221"/>
      <c r="I8" s="2101"/>
    </row>
    <row r="9" spans="1:12" ht="12.75">
      <c r="A9" s="3315"/>
      <c r="B9" s="3331"/>
      <c r="C9" s="3336"/>
      <c r="D9" s="3337"/>
      <c r="E9" s="1896" t="s">
        <v>835</v>
      </c>
      <c r="F9" s="2221"/>
      <c r="G9" s="2221"/>
      <c r="H9" s="2221"/>
      <c r="I9" s="2101"/>
    </row>
    <row r="10" spans="1:12" ht="12.75">
      <c r="A10" s="3315" t="s">
        <v>836</v>
      </c>
      <c r="B10" s="3331">
        <v>15</v>
      </c>
      <c r="C10" s="3334"/>
      <c r="D10" s="3337"/>
      <c r="E10" s="1896" t="s">
        <v>837</v>
      </c>
      <c r="F10" s="2221"/>
      <c r="G10" s="2221"/>
      <c r="H10" s="2221"/>
      <c r="I10" s="2101"/>
    </row>
    <row r="11" spans="1:12" ht="12.75">
      <c r="A11" s="3315"/>
      <c r="B11" s="3331"/>
      <c r="C11" s="3336"/>
      <c r="D11" s="3337"/>
      <c r="E11" s="1896" t="s">
        <v>838</v>
      </c>
      <c r="F11" s="2221"/>
      <c r="G11" s="2221"/>
      <c r="H11" s="2221"/>
      <c r="I11" s="2101"/>
    </row>
    <row r="12" spans="1:12" ht="12.75">
      <c r="A12" s="3315" t="s">
        <v>839</v>
      </c>
      <c r="B12" s="3331">
        <v>15</v>
      </c>
      <c r="C12" s="3334"/>
      <c r="D12" s="3337"/>
      <c r="E12" s="1896" t="s">
        <v>840</v>
      </c>
      <c r="F12" s="2221"/>
      <c r="G12" s="2221"/>
      <c r="H12" s="2221"/>
      <c r="I12" s="2101"/>
    </row>
    <row r="13" spans="1:12" ht="12.75">
      <c r="A13" s="3315"/>
      <c r="B13" s="3331"/>
      <c r="C13" s="3336"/>
      <c r="D13" s="3337"/>
      <c r="E13" s="1896" t="s">
        <v>841</v>
      </c>
      <c r="F13" s="2221"/>
      <c r="G13" s="2221"/>
      <c r="H13" s="2221"/>
      <c r="I13" s="2101"/>
    </row>
    <row r="14" spans="1:12" ht="12.75">
      <c r="A14" s="3315" t="s">
        <v>842</v>
      </c>
      <c r="B14" s="3331">
        <v>30</v>
      </c>
      <c r="C14" s="3334">
        <v>6</v>
      </c>
      <c r="D14" s="3337">
        <v>4</v>
      </c>
      <c r="E14" s="1896" t="s">
        <v>843</v>
      </c>
      <c r="F14" s="2221"/>
      <c r="G14" s="2221"/>
      <c r="H14" s="2221"/>
      <c r="I14" s="2101"/>
    </row>
    <row r="15" spans="1:12" ht="12.75">
      <c r="A15" s="3315"/>
      <c r="B15" s="3331"/>
      <c r="C15" s="3335"/>
      <c r="D15" s="3337"/>
      <c r="E15" s="1896" t="s">
        <v>844</v>
      </c>
      <c r="F15" s="2221"/>
      <c r="G15" s="2221"/>
      <c r="H15" s="2221"/>
      <c r="I15" s="2101"/>
    </row>
    <row r="16" spans="1:12" ht="12.75">
      <c r="A16" s="3315"/>
      <c r="B16" s="3331"/>
      <c r="C16" s="3336"/>
      <c r="D16" s="3337"/>
      <c r="E16" s="1896" t="s">
        <v>845</v>
      </c>
      <c r="F16" s="2221"/>
      <c r="G16" s="2221"/>
      <c r="H16" s="2221"/>
      <c r="I16" s="2101"/>
    </row>
    <row r="17" spans="1:36" ht="15">
      <c r="A17" s="2222" t="s">
        <v>846</v>
      </c>
      <c r="B17" s="2223"/>
      <c r="C17" s="2224">
        <f>SUM(C5:C16)</f>
        <v>6</v>
      </c>
      <c r="D17" s="2224">
        <f>SUM(D5:D16)</f>
        <v>4</v>
      </c>
      <c r="E17" s="935"/>
      <c r="F17" s="935"/>
      <c r="G17" s="935"/>
      <c r="H17" s="935"/>
      <c r="I17" s="935"/>
      <c r="K17" s="1856"/>
      <c r="L17" s="1856" t="s">
        <v>847</v>
      </c>
      <c r="M17" s="1856" t="s">
        <v>848</v>
      </c>
    </row>
    <row r="18" spans="1:36" ht="31.9" customHeight="1">
      <c r="A18" s="2225" t="s">
        <v>849</v>
      </c>
      <c r="B18" s="2226"/>
      <c r="C18" s="2227">
        <f>ROUND(C17/SUM(C17:D17),2)</f>
        <v>0.6</v>
      </c>
      <c r="D18" s="2227">
        <f>1-C18</f>
        <v>0.4</v>
      </c>
      <c r="E18" s="3264" t="s">
        <v>850</v>
      </c>
      <c r="F18" s="3265"/>
      <c r="G18" s="3265"/>
      <c r="H18" s="3265"/>
      <c r="I18" s="3265"/>
      <c r="K18" s="1856" t="s">
        <v>469</v>
      </c>
      <c r="L18" s="1856">
        <f>IF(C1="",'数据-汇总表'!E3,SUMIF(项目类型,C1,'数据-汇总表'!E17:E26)+SUMIF(项目类型,C1,'数据-汇总表'!I17:I26))</f>
        <v>12749.85</v>
      </c>
      <c r="M18" s="1856">
        <f>IF(C1="",'数据-汇总表'!E3,SUMIF(项目类型,C1,'数据-汇总表'!E17:E26))</f>
        <v>12749.85</v>
      </c>
    </row>
    <row r="19" spans="1:36" ht="15">
      <c r="A19" s="1234" t="s">
        <v>851</v>
      </c>
      <c r="B19" s="2228" t="s">
        <v>852</v>
      </c>
      <c r="C19" s="2229">
        <f ca="1">SUMIF(INDIRECT("'"&amp;C4&amp;"'"&amp;"!A:A"),结果表!B19,INDIRECT("'"&amp;C4&amp;"'"&amp;"!B:B"))</f>
        <v>16978</v>
      </c>
      <c r="D19" s="1350">
        <f ca="1">SUMIF(INDIRECT("'"&amp;D4&amp;"'"&amp;"!A:A"),结果表!B19,INDIRECT("'"&amp;D4&amp;"'"&amp;"!B:B"))</f>
        <v>9610</v>
      </c>
      <c r="E19" s="1234" t="s">
        <v>853</v>
      </c>
      <c r="F19" s="2228" t="s">
        <v>852</v>
      </c>
      <c r="G19" s="2230">
        <f ca="1">ROUND(C19*$C$18+D19*$D$18,0)</f>
        <v>14031</v>
      </c>
      <c r="H19" s="2231" t="s">
        <v>854</v>
      </c>
      <c r="I19" s="935"/>
      <c r="K19" s="1856" t="s">
        <v>473</v>
      </c>
      <c r="L19" s="1856">
        <f>IF(C1="",'数据-汇总表'!D3,SUMIF(项目类型,C1,'数据-汇总表'!D17:D26)+SUMIF(项目类型,C1,'数据-汇总表'!H17:H27))</f>
        <v>67351.83</v>
      </c>
      <c r="M19" s="1856">
        <f>IF(C1="",'数据-汇总表'!D3,SUMIF(项目类型,C1,'数据-汇总表'!D17:D26))</f>
        <v>67351.83</v>
      </c>
    </row>
    <row r="20" spans="1:36" ht="15">
      <c r="A20" s="2232"/>
      <c r="B20" s="2233" t="s">
        <v>855</v>
      </c>
      <c r="C20" s="1602">
        <f ca="1">SUMIF(INDIRECT("'"&amp;C4&amp;"'"&amp;"!A:A"),结果表!B20,INDIRECT("'"&amp;C4&amp;"'"&amp;"!B:B"))</f>
        <v>13316</v>
      </c>
      <c r="D20" s="1605">
        <f ca="1">SUMIF(INDIRECT("'"&amp;D4&amp;"'"&amp;"!A:A"),结果表!B20,INDIRECT("'"&amp;D4&amp;"'"&amp;"!B:B"))</f>
        <v>7537</v>
      </c>
      <c r="E20" s="2232"/>
      <c r="F20" s="2233" t="s">
        <v>855</v>
      </c>
      <c r="G20" s="2234">
        <f ca="1">ROUND(C20*$C$18+D20*$D$18,0)</f>
        <v>11004</v>
      </c>
      <c r="H20" s="2008" t="s">
        <v>856</v>
      </c>
      <c r="I20" s="935"/>
    </row>
    <row r="21" spans="1:36" ht="15" customHeight="1">
      <c r="A21" s="1240"/>
      <c r="B21" s="2235" t="s">
        <v>857</v>
      </c>
      <c r="C21" s="2236">
        <f ca="1">ROUND(C19*10000/L19,0)</f>
        <v>2521</v>
      </c>
      <c r="D21" s="2237">
        <f ca="1">ROUND(D19*10000/L19,0)</f>
        <v>1427</v>
      </c>
      <c r="E21" s="1240"/>
      <c r="F21" s="2235" t="s">
        <v>857</v>
      </c>
      <c r="G21" s="2238">
        <f ca="1">ROUND(G19*10000/L19,0)</f>
        <v>2083</v>
      </c>
      <c r="H21" s="2239" t="s">
        <v>856</v>
      </c>
      <c r="I21" s="935"/>
    </row>
    <row r="22" spans="1:36" ht="14.25">
      <c r="A22" s="2240" t="s">
        <v>858</v>
      </c>
      <c r="B22" s="2241"/>
      <c r="C22" s="2242"/>
      <c r="D22" s="2243">
        <f ca="1">IF(C19&lt;D19,D19/C19-1,C19/D19-1)</f>
        <v>0.76670135275754414</v>
      </c>
      <c r="E22" s="935"/>
      <c r="F22" s="935"/>
      <c r="G22" s="935"/>
      <c r="H22" s="935"/>
      <c r="I22" s="935"/>
    </row>
    <row r="23" spans="1:36" ht="12.75">
      <c r="A23" s="1999"/>
      <c r="B23" s="1999"/>
      <c r="C23" s="1999"/>
      <c r="D23" s="1999"/>
      <c r="E23" s="935"/>
      <c r="F23" s="935"/>
      <c r="G23" s="935"/>
      <c r="H23" s="935"/>
      <c r="I23" s="935"/>
    </row>
    <row r="24" spans="1:36" ht="14.25">
      <c r="A24" s="3324" t="s">
        <v>859</v>
      </c>
      <c r="B24" s="2228" t="s">
        <v>852</v>
      </c>
      <c r="C24" s="2230">
        <f>IF(B30=0,0,D30)</f>
        <v>0</v>
      </c>
      <c r="D24" s="2244"/>
      <c r="E24" s="935"/>
      <c r="F24" s="935"/>
      <c r="G24" s="935"/>
      <c r="H24" s="935"/>
      <c r="I24" s="935"/>
    </row>
    <row r="25" spans="1:36" ht="14.25">
      <c r="A25" s="3325"/>
      <c r="B25" s="2233" t="s">
        <v>855</v>
      </c>
      <c r="C25" s="2245">
        <f>IF(B30=0,0,C30)</f>
        <v>0</v>
      </c>
      <c r="D25" s="2246"/>
      <c r="E25" s="935"/>
      <c r="F25" s="935"/>
      <c r="G25" s="935"/>
      <c r="H25" s="935"/>
      <c r="I25" s="935"/>
    </row>
    <row r="26" spans="1:36" ht="13.5" customHeight="1">
      <c r="A26" s="2247" t="s">
        <v>860</v>
      </c>
      <c r="B26" s="2248" t="s">
        <v>861</v>
      </c>
      <c r="C26" s="2248" t="s">
        <v>862</v>
      </c>
      <c r="D26" s="2249" t="s">
        <v>863</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864</v>
      </c>
      <c r="B30" s="2248"/>
      <c r="C30" s="2248"/>
      <c r="D30" s="2248"/>
      <c r="E30" s="2250" t="s">
        <v>865</v>
      </c>
      <c r="F30" s="935"/>
      <c r="G30" s="935"/>
      <c r="H30" s="935"/>
      <c r="I30" s="935"/>
    </row>
    <row r="31" spans="1:36" s="2208" customFormat="1" ht="26.45" customHeight="1">
      <c r="A31" s="2251"/>
      <c r="B31" s="2252"/>
      <c r="C31" s="2252"/>
      <c r="D31" s="2252"/>
      <c r="E31" s="2252"/>
      <c r="F31" s="2252"/>
      <c r="G31" s="2252"/>
      <c r="H31" s="2252"/>
      <c r="I31" s="2343" t="s">
        <v>866</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867</v>
      </c>
      <c r="B32" s="2254"/>
      <c r="C32" s="2255">
        <f ca="1">IF(D32="总价",G19-C24,G20-C25)</f>
        <v>14031</v>
      </c>
      <c r="D32" s="2256" t="s">
        <v>868</v>
      </c>
      <c r="E32" s="935"/>
      <c r="F32" s="935"/>
      <c r="G32" s="935"/>
      <c r="H32" s="935"/>
      <c r="I32" s="935"/>
    </row>
    <row r="33" spans="1:15" ht="15">
      <c r="A33" s="2122" t="s">
        <v>869</v>
      </c>
      <c r="B33" s="1896"/>
      <c r="C33" s="2257" t="s">
        <v>870</v>
      </c>
      <c r="D33" s="2258" t="s">
        <v>827</v>
      </c>
      <c r="E33" s="2259" t="s">
        <v>871</v>
      </c>
      <c r="F33" s="2260" t="str">
        <f>IF(D32="楼面单价","取值（单价）","取值（总价）")</f>
        <v>取值（总价）</v>
      </c>
      <c r="G33" s="935"/>
      <c r="H33" s="935"/>
      <c r="I33" s="935"/>
    </row>
    <row r="34" spans="1:15" ht="15">
      <c r="A34" s="2261"/>
      <c r="B34" s="2262" t="s">
        <v>872</v>
      </c>
      <c r="C34" s="2263">
        <f ca="1">IF(C33="自定义",F34,C32-C35)</f>
        <v>11141</v>
      </c>
      <c r="D34" s="2264">
        <f ca="1">IF(C33="自定义",ROUND(C34/C32,3),IF(C33="收益比率",SUMIF(INDIRECT("'"&amp;D33&amp;"'"&amp;"!b:b"),"土地收益比率",INDIRECT("'"&amp;D33&amp;"'"&amp;"!c:c")),SUMIF(INDIRECT("'"&amp;D33&amp;"'"&amp;"!b:b"),"土地成本比率",INDIRECT("'"&amp;D33&amp;"'"&amp;"!c:c"))))</f>
        <v>0.79400000000000004</v>
      </c>
      <c r="E34" s="2265" t="s">
        <v>873</v>
      </c>
      <c r="F34" s="2266"/>
      <c r="G34" s="935"/>
      <c r="H34" s="935"/>
      <c r="I34" s="935"/>
    </row>
    <row r="35" spans="1:15" ht="15">
      <c r="A35" s="2267"/>
      <c r="B35" s="2268" t="s">
        <v>874</v>
      </c>
      <c r="C35" s="2269">
        <f ca="1">IF(C33="自定义",F35,ROUND(C32*D35,0))</f>
        <v>2890</v>
      </c>
      <c r="D35" s="2270">
        <f ca="1">IF(C33="自定义",ROUND(C35/C32,3),IF(C33="收益比率",SUMIF(INDIRECT("'"&amp;D33&amp;"'"&amp;"!b:b"),"建筑物收益比率",INDIRECT("'"&amp;D33&amp;"'"&amp;"!c:c")),SUMIF(INDIRECT("'"&amp;D33&amp;"'"&amp;"!b:b"),"建筑物成本比率",INDIRECT("'"&amp;D33&amp;"'"&amp;"!c:c"))))</f>
        <v>0.20599999999999999</v>
      </c>
      <c r="E35" s="2271" t="s">
        <v>875</v>
      </c>
      <c r="F35" s="2272"/>
      <c r="G35" s="935"/>
      <c r="H35" s="935"/>
      <c r="I35" s="935"/>
    </row>
    <row r="36" spans="1:15" ht="15">
      <c r="A36" s="3326" t="s">
        <v>876</v>
      </c>
      <c r="B36" s="2273" t="s">
        <v>877</v>
      </c>
      <c r="C36" s="2274"/>
      <c r="D36" s="2275"/>
      <c r="E36" s="2276"/>
      <c r="F36" s="2277"/>
      <c r="G36" s="935"/>
      <c r="H36" s="935"/>
      <c r="I36" s="935"/>
    </row>
    <row r="37" spans="1:15" ht="15">
      <c r="A37" s="3327"/>
      <c r="B37" s="2278" t="s">
        <v>878</v>
      </c>
      <c r="C37" s="2279"/>
      <c r="D37" s="2280"/>
      <c r="E37" s="2280"/>
      <c r="F37" s="2277"/>
      <c r="G37" s="935"/>
      <c r="H37" s="935"/>
      <c r="I37" s="935"/>
    </row>
    <row r="38" spans="1:15" ht="15">
      <c r="A38" s="3328"/>
      <c r="B38" s="2281" t="s">
        <v>879</v>
      </c>
      <c r="C38" s="2282"/>
      <c r="D38" s="2283" t="s">
        <v>880</v>
      </c>
      <c r="E38" s="2280"/>
      <c r="F38" s="2277"/>
      <c r="G38" s="935"/>
      <c r="H38" s="935"/>
      <c r="I38" s="935"/>
    </row>
    <row r="39" spans="1:15" ht="15">
      <c r="A39" s="2232" t="s">
        <v>881</v>
      </c>
      <c r="B39" s="2284" t="s">
        <v>861</v>
      </c>
      <c r="C39" s="2285" t="s">
        <v>862</v>
      </c>
      <c r="D39" s="2285" t="s">
        <v>882</v>
      </c>
      <c r="E39" s="2286" t="s">
        <v>863</v>
      </c>
      <c r="F39" s="2277"/>
      <c r="G39" s="935"/>
      <c r="H39" s="935"/>
      <c r="I39" s="935"/>
    </row>
    <row r="40" spans="1:15" ht="14.25">
      <c r="A40" s="2287" t="s">
        <v>883</v>
      </c>
      <c r="B40" s="2288"/>
      <c r="C40" s="953"/>
      <c r="D40" s="953"/>
      <c r="E40" s="2289"/>
      <c r="F40" s="2277"/>
      <c r="G40" s="935"/>
      <c r="H40" s="935"/>
      <c r="I40" s="935"/>
    </row>
    <row r="41" spans="1:15" ht="14.25">
      <c r="A41" s="2287" t="s">
        <v>884</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885</v>
      </c>
      <c r="B44" s="2296"/>
      <c r="C44" s="2296"/>
      <c r="D44" s="2297"/>
      <c r="E44" s="2297"/>
      <c r="F44" s="2298"/>
      <c r="G44" s="2298"/>
      <c r="H44" s="2298"/>
      <c r="I44" s="2298"/>
      <c r="J44" s="847" t="s">
        <v>886</v>
      </c>
      <c r="K44" s="677"/>
      <c r="L44" s="677"/>
      <c r="M44" s="677"/>
      <c r="N44" s="677"/>
      <c r="O44" s="677"/>
    </row>
    <row r="45" spans="1:15" ht="14.25" customHeight="1">
      <c r="A45" s="3266" t="s">
        <v>887</v>
      </c>
      <c r="B45" s="3267"/>
      <c r="C45" s="3268"/>
      <c r="D45" s="1855">
        <f ca="1">ROUND(H101*F45,0)</f>
        <v>14031</v>
      </c>
      <c r="E45" s="2299" t="s">
        <v>888</v>
      </c>
      <c r="F45" s="2300">
        <v>1</v>
      </c>
      <c r="G45" s="1866" t="s">
        <v>889</v>
      </c>
      <c r="H45" s="935"/>
      <c r="I45" s="935"/>
      <c r="J45" s="3269" t="s">
        <v>890</v>
      </c>
      <c r="K45" s="3269"/>
      <c r="L45" s="3269"/>
      <c r="M45" s="3269"/>
      <c r="N45" s="3269"/>
      <c r="O45" s="3269"/>
    </row>
    <row r="46" spans="1:15" ht="14.25" customHeight="1">
      <c r="A46" s="3270" t="s">
        <v>891</v>
      </c>
      <c r="B46" s="3271"/>
      <c r="C46" s="3271"/>
      <c r="D46" s="3271"/>
      <c r="E46" s="3271"/>
      <c r="F46" s="3271"/>
      <c r="G46" s="3272"/>
      <c r="H46" s="2301"/>
      <c r="I46" s="936"/>
      <c r="J46" s="576">
        <v>1</v>
      </c>
      <c r="K46" s="3273" t="s">
        <v>892</v>
      </c>
      <c r="L46" s="3273"/>
      <c r="M46" s="3274"/>
      <c r="N46" s="3274"/>
      <c r="O46" s="3274"/>
    </row>
    <row r="47" spans="1:15" ht="12" customHeight="1">
      <c r="A47" s="2302" t="s">
        <v>893</v>
      </c>
      <c r="B47" s="2303"/>
      <c r="C47" s="2304"/>
      <c r="D47" s="1905" t="s">
        <v>894</v>
      </c>
      <c r="E47" s="1856" t="s">
        <v>895</v>
      </c>
      <c r="F47" s="2305" t="s">
        <v>896</v>
      </c>
      <c r="G47" s="2306" t="s">
        <v>897</v>
      </c>
      <c r="H47" s="2307"/>
      <c r="I47" s="936"/>
      <c r="J47" s="576">
        <v>2</v>
      </c>
      <c r="K47" s="3273" t="s">
        <v>898</v>
      </c>
      <c r="L47" s="3273"/>
      <c r="M47" s="3275">
        <f>'数据-取费表'!B2</f>
        <v>45791</v>
      </c>
      <c r="N47" s="3275"/>
      <c r="O47" s="3275"/>
    </row>
    <row r="48" spans="1:15" ht="25.5">
      <c r="A48" s="3276" t="s">
        <v>899</v>
      </c>
      <c r="B48" s="3277"/>
      <c r="C48" s="3277"/>
      <c r="D48" s="2006" t="b">
        <f>IF(H48="情况1",0,IF(H48="情况2",D52,IF(H48="情况3",D53,IF(H48="情况4",D54))))</f>
        <v>0</v>
      </c>
      <c r="E48" s="1909" t="str">
        <f>IF(H48="情况4","(销售额-原购置价)×税（费）率","销售额×税（费）率")</f>
        <v>销售额×税（费）率</v>
      </c>
      <c r="F48" s="2309">
        <f>IF(H48="情况1","免征",'数据-取费表'!B41)</f>
        <v>5.5E-2</v>
      </c>
      <c r="G48" s="2310" t="s">
        <v>900</v>
      </c>
      <c r="H48" s="2311"/>
      <c r="I48" s="2301"/>
      <c r="J48" s="576">
        <v>3</v>
      </c>
      <c r="K48" s="3273" t="s">
        <v>901</v>
      </c>
      <c r="L48" s="3273"/>
      <c r="M48" s="3278">
        <f ca="1">H101</f>
        <v>14031</v>
      </c>
      <c r="N48" s="3278"/>
      <c r="O48" s="3278"/>
    </row>
    <row r="49" spans="1:35" ht="25.5" customHeight="1">
      <c r="A49" s="2308" t="s">
        <v>902</v>
      </c>
      <c r="B49" s="3279" t="s">
        <v>903</v>
      </c>
      <c r="C49" s="3279"/>
      <c r="D49" s="2312">
        <v>0</v>
      </c>
      <c r="E49" s="1915" t="s">
        <v>904</v>
      </c>
      <c r="F49" s="2313" t="s">
        <v>124</v>
      </c>
      <c r="G49" s="3338"/>
      <c r="H49" s="2314" t="s">
        <v>905</v>
      </c>
      <c r="I49" s="2348"/>
      <c r="J49" s="576">
        <v>4</v>
      </c>
      <c r="K49" s="3273" t="str">
        <f>IF(项目基本情况!E8="房地产抵押价值","房地产抵押价值","抵押担保权已注销时的房地产抵押价值")</f>
        <v>房地产抵押价值</v>
      </c>
      <c r="L49" s="3273"/>
      <c r="M49" s="3278">
        <f ca="1">IF(项目基本情况!E8="房地产抵押价值",H107,H109)</f>
        <v>14031</v>
      </c>
      <c r="N49" s="3278"/>
      <c r="O49" s="3278"/>
    </row>
    <row r="50" spans="1:35" ht="25.5" customHeight="1">
      <c r="A50" s="2315"/>
      <c r="B50" s="3279" t="s">
        <v>906</v>
      </c>
      <c r="C50" s="3279"/>
      <c r="D50" s="2316"/>
      <c r="E50" s="1930"/>
      <c r="F50" s="2313"/>
      <c r="G50" s="3339"/>
      <c r="H50" s="2317" t="s">
        <v>907</v>
      </c>
      <c r="I50" s="2348"/>
      <c r="J50" s="3269" t="s">
        <v>908</v>
      </c>
      <c r="K50" s="3269"/>
      <c r="L50" s="3269"/>
      <c r="M50" s="3269"/>
      <c r="N50" s="3269"/>
      <c r="O50" s="3269"/>
    </row>
    <row r="51" spans="1:35" ht="20.45" customHeight="1">
      <c r="A51" s="2318"/>
      <c r="B51" s="3279" t="s">
        <v>909</v>
      </c>
      <c r="C51" s="3279"/>
      <c r="D51" s="1905"/>
      <c r="E51" s="1919"/>
      <c r="F51" s="2313"/>
      <c r="G51" s="3340"/>
      <c r="H51" s="2317" t="s">
        <v>910</v>
      </c>
      <c r="I51" s="2348"/>
      <c r="J51" s="2347" t="s">
        <v>911</v>
      </c>
      <c r="K51" s="3273" t="s">
        <v>912</v>
      </c>
      <c r="L51" s="3273"/>
      <c r="M51" s="2347" t="s">
        <v>913</v>
      </c>
      <c r="N51" s="2347" t="s">
        <v>914</v>
      </c>
      <c r="O51" s="2347" t="s">
        <v>915</v>
      </c>
    </row>
    <row r="52" spans="1:35" ht="24" customHeight="1">
      <c r="A52" s="2319" t="s">
        <v>916</v>
      </c>
      <c r="B52" s="3279" t="s">
        <v>917</v>
      </c>
      <c r="C52" s="3279"/>
      <c r="D52" s="1905">
        <f ca="1">ROUND(D45*'数据-取费表'!B41/(1+'数据-取费表'!C42),0)</f>
        <v>735</v>
      </c>
      <c r="E52" s="1909" t="s">
        <v>918</v>
      </c>
      <c r="F52" s="2320">
        <f>'数据-取费表'!B41</f>
        <v>5.5E-2</v>
      </c>
      <c r="G52" s="2321"/>
      <c r="H52" s="2020"/>
      <c r="I52" s="2349"/>
      <c r="J52" s="576">
        <v>1</v>
      </c>
      <c r="K52" s="3280" t="s">
        <v>919</v>
      </c>
      <c r="L52" s="3280"/>
      <c r="M52" s="2350" t="b">
        <f>D48</f>
        <v>0</v>
      </c>
      <c r="N52" s="576" t="str">
        <f>E48</f>
        <v>销售额×税（费）率</v>
      </c>
      <c r="O52" s="2351">
        <f>F48</f>
        <v>5.5E-2</v>
      </c>
    </row>
    <row r="53" spans="1:35" ht="12" customHeight="1">
      <c r="A53" s="2319" t="s">
        <v>920</v>
      </c>
      <c r="B53" s="3281" t="s">
        <v>921</v>
      </c>
      <c r="C53" s="3282"/>
      <c r="D53" s="1905">
        <f ca="1">ROUND(D45*'数据-取费表'!B41/(1+'数据-取费表'!C42),0)</f>
        <v>735</v>
      </c>
      <c r="E53" s="1909" t="s">
        <v>918</v>
      </c>
      <c r="F53" s="2320">
        <f>'数据-取费表'!B41</f>
        <v>5.5E-2</v>
      </c>
      <c r="G53" s="2321"/>
      <c r="H53" s="2020"/>
      <c r="I53" s="2349"/>
      <c r="J53" s="576">
        <v>2</v>
      </c>
      <c r="K53" s="3280" t="s">
        <v>922</v>
      </c>
      <c r="L53" s="3280"/>
      <c r="M53" s="2350">
        <f t="shared" ref="M53:O54" ca="1" si="0">D55</f>
        <v>7</v>
      </c>
      <c r="N53" s="576" t="str">
        <f t="shared" si="0"/>
        <v>销售额×税（费）率</v>
      </c>
      <c r="O53" s="2351" t="str">
        <f t="shared" si="0"/>
        <v>免征</v>
      </c>
    </row>
    <row r="54" spans="1:35" ht="12" customHeight="1">
      <c r="A54" s="2319" t="s">
        <v>923</v>
      </c>
      <c r="B54" s="3281" t="s">
        <v>924</v>
      </c>
      <c r="C54" s="3282"/>
      <c r="D54" s="1905">
        <f ca="1">C68</f>
        <v>735</v>
      </c>
      <c r="E54" s="1919" t="s">
        <v>925</v>
      </c>
      <c r="F54" s="2320">
        <f>'数据-取费表'!B41</f>
        <v>5.5E-2</v>
      </c>
      <c r="G54" s="2321"/>
      <c r="H54" s="2322"/>
      <c r="I54" s="2349"/>
      <c r="J54" s="576">
        <v>3</v>
      </c>
      <c r="K54" s="3280" t="s">
        <v>926</v>
      </c>
      <c r="L54" s="3280"/>
      <c r="M54" s="2350">
        <f t="shared" ca="1" si="0"/>
        <v>7954</v>
      </c>
      <c r="N54" s="576" t="str">
        <f t="shared" si="0"/>
        <v>增值额×税（费）率</v>
      </c>
      <c r="O54" s="2352" t="str">
        <f t="shared" si="0"/>
        <v>免征</v>
      </c>
    </row>
    <row r="55" spans="1:35" ht="24" customHeight="1">
      <c r="A55" s="3283" t="s">
        <v>927</v>
      </c>
      <c r="B55" s="3277"/>
      <c r="C55" s="3277"/>
      <c r="D55" s="2006">
        <f ca="1">IF(H55="个人住宅",0,ROUND(D45*I55,0))</f>
        <v>7</v>
      </c>
      <c r="E55" s="1909" t="s">
        <v>928</v>
      </c>
      <c r="F55" s="2320" t="str">
        <f>IF(H55="正常",I55,"免征")</f>
        <v>免征</v>
      </c>
      <c r="G55" s="2321"/>
      <c r="H55" s="2311"/>
      <c r="I55" s="2353">
        <f>'数据-取费表'!B49</f>
        <v>5.0000000000000001E-4</v>
      </c>
      <c r="J55" s="576">
        <f>IF(H59="非个人房产","",4)</f>
        <v>4</v>
      </c>
      <c r="K55" s="3280" t="str">
        <f>IF(H59="非个人房产","——","个人所得税")</f>
        <v>个人所得税</v>
      </c>
      <c r="L55" s="3280"/>
      <c r="M55" s="2354">
        <f ca="1">D59</f>
        <v>134</v>
      </c>
      <c r="N55" s="557" t="str">
        <f>E59</f>
        <v>差额计税</v>
      </c>
      <c r="O55" s="2355">
        <f>F59</f>
        <v>0.01</v>
      </c>
    </row>
    <row r="56" spans="1:35" ht="24.75">
      <c r="A56" s="3283" t="s">
        <v>929</v>
      </c>
      <c r="B56" s="3277"/>
      <c r="C56" s="3277"/>
      <c r="D56" s="2006">
        <f ca="1">IF(H56="个人住宅",D57,D58)</f>
        <v>7954</v>
      </c>
      <c r="E56" s="1909" t="s">
        <v>930</v>
      </c>
      <c r="F56" s="2320" t="str">
        <f>IF(H56="正常",F58,"免征")</f>
        <v>免征</v>
      </c>
      <c r="G56" s="2323" t="s">
        <v>931</v>
      </c>
      <c r="H56" s="2324"/>
      <c r="I56" s="2333"/>
      <c r="J56" s="576" t="str">
        <f>IF(项目基本情况!K6="上海银行",IF(J55="",4,J55+1),"")</f>
        <v/>
      </c>
      <c r="K56" s="3284" t="str">
        <f>IF(项目基本情况!K6="上海银行","其他处置费用","")</f>
        <v/>
      </c>
      <c r="L56" s="3285"/>
      <c r="M56" s="2350" t="str">
        <f>IF(项目基本情况!K6="上海银行",M69,"")</f>
        <v/>
      </c>
      <c r="N56" s="3284" t="str">
        <f>IF(项目基本情况!K6="上海银行","包含处置中涉及的律师、诉讼、拍卖、评估等费用","")</f>
        <v/>
      </c>
      <c r="O56" s="3286"/>
    </row>
    <row r="57" spans="1:35" ht="12.75">
      <c r="A57" s="2319" t="s">
        <v>902</v>
      </c>
      <c r="B57" s="3281" t="s">
        <v>932</v>
      </c>
      <c r="C57" s="3282"/>
      <c r="D57" s="2312">
        <v>0</v>
      </c>
      <c r="E57" s="1915" t="s">
        <v>904</v>
      </c>
      <c r="F57" s="1856"/>
      <c r="G57" s="2321"/>
      <c r="H57" s="2325"/>
      <c r="I57" s="2333"/>
      <c r="J57" s="3280">
        <f>IF(AND(J55="",J56=""),4,IF(项目基本情况!K6="上海银行",结果表!J56+1,结果表!J55+1))</f>
        <v>5</v>
      </c>
      <c r="K57" s="3280" t="s">
        <v>639</v>
      </c>
      <c r="L57" s="2356" t="s">
        <v>933</v>
      </c>
      <c r="M57" s="2357"/>
      <c r="N57" s="2358">
        <f ca="1">SUMIF(M52:M56,"&lt;9e307")</f>
        <v>8095</v>
      </c>
      <c r="O57" s="2359"/>
      <c r="P57" s="2360">
        <f ca="1">N57/M49</f>
        <v>0.57693678283800154</v>
      </c>
    </row>
    <row r="58" spans="1:35" ht="24.75">
      <c r="A58" s="2319" t="s">
        <v>916</v>
      </c>
      <c r="B58" s="3281" t="s">
        <v>934</v>
      </c>
      <c r="C58" s="3279"/>
      <c r="D58" s="2006">
        <f ca="1">IF(H58="转让取得",C81,C97)</f>
        <v>7954</v>
      </c>
      <c r="E58" s="1909" t="s">
        <v>930</v>
      </c>
      <c r="F58" s="1856" t="s">
        <v>124</v>
      </c>
      <c r="G58" s="2321"/>
      <c r="H58" s="2324"/>
      <c r="I58" s="2333"/>
      <c r="J58" s="3280"/>
      <c r="K58" s="3280"/>
      <c r="L58" s="2356" t="s">
        <v>935</v>
      </c>
      <c r="M58" s="2361"/>
      <c r="N58" s="2362" t="str">
        <f ca="1">NUMBERSTRING(INT(N57*10000),2)&amp;"元整"</f>
        <v>捌仟零玖拾伍万元整</v>
      </c>
      <c r="O58" s="2363"/>
    </row>
    <row r="59" spans="1:35" ht="24">
      <c r="A59" s="3287" t="s">
        <v>936</v>
      </c>
      <c r="B59" s="3288"/>
      <c r="C59" s="3288"/>
      <c r="D59" s="2326">
        <f ca="1">IF(H59="非个人房产","——",IF(H59="个人住宅（满五唯一有凭证）",0,IF(H59="个人其他（无凭证）",ROUND(D45*F59,0),ROUND(C67*F59,0))))</f>
        <v>134</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931</v>
      </c>
      <c r="H59" s="2330"/>
      <c r="I59" s="2364" t="s">
        <v>937</v>
      </c>
      <c r="J59" s="3341">
        <f>J57+1</f>
        <v>6</v>
      </c>
      <c r="K59" s="3280" t="s">
        <v>938</v>
      </c>
      <c r="L59" s="576" t="s">
        <v>933</v>
      </c>
      <c r="M59" s="2365"/>
      <c r="N59" s="2366">
        <f ca="1">M49-N57</f>
        <v>5936</v>
      </c>
      <c r="O59" s="2367"/>
    </row>
    <row r="60" spans="1:35" ht="12" customHeight="1">
      <c r="A60" s="2331"/>
      <c r="B60" s="1999"/>
      <c r="C60" s="1999"/>
      <c r="D60" s="1999"/>
      <c r="E60" s="2332"/>
      <c r="F60" s="2333"/>
      <c r="G60" s="2333"/>
      <c r="H60" s="936"/>
      <c r="I60" s="935"/>
      <c r="J60" s="3342"/>
      <c r="K60" s="3280"/>
      <c r="L60" s="2356" t="s">
        <v>935</v>
      </c>
      <c r="M60" s="2361"/>
      <c r="N60" s="2362" t="str">
        <f ca="1">NUMBERSTRING(INT(N59*10000),2)&amp;"元整"</f>
        <v>伍仟玖佰叁拾陆万元整</v>
      </c>
      <c r="O60" s="2363"/>
    </row>
    <row r="61" spans="1:35" ht="12.75">
      <c r="A61" s="3289" t="s">
        <v>939</v>
      </c>
      <c r="B61" s="3289"/>
      <c r="C61" s="3289"/>
      <c r="D61" s="3289"/>
      <c r="E61" s="3289"/>
      <c r="F61" s="2333"/>
      <c r="G61" s="2333"/>
      <c r="H61" s="936"/>
      <c r="I61" s="935"/>
      <c r="J61" s="576">
        <f>J59+1</f>
        <v>7</v>
      </c>
      <c r="K61" s="3280" t="s">
        <v>940</v>
      </c>
      <c r="L61" s="3280"/>
      <c r="M61" s="2368"/>
      <c r="N61" s="2369">
        <f ca="1">ROUND(N59*10000/'数据-汇总表'!E3,0)</f>
        <v>4656</v>
      </c>
      <c r="O61" s="2370"/>
    </row>
    <row r="62" spans="1:35" ht="12.75">
      <c r="A62" s="3290" t="s">
        <v>941</v>
      </c>
      <c r="B62" s="3291"/>
      <c r="C62" s="528"/>
      <c r="D62" s="528" t="s">
        <v>942</v>
      </c>
      <c r="E62" s="2334" t="s">
        <v>897</v>
      </c>
      <c r="F62" s="2333"/>
      <c r="G62" s="2333"/>
      <c r="H62" s="936"/>
      <c r="I62" s="935"/>
    </row>
    <row r="63" spans="1:35" ht="12.75">
      <c r="A63" s="2335" t="s">
        <v>943</v>
      </c>
      <c r="B63" s="586" t="s">
        <v>944</v>
      </c>
      <c r="C63" s="2336">
        <f ca="1">ROUND((C64+C65)/(1+'数据-取费表'!C42),0)</f>
        <v>13363</v>
      </c>
      <c r="D63" s="586"/>
      <c r="E63" s="2337"/>
      <c r="F63" s="2333"/>
      <c r="G63" s="2333"/>
      <c r="H63" s="936"/>
      <c r="I63" s="935"/>
      <c r="J63" s="3343" t="s">
        <v>945</v>
      </c>
      <c r="K63" s="2371" t="s">
        <v>946</v>
      </c>
      <c r="L63" s="2371">
        <f ca="1">IF(M49&gt;10000,M49*0.5%,IF(AND(M49&gt;1000,M49&lt;=10000),M49*1%,IF(AND(M49&gt;100,M49&lt;=1000),M49*3%,IF(AND(M49&gt;10,M49&lt;=100),M49*5%,M49*8%))))</f>
        <v>70.155000000000001</v>
      </c>
      <c r="M63" s="1856">
        <f ca="1">ROUND(L63,1)</f>
        <v>70.2</v>
      </c>
      <c r="N63" s="2372"/>
      <c r="Z63" s="2209"/>
      <c r="AI63" s="2210"/>
    </row>
    <row r="64" spans="1:35" ht="14.25" customHeight="1">
      <c r="A64" s="2338" t="s">
        <v>947</v>
      </c>
      <c r="B64" s="509" t="s">
        <v>948</v>
      </c>
      <c r="C64" s="2339">
        <f ca="1">D45</f>
        <v>14031</v>
      </c>
      <c r="D64" s="509" t="s">
        <v>124</v>
      </c>
      <c r="E64" s="2340"/>
      <c r="F64" s="2333"/>
      <c r="G64" s="2333"/>
      <c r="H64" s="936"/>
      <c r="I64" s="935"/>
      <c r="J64" s="3343"/>
      <c r="K64" s="2371" t="s">
        <v>949</v>
      </c>
      <c r="L64" s="2371">
        <f ca="1">IF(M49&gt;2000,M49*0.5%,IF(AND(M49&gt;1000,M49&lt;=2000),M49*0.6%,IF(AND(M49&gt;500,M49&lt;=1000),M49*0.7%,IF(AND(M49&gt;200,M49&lt;=500),M49*0.8%,IF(AND(M49&gt;100,M49&lt;=200),M49*0.9%,IF(AND(M49&gt;50,M49&lt;=100),M49*1%,IF(AND(M49&gt;20,M49&lt;=50),M49*1.5%,IF(AND(M49&gt;10,M49&lt;=20),M49*2%,IF(AND(M49&gt;1,M49&lt;=10),M49*2.5%)))))))))</f>
        <v>70.155000000000001</v>
      </c>
      <c r="M64" s="1856">
        <f t="shared" ref="M64:M65" ca="1" si="1">ROUND(L64,1)</f>
        <v>70.2</v>
      </c>
      <c r="N64" s="2020" t="s">
        <v>950</v>
      </c>
      <c r="Z64" s="2209"/>
      <c r="AI64" s="2210"/>
    </row>
    <row r="65" spans="1:35" ht="14.25" customHeight="1">
      <c r="A65" s="2338" t="s">
        <v>951</v>
      </c>
      <c r="B65" s="509" t="s">
        <v>952</v>
      </c>
      <c r="C65" s="2374"/>
      <c r="D65" s="509"/>
      <c r="E65" s="2340"/>
      <c r="F65" s="2333"/>
      <c r="G65" s="2333"/>
      <c r="H65" s="936"/>
      <c r="I65" s="935"/>
      <c r="J65" s="3343"/>
      <c r="K65" s="2371" t="s">
        <v>953</v>
      </c>
      <c r="L65" s="2371">
        <f ca="1">IF(M49&gt;1000,M49*0.1%,IF(AND(M49&gt;500,M49&lt;=1000),M49*0.5%,IF(AND(M49&gt;50,M49&lt;=500),M49*1%,IF(AND(M49&gt;1,M49&lt;=50),M49*1.5%))))</f>
        <v>14.031000000000001</v>
      </c>
      <c r="M65" s="1856">
        <f t="shared" ca="1" si="1"/>
        <v>14</v>
      </c>
      <c r="N65" s="2020" t="s">
        <v>950</v>
      </c>
      <c r="Z65" s="2209"/>
      <c r="AI65" s="2210"/>
    </row>
    <row r="66" spans="1:35" ht="14.25" customHeight="1">
      <c r="A66" s="2335" t="s">
        <v>954</v>
      </c>
      <c r="B66" s="2375" t="s">
        <v>955</v>
      </c>
      <c r="C66" s="2376"/>
      <c r="D66" s="2375" t="s">
        <v>124</v>
      </c>
      <c r="E66" s="2377" t="s">
        <v>956</v>
      </c>
      <c r="F66" s="2333"/>
      <c r="G66" s="2333"/>
      <c r="H66" s="936"/>
      <c r="I66" s="935"/>
      <c r="J66" s="3343"/>
      <c r="K66" s="2371" t="s">
        <v>957</v>
      </c>
      <c r="L66" s="2371">
        <f ca="1">M49*0.5%</f>
        <v>70.155000000000001</v>
      </c>
      <c r="M66" s="1856">
        <f ca="1">IF(L66&gt;0.5,0.5,ROUND(L66,0))</f>
        <v>0.5</v>
      </c>
      <c r="N66" s="2020" t="s">
        <v>958</v>
      </c>
      <c r="Z66" s="2209"/>
      <c r="AI66" s="2210"/>
    </row>
    <row r="67" spans="1:35" ht="14.25" customHeight="1">
      <c r="A67" s="2335" t="s">
        <v>959</v>
      </c>
      <c r="B67" s="2375" t="s">
        <v>960</v>
      </c>
      <c r="C67" s="2378">
        <f ca="1">C63-C66</f>
        <v>13363</v>
      </c>
      <c r="D67" s="509" t="s">
        <v>124</v>
      </c>
      <c r="E67" s="2340"/>
      <c r="F67" s="2333"/>
      <c r="G67" s="2333"/>
      <c r="H67" s="936"/>
      <c r="I67" s="935"/>
      <c r="J67" s="3343"/>
      <c r="K67" s="2371" t="s">
        <v>961</v>
      </c>
      <c r="L67" s="2371">
        <f ca="1">IF(M49&gt;=10000,(8.25+(M49-10000)*0.01%),IF(AND(M49&gt;=8000,M49&lt;10000),(7.85+(M49-8000)*0.02%),IF(AND(M49&gt;=5000,M49&lt;8000),(6.65+(M49-5000)*0.04%),IF(AND(M49&gt;=2000,M49&lt;5000),(4.25+(PM49-2000)*0.08%),IF(AND(M49&gt;=1000,M49&lt;2000),(2.75+(M49-1000)*0.15%),IF(AND(M49&gt;=100,M49&lt;1000),(0.5+(M49-100)*0.25%),IF(AND(M49&gt;0,M49&lt;100),M49*0.5%)))))))</f>
        <v>8.6531000000000002</v>
      </c>
      <c r="M67" s="1856">
        <f ca="1">ROUND(L67*0.9,1)</f>
        <v>7.8</v>
      </c>
      <c r="N67" s="2372"/>
      <c r="Z67" s="2209"/>
      <c r="AI67" s="2210"/>
    </row>
    <row r="68" spans="1:35" ht="14.25" customHeight="1">
      <c r="A68" s="2379" t="s">
        <v>962</v>
      </c>
      <c r="B68" s="2380" t="s">
        <v>963</v>
      </c>
      <c r="C68" s="2381">
        <f ca="1">IF(C67&lt;=0,0,ROUND(C67*D68,0))</f>
        <v>735</v>
      </c>
      <c r="D68" s="771">
        <f>'数据-取费表'!B41</f>
        <v>5.5E-2</v>
      </c>
      <c r="E68" s="2382"/>
      <c r="F68" s="2333"/>
      <c r="G68" s="2333"/>
      <c r="H68" s="936"/>
      <c r="I68" s="935"/>
      <c r="J68" s="3343"/>
      <c r="K68" s="2371" t="s">
        <v>964</v>
      </c>
      <c r="L68" s="2371">
        <f ca="1">IF(M49&gt;10000,M49*0.5%,IF(AND(M49&gt;5000,M49&lt;=10000),M49*1%,IF(AND(M49&gt;1000,M49&lt;=5000),M49*2%,IF(AND(M49&gt;200,M49&lt;=1000),M49*3%,M49*5%))))</f>
        <v>70.155000000000001</v>
      </c>
      <c r="M68" s="1856">
        <f ca="1">ROUND(L68,1)</f>
        <v>70.2</v>
      </c>
      <c r="N68" s="2372"/>
      <c r="Z68" s="2209"/>
      <c r="AI68" s="2210"/>
    </row>
    <row r="69" spans="1:35" ht="16.5" customHeight="1">
      <c r="A69" s="2383"/>
      <c r="B69" s="2384"/>
      <c r="C69" s="2385"/>
      <c r="D69" s="693"/>
      <c r="E69" s="2386"/>
      <c r="F69" s="2332"/>
      <c r="G69" s="2332"/>
      <c r="H69" s="2293"/>
      <c r="I69" s="1999"/>
      <c r="J69" s="3343"/>
      <c r="K69" s="2371" t="s">
        <v>965</v>
      </c>
      <c r="L69" s="2371"/>
      <c r="M69" s="1856">
        <f ca="1">ROUND(SUM(M63:M68),0)</f>
        <v>233</v>
      </c>
      <c r="N69" s="2446">
        <f ca="1">M69/M49</f>
        <v>1.6606086522699737E-2</v>
      </c>
      <c r="Z69" s="2209"/>
      <c r="AI69" s="2210"/>
    </row>
    <row r="70" spans="1:35" s="876" customFormat="1" ht="14.25">
      <c r="A70" s="3292" t="s">
        <v>966</v>
      </c>
      <c r="B70" s="3293"/>
      <c r="C70" s="3293"/>
      <c r="D70" s="3293"/>
      <c r="E70" s="3293"/>
      <c r="F70" s="3293"/>
      <c r="G70" s="3293"/>
      <c r="H70" s="3293"/>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290" t="s">
        <v>941</v>
      </c>
      <c r="B71" s="3291"/>
      <c r="C71" s="528"/>
      <c r="D71" s="528" t="s">
        <v>942</v>
      </c>
      <c r="E71" s="2387" t="s">
        <v>897</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943</v>
      </c>
      <c r="B72" s="2375" t="s">
        <v>967</v>
      </c>
      <c r="C72" s="2378">
        <f ca="1">ROUND(D45/(1+'数据-取费表'!C42),0)</f>
        <v>13363</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954</v>
      </c>
      <c r="B73" s="2305" t="s">
        <v>968</v>
      </c>
      <c r="C73" s="2378">
        <f ca="1">C74+C78</f>
        <v>67</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947</v>
      </c>
      <c r="B74" s="509" t="s">
        <v>969</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970</v>
      </c>
      <c r="B75" s="509" t="s">
        <v>971</v>
      </c>
      <c r="C75" s="579"/>
      <c r="D75" s="509" t="s">
        <v>124</v>
      </c>
      <c r="E75" s="2391" t="s">
        <v>972</v>
      </c>
      <c r="F75" s="2392"/>
      <c r="G75" s="2391" t="s">
        <v>973</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974</v>
      </c>
      <c r="B76" s="2394" t="s">
        <v>975</v>
      </c>
      <c r="C76" s="509">
        <f>IF(F75="购房发票",ROUND(C75*H75*D76,0),0)</f>
        <v>0</v>
      </c>
      <c r="D76" s="2395">
        <v>0.05</v>
      </c>
      <c r="E76" s="3281" t="s">
        <v>976</v>
      </c>
      <c r="F76" s="3279"/>
      <c r="G76" s="3279"/>
      <c r="H76" s="3294"/>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977</v>
      </c>
      <c r="B77" s="509" t="s">
        <v>978</v>
      </c>
      <c r="C77" s="509">
        <f>ROUND(IF(G77="个人住宅",0,IF(G77="2016年5月1日前购买",C75*D77,C75*D77/(1+'数据-取费表'!C42))),0)</f>
        <v>0</v>
      </c>
      <c r="D77" s="2397">
        <f>'数据-取费表'!B48+'数据-取费表'!B49</f>
        <v>3.0499999999999999E-2</v>
      </c>
      <c r="E77" s="2006" t="s">
        <v>979</v>
      </c>
      <c r="F77" s="2398"/>
      <c r="G77" s="2399"/>
      <c r="H77" s="2396" t="str">
        <f>IF(G77="个人买卖住房","免征印花税"," ")</f>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951</v>
      </c>
      <c r="B78" s="509" t="s">
        <v>980</v>
      </c>
      <c r="C78" s="2400">
        <f ca="1">ROUND(D45*D78/(1+'数据-取费表'!C42),0)</f>
        <v>67</v>
      </c>
      <c r="D78" s="2401">
        <f>'数据-取费表'!B43</f>
        <v>5.0000000000000001E-3</v>
      </c>
      <c r="E78" s="3295" t="s">
        <v>981</v>
      </c>
      <c r="F78" s="3296"/>
      <c r="G78" s="3296"/>
      <c r="H78" s="3297"/>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959</v>
      </c>
      <c r="B79" s="2375" t="s">
        <v>982</v>
      </c>
      <c r="C79" s="2378">
        <f ca="1">C72-C73</f>
        <v>13296</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962</v>
      </c>
      <c r="B80" s="2375" t="s">
        <v>983</v>
      </c>
      <c r="C80" s="2405">
        <f ca="1">IF(C79&lt;=0,0,C79/C73)</f>
        <v>198.44776119402985</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984</v>
      </c>
      <c r="B81" s="2380" t="s">
        <v>985</v>
      </c>
      <c r="C81" s="2406">
        <f ca="1">ROUND(IF(C79&lt;=0,0,IF(C80&gt;=200%,C79*60%-C73*35%,IF(C80&gt;=100%,C79*50%-C73*15%,IF(C80&gt;=50%,C79*40%-C73*5%,IF(C80&lt;50%,C79*30%,0))))),0)</f>
        <v>7954</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292" t="s">
        <v>986</v>
      </c>
      <c r="B83" s="3293"/>
      <c r="C83" s="3293"/>
      <c r="D83" s="3293"/>
      <c r="E83" s="3293"/>
      <c r="F83" s="3293"/>
      <c r="G83" s="3293"/>
      <c r="H83" s="3293"/>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290" t="s">
        <v>941</v>
      </c>
      <c r="B84" s="3291"/>
      <c r="C84" s="528"/>
      <c r="D84" s="528" t="s">
        <v>942</v>
      </c>
      <c r="E84" s="2387" t="s">
        <v>897</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943</v>
      </c>
      <c r="B85" s="2375" t="s">
        <v>967</v>
      </c>
      <c r="C85" s="2378">
        <f ca="1">ROUND(D45/(1+'数据-取费表'!C42),0)</f>
        <v>13363</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954</v>
      </c>
      <c r="B86" s="2305" t="s">
        <v>968</v>
      </c>
      <c r="C86" s="2378">
        <f ca="1">IF(H88="仅含出让金",C87+C90+C91+C92+C93+C94,C87+C91+C92+C93+C94)</f>
        <v>67</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947</v>
      </c>
      <c r="B87" s="509" t="s">
        <v>987</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970</v>
      </c>
      <c r="B88" s="509" t="s">
        <v>988</v>
      </c>
      <c r="C88" s="2415"/>
      <c r="D88" s="2401"/>
      <c r="E88" s="2416" t="s">
        <v>989</v>
      </c>
      <c r="F88" s="2403"/>
      <c r="G88" s="2417" t="s">
        <v>990</v>
      </c>
      <c r="H88" s="2418"/>
      <c r="I88" s="789"/>
      <c r="J88" s="2451" t="s">
        <v>991</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974</v>
      </c>
      <c r="B89" s="509" t="s">
        <v>978</v>
      </c>
      <c r="C89" s="2400">
        <f>ROUND(C88*D89,0)</f>
        <v>0</v>
      </c>
      <c r="D89" s="2401">
        <f>'数据-取费表'!B48+'数据-取费表'!B49</f>
        <v>3.0499999999999999E-2</v>
      </c>
      <c r="E89" s="2416" t="s">
        <v>992</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951</v>
      </c>
      <c r="B90" s="509" t="s">
        <v>993</v>
      </c>
      <c r="C90" s="2415"/>
      <c r="D90" s="2401"/>
      <c r="E90" s="2416" t="str">
        <f>IF(H88="-","土地取得成本中已包含该笔费用"," ")</f>
        <v/>
      </c>
      <c r="F90" s="2403"/>
      <c r="G90" s="3298" t="s">
        <v>994</v>
      </c>
      <c r="H90" s="3299"/>
      <c r="I90" s="789"/>
      <c r="J90" s="2451" t="s">
        <v>995</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996</v>
      </c>
      <c r="B91" s="509" t="s">
        <v>997</v>
      </c>
      <c r="C91" s="2400">
        <f>IF(H91="——",成本法!C33,I91)</f>
        <v>0</v>
      </c>
      <c r="D91" s="2401"/>
      <c r="E91" s="3295" t="s">
        <v>998</v>
      </c>
      <c r="F91" s="3296"/>
      <c r="G91" s="3296"/>
      <c r="H91" s="2419"/>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999</v>
      </c>
      <c r="B92" s="509" t="s">
        <v>1000</v>
      </c>
      <c r="C92" s="2400">
        <f>ROUND((C87+C90+C91)*D92,0)</f>
        <v>0</v>
      </c>
      <c r="D92" s="2420"/>
      <c r="E92" s="3295" t="s">
        <v>1001</v>
      </c>
      <c r="F92" s="3296"/>
      <c r="G92" s="3296"/>
      <c r="H92" s="3297"/>
      <c r="I92" s="789"/>
      <c r="J92" s="2453" t="s">
        <v>1002</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1003</v>
      </c>
      <c r="B93" s="509" t="s">
        <v>980</v>
      </c>
      <c r="C93" s="2400">
        <f ca="1">ROUND(D45*D93/(1+'数据-取费表'!C42),0)</f>
        <v>67</v>
      </c>
      <c r="D93" s="2401">
        <f>'数据-取费表'!B43</f>
        <v>5.0000000000000001E-3</v>
      </c>
      <c r="E93" s="3295" t="s">
        <v>981</v>
      </c>
      <c r="F93" s="3296"/>
      <c r="G93" s="3296"/>
      <c r="H93" s="3297"/>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1004</v>
      </c>
      <c r="B94" s="509" t="s">
        <v>1005</v>
      </c>
      <c r="C94" s="2415">
        <f>ROUND((C87+C90+C91)*D94,0)</f>
        <v>0</v>
      </c>
      <c r="D94" s="2401">
        <v>0.2</v>
      </c>
      <c r="E94" s="3300" t="s">
        <v>1006</v>
      </c>
      <c r="F94" s="3301"/>
      <c r="G94" s="3301"/>
      <c r="H94" s="3302"/>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959</v>
      </c>
      <c r="B95" s="2375" t="s">
        <v>982</v>
      </c>
      <c r="C95" s="2378">
        <f ca="1">ROUND(C85-C86,0)</f>
        <v>13296</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962</v>
      </c>
      <c r="B96" s="2375" t="s">
        <v>983</v>
      </c>
      <c r="C96" s="2405">
        <f ca="1">IF(C95&lt;=0,0,C95/C86)</f>
        <v>198.44776119402985</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984</v>
      </c>
      <c r="B97" s="2380" t="s">
        <v>985</v>
      </c>
      <c r="C97" s="2406">
        <f ca="1">ROUND(IF(C95&lt;=0,0,IF(C96&gt;=200%,C95*60%-C86*35%,IF(C96&gt;=100%,C95*50%-C86*15%,IF(C96&gt;=50%,C95*40%-C86*5%,IF(C96&lt;50%,C95*30%,0))))),0)</f>
        <v>7954</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1007</v>
      </c>
      <c r="B99" s="1999"/>
      <c r="C99" s="1999"/>
      <c r="D99" s="1999"/>
      <c r="E99" s="2332"/>
      <c r="F99" s="2332"/>
      <c r="G99" s="2332"/>
      <c r="H99" s="2293"/>
      <c r="I99" s="935"/>
    </row>
    <row r="100" spans="1:35" ht="18.75" customHeight="1">
      <c r="A100" s="3241" t="s">
        <v>1008</v>
      </c>
      <c r="B100" s="3242"/>
      <c r="C100" s="3242"/>
      <c r="D100" s="3303"/>
      <c r="E100" s="3242" t="s">
        <v>1009</v>
      </c>
      <c r="F100" s="3242"/>
      <c r="G100" s="3242"/>
      <c r="H100" s="3303"/>
      <c r="I100" s="935"/>
    </row>
    <row r="101" spans="1:35" ht="18.75" customHeight="1">
      <c r="A101" s="3304" t="s">
        <v>1010</v>
      </c>
      <c r="B101" s="3305"/>
      <c r="C101" s="2423" t="str">
        <f>C4</f>
        <v>成本法</v>
      </c>
      <c r="D101" s="2424" t="str">
        <f>D4</f>
        <v>收益法</v>
      </c>
      <c r="E101" s="3349" t="s">
        <v>1011</v>
      </c>
      <c r="F101" s="3345"/>
      <c r="G101" s="2426" t="s">
        <v>1012</v>
      </c>
      <c r="H101" s="2427">
        <f ca="1">H118</f>
        <v>14031</v>
      </c>
      <c r="I101" s="935"/>
    </row>
    <row r="102" spans="1:35" ht="18.75" customHeight="1">
      <c r="A102" s="3329" t="s">
        <v>1013</v>
      </c>
      <c r="B102" s="2428" t="s">
        <v>1012</v>
      </c>
      <c r="C102" s="2423">
        <f ca="1">IF(D32="楼面单价",ROUND(C19,0),C19)</f>
        <v>16978</v>
      </c>
      <c r="D102" s="2424">
        <f ca="1">IF(D32="楼面单价",ROUND(D19,0),D19)</f>
        <v>9610</v>
      </c>
      <c r="E102" s="3349"/>
      <c r="F102" s="3345"/>
      <c r="G102" s="2426" t="s">
        <v>99</v>
      </c>
      <c r="H102" s="2321">
        <f ca="1">I118</f>
        <v>11005</v>
      </c>
      <c r="I102" s="935"/>
    </row>
    <row r="103" spans="1:35" ht="42.75" customHeight="1">
      <c r="A103" s="3329"/>
      <c r="B103" s="2428" t="s">
        <v>99</v>
      </c>
      <c r="C103" s="2429">
        <f ca="1">C20</f>
        <v>13316</v>
      </c>
      <c r="D103" s="2430">
        <f ca="1">D20</f>
        <v>7537</v>
      </c>
      <c r="E103" s="3306" t="s">
        <v>1014</v>
      </c>
      <c r="F103" s="3307"/>
      <c r="G103" s="2431" t="s">
        <v>102</v>
      </c>
      <c r="H103" s="2427">
        <f>IF(D36="正常操作",H104+H105+H106,H105+H106)</f>
        <v>0</v>
      </c>
      <c r="I103" s="935"/>
    </row>
    <row r="104" spans="1:35" ht="18.75" customHeight="1">
      <c r="A104" s="3329" t="s">
        <v>1015</v>
      </c>
      <c r="B104" s="2432" t="s">
        <v>1012</v>
      </c>
      <c r="C104" s="2433">
        <f ca="1">H118</f>
        <v>14031</v>
      </c>
      <c r="D104" s="2434"/>
      <c r="E104" s="2278" t="s">
        <v>1016</v>
      </c>
      <c r="F104" s="2435"/>
      <c r="G104" s="2431" t="s">
        <v>102</v>
      </c>
      <c r="H104" s="2436">
        <f>IF(D36="同一抵押权人同一抵押物续贷",C36&amp;"（续贷，未扣减，详见特别提示）",C36)</f>
        <v>0</v>
      </c>
      <c r="I104" s="935"/>
    </row>
    <row r="105" spans="1:35" ht="18.75" customHeight="1">
      <c r="A105" s="3330"/>
      <c r="B105" s="2437" t="s">
        <v>99</v>
      </c>
      <c r="C105" s="2438">
        <f ca="1">I118</f>
        <v>11005</v>
      </c>
      <c r="D105" s="2439"/>
      <c r="E105" s="2278" t="s">
        <v>1017</v>
      </c>
      <c r="F105" s="2435"/>
      <c r="G105" s="2431" t="s">
        <v>102</v>
      </c>
      <c r="H105" s="2440">
        <f>C37</f>
        <v>0</v>
      </c>
      <c r="I105" s="935"/>
    </row>
    <row r="106" spans="1:35" ht="18.75" customHeight="1">
      <c r="A106" s="1999" t="s">
        <v>1018</v>
      </c>
      <c r="B106" s="1999"/>
      <c r="C106" s="1999"/>
      <c r="D106" s="1999"/>
      <c r="E106" s="2441" t="s">
        <v>1019</v>
      </c>
      <c r="F106" s="2435"/>
      <c r="G106" s="2431" t="s">
        <v>102</v>
      </c>
      <c r="H106" s="2440">
        <f>C38</f>
        <v>0</v>
      </c>
      <c r="I106" s="935"/>
    </row>
    <row r="107" spans="1:35" ht="18.75" customHeight="1">
      <c r="A107" s="935"/>
      <c r="B107" s="935"/>
      <c r="C107" s="935"/>
      <c r="D107" s="935"/>
      <c r="E107" s="3344" t="str">
        <f>IF(项目基本情况!E8="已注销","——","3.房地产抵押价值")</f>
        <v>3.房地产抵押价值</v>
      </c>
      <c r="F107" s="3345"/>
      <c r="G107" s="2426" t="s">
        <v>1012</v>
      </c>
      <c r="H107" s="2427">
        <f ca="1">IF(E107="——","——",H101-H103)</f>
        <v>14031</v>
      </c>
      <c r="I107" s="935"/>
    </row>
    <row r="108" spans="1:35" ht="18.75" customHeight="1">
      <c r="A108" s="935"/>
      <c r="B108" s="935"/>
      <c r="C108" s="935"/>
      <c r="D108" s="935"/>
      <c r="E108" s="3344"/>
      <c r="F108" s="3345"/>
      <c r="G108" s="2426" t="s">
        <v>99</v>
      </c>
      <c r="H108" s="2321">
        <f ca="1">IF(H107=H101,H102,ROUND(H107*10000/'数据-汇总表'!E3,0))</f>
        <v>11005</v>
      </c>
      <c r="I108" s="935"/>
    </row>
    <row r="109" spans="1:35" ht="18.75" customHeight="1">
      <c r="A109" s="935"/>
      <c r="B109" s="935"/>
      <c r="C109" s="935"/>
      <c r="D109" s="935"/>
      <c r="E109" s="3344" t="str">
        <f>IF(项目基本情况!E8="已注销及未注销","4.抵押担保权已注销时的房地产抵押价值",IF(项目基本情况!E8="已注销","3.抵押担保权已注销时的房地产抵押价值","——"))</f>
        <v>——</v>
      </c>
      <c r="F109" s="3345"/>
      <c r="G109" s="2426" t="s">
        <v>1012</v>
      </c>
      <c r="H109" s="2442" t="str">
        <f>IF(E109="——","——",H101-H105-H106)</f>
        <v>——</v>
      </c>
      <c r="I109" s="935"/>
    </row>
    <row r="110" spans="1:35" ht="18.75" customHeight="1">
      <c r="A110" s="935"/>
      <c r="B110" s="935"/>
      <c r="C110" s="935"/>
      <c r="D110" s="935"/>
      <c r="E110" s="3344"/>
      <c r="F110" s="3345"/>
      <c r="G110" s="2426" t="s">
        <v>99</v>
      </c>
      <c r="H110" s="2321" t="str">
        <f>IF(H109="——","——",ROUND(H109*10000/'数据-汇总表'!E3,0))</f>
        <v>——</v>
      </c>
      <c r="I110" s="935"/>
    </row>
    <row r="111" spans="1:35" ht="18.75" customHeight="1">
      <c r="A111" s="935"/>
      <c r="B111" s="935"/>
      <c r="C111" s="935"/>
      <c r="D111" s="935"/>
      <c r="E111" s="3346" t="str">
        <f>IF(项目基本情况!E9="抵押净值",IF(OR(项目基本情况!E8="已注销",项目基本情况!E8="房地产抵押价值"),"4.抵押净值","5.抵押净值"),"——")</f>
        <v>——</v>
      </c>
      <c r="F111" s="3322"/>
      <c r="G111" s="2426" t="s">
        <v>1012</v>
      </c>
      <c r="H111" s="2427" t="str">
        <f>IF(E111="——","——",N59)</f>
        <v>——</v>
      </c>
      <c r="I111" s="935"/>
    </row>
    <row r="112" spans="1:35" ht="18.75" customHeight="1">
      <c r="A112" s="935"/>
      <c r="B112" s="935"/>
      <c r="C112" s="935"/>
      <c r="D112" s="935"/>
      <c r="E112" s="3347"/>
      <c r="F112" s="3348"/>
      <c r="G112" s="2443" t="s">
        <v>99</v>
      </c>
      <c r="H112" s="2444" t="str">
        <f>IF(E111="——","——",N61)</f>
        <v>——</v>
      </c>
      <c r="I112" s="935"/>
    </row>
    <row r="113" spans="1:27" ht="18.75" customHeight="1">
      <c r="A113" s="935"/>
      <c r="B113" s="935"/>
      <c r="C113" s="935"/>
      <c r="D113" s="935"/>
      <c r="E113" s="3308" t="s">
        <v>1018</v>
      </c>
      <c r="F113" s="3308"/>
      <c r="G113" s="3308"/>
      <c r="H113" s="3308"/>
      <c r="I113" s="935"/>
    </row>
    <row r="114" spans="1:27" ht="3.75" customHeight="1">
      <c r="A114" s="1999"/>
      <c r="B114" s="1999"/>
      <c r="C114" s="1999"/>
      <c r="D114" s="1999"/>
      <c r="E114" s="2331"/>
      <c r="F114" s="2331"/>
      <c r="G114" s="2331"/>
      <c r="H114" s="2331"/>
      <c r="I114" s="1999"/>
    </row>
    <row r="115" spans="1:27" ht="18.75" customHeight="1">
      <c r="A115" s="3309" t="s">
        <v>1020</v>
      </c>
      <c r="B115" s="3310"/>
      <c r="C115" s="3310"/>
      <c r="D115" s="3310"/>
      <c r="E115" s="3310"/>
      <c r="F115" s="3310"/>
      <c r="G115" s="3310"/>
      <c r="H115" s="3310"/>
      <c r="I115" s="3311"/>
    </row>
    <row r="116" spans="1:27" ht="27" customHeight="1">
      <c r="A116" s="3315" t="s">
        <v>1021</v>
      </c>
      <c r="B116" s="3332" t="s">
        <v>1022</v>
      </c>
      <c r="C116" s="3332" t="s">
        <v>1023</v>
      </c>
      <c r="D116" s="3312" t="s">
        <v>1024</v>
      </c>
      <c r="E116" s="3313"/>
      <c r="F116" s="3314" t="s">
        <v>1025</v>
      </c>
      <c r="G116" s="3314"/>
      <c r="H116" s="3315" t="s">
        <v>1026</v>
      </c>
      <c r="I116" s="3315"/>
    </row>
    <row r="117" spans="1:27" ht="18.75" customHeight="1">
      <c r="A117" s="3315"/>
      <c r="B117" s="3333"/>
      <c r="C117" s="3333"/>
      <c r="D117" s="868" t="s">
        <v>1027</v>
      </c>
      <c r="E117" s="868" t="s">
        <v>855</v>
      </c>
      <c r="F117" s="868" t="s">
        <v>1027</v>
      </c>
      <c r="G117" s="868" t="s">
        <v>855</v>
      </c>
      <c r="H117" s="868" t="s">
        <v>1027</v>
      </c>
      <c r="I117" s="868" t="s">
        <v>855</v>
      </c>
      <c r="J117" s="894">
        <f>C118/666.67</f>
        <v>101.027239863801</v>
      </c>
      <c r="K117" s="3503" t="s">
        <v>2796</v>
      </c>
    </row>
    <row r="118" spans="1:27" ht="24.75" customHeight="1">
      <c r="A118" s="2445" t="str">
        <f>项目基本情况!S2</f>
        <v>北京市房地产</v>
      </c>
      <c r="B118" s="868">
        <f>M18</f>
        <v>12749.85</v>
      </c>
      <c r="C118" s="868">
        <f>M19</f>
        <v>67351.83</v>
      </c>
      <c r="D118" s="868">
        <f ca="1">ROUND(IF(D32="总价",C34,E118*B118/10000),0)</f>
        <v>11141</v>
      </c>
      <c r="E118" s="868">
        <f ca="1">ROUND(IF(C33="自定义",IF(D32="楼面单价",C34,D118*10000/B118),I118-G118),0)</f>
        <v>8738</v>
      </c>
      <c r="F118" s="868">
        <f ca="1">ROUND(IF(D32="总价",C35,G118*B118/10000),0)</f>
        <v>2890</v>
      </c>
      <c r="G118" s="868">
        <f ca="1">ROUND(IF(D32="楼面单价",C35,F118*10000/B118),0)</f>
        <v>2267</v>
      </c>
      <c r="H118" s="868">
        <f ca="1">ROUND(IF(D32="总价",C32,I118*B118/10000),0)</f>
        <v>14031</v>
      </c>
      <c r="I118" s="868">
        <f ca="1">ROUND(IF(D32="楼面单价",C32,H118*10000/B118),0)</f>
        <v>11005</v>
      </c>
      <c r="J118" s="894">
        <f ca="1">D118/J117</f>
        <v>110.27718875641503</v>
      </c>
      <c r="K118" s="3504" t="s">
        <v>2797</v>
      </c>
    </row>
    <row r="119" spans="1:27" ht="18.75" customHeight="1">
      <c r="A119" s="3315" t="s">
        <v>1028</v>
      </c>
      <c r="B119" s="3315"/>
      <c r="C119" s="3315"/>
      <c r="D119" s="3316" t="str">
        <f ca="1">NUMBERSTRING(INT(D118*10000),2)&amp;"元整"</f>
        <v>壹亿壹仟壹佰肆拾壹万元整</v>
      </c>
      <c r="E119" s="3317"/>
      <c r="F119" s="3316" t="str">
        <f ca="1">NUMBERSTRING(INT(F118*10000),2)&amp;"元整"</f>
        <v>贰仟捌佰玖拾万元整</v>
      </c>
      <c r="G119" s="3317"/>
      <c r="H119" s="3316" t="str">
        <f ca="1">NUMBERSTRING(INT(H118*10000),2)&amp;"元整"</f>
        <v>壹亿肆仟零叁拾壹万元整</v>
      </c>
      <c r="I119" s="3317"/>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2209"/>
      <c r="K120" s="2209" t="str">
        <f>IF(D120=0,"故，本次评估不存在"&amp;A120,"故，本次评估"&amp;A120&amp;"为人民币"&amp;D120&amp;"万元整。")</f>
        <v>故，本次评估不存在估价师知悉的法定优先受偿款</v>
      </c>
      <c r="L120" s="2209"/>
      <c r="M120" s="2209"/>
      <c r="N120" s="2209"/>
      <c r="O120" s="2209"/>
      <c r="P120" s="2209"/>
      <c r="Q120" s="2209"/>
      <c r="R120" s="2209"/>
      <c r="S120" s="2209"/>
    </row>
    <row r="121" spans="1:27" ht="18.75" customHeight="1">
      <c r="A121" s="3316" t="s">
        <v>1028</v>
      </c>
      <c r="B121" s="3321"/>
      <c r="C121" s="3317"/>
      <c r="D121" s="3316" t="str">
        <f>IF(D120=0,"零元整",NUMBERSTRING(INT(D120*10000),2)&amp;"元整")</f>
        <v>零元整</v>
      </c>
      <c r="E121" s="3321"/>
      <c r="F121" s="3321"/>
      <c r="G121" s="3321"/>
      <c r="H121" s="3321"/>
      <c r="I121" s="3317"/>
      <c r="AA121" s="894"/>
    </row>
    <row r="122" spans="1:27" ht="18.75" customHeight="1">
      <c r="A122" s="3322" t="str">
        <f>IF(项目基本情况!B9="房地产市场价值","",MID(E107,3,LEN(E107)-2))</f>
        <v>房地产抵押价值</v>
      </c>
      <c r="B122" s="3322"/>
      <c r="C122" s="3322"/>
      <c r="D122" s="3318">
        <f ca="1">H107</f>
        <v>14031</v>
      </c>
      <c r="E122" s="3319"/>
      <c r="F122" s="3319"/>
      <c r="G122" s="3319"/>
      <c r="H122" s="3319"/>
      <c r="I122" s="3320"/>
      <c r="AA122" s="894"/>
    </row>
    <row r="123" spans="1:27" ht="18.75" customHeight="1">
      <c r="A123" s="3315" t="s">
        <v>1028</v>
      </c>
      <c r="B123" s="3315"/>
      <c r="C123" s="3315"/>
      <c r="D123" s="3316" t="str">
        <f ca="1">NUMBERSTRING(INT(D122*10000),2)&amp;"元整"</f>
        <v>壹亿肆仟零叁拾壹万元整</v>
      </c>
      <c r="E123" s="3321"/>
      <c r="F123" s="3321"/>
      <c r="G123" s="3321"/>
      <c r="H123" s="3321"/>
      <c r="I123" s="3317"/>
      <c r="AA123" s="894"/>
    </row>
    <row r="124" spans="1:27" ht="18.75" customHeight="1">
      <c r="A124" s="3322" t="str">
        <f>IF(项目基本情况!B9="房地产市场价值","",MID(E109,3,LEN(E109)-2))</f>
        <v/>
      </c>
      <c r="B124" s="3322"/>
      <c r="C124" s="3322"/>
      <c r="D124" s="3318" t="str">
        <f>H109</f>
        <v>——</v>
      </c>
      <c r="E124" s="3319"/>
      <c r="F124" s="3319"/>
      <c r="G124" s="3319"/>
      <c r="H124" s="3319"/>
      <c r="I124" s="3320"/>
      <c r="AA124" s="894"/>
    </row>
    <row r="125" spans="1:27" ht="18.75" customHeight="1">
      <c r="A125" s="3315" t="s">
        <v>1028</v>
      </c>
      <c r="B125" s="3315"/>
      <c r="C125" s="3315"/>
      <c r="D125" s="3316" t="e">
        <f>NUMBERSTRING(INT(D124*10000),2)&amp;"元整"</f>
        <v>#VALUE!</v>
      </c>
      <c r="E125" s="3321"/>
      <c r="F125" s="3321"/>
      <c r="G125" s="3321"/>
      <c r="H125" s="3321"/>
      <c r="I125" s="3317"/>
      <c r="AA125" s="894"/>
    </row>
    <row r="126" spans="1:27" ht="18.75" customHeight="1">
      <c r="A126" s="3322" t="str">
        <f>IF(项目基本情况!B9="房地产市场价值","",MID(E111,3,LEN(E111)-2))</f>
        <v/>
      </c>
      <c r="B126" s="3322"/>
      <c r="C126" s="3322"/>
      <c r="D126" s="3318" t="str">
        <f>H111</f>
        <v>——</v>
      </c>
      <c r="E126" s="3319"/>
      <c r="F126" s="3319"/>
      <c r="G126" s="3319"/>
      <c r="H126" s="3319"/>
      <c r="I126" s="3320"/>
      <c r="AA126" s="894"/>
    </row>
    <row r="127" spans="1:27" ht="18.75" customHeight="1">
      <c r="A127" s="3315" t="s">
        <v>1028</v>
      </c>
      <c r="B127" s="3315"/>
      <c r="C127" s="3315"/>
      <c r="D127" s="3316" t="e">
        <f>NUMBERSTRING(INT(D126*10000),2)&amp;"元整"</f>
        <v>#VALUE!</v>
      </c>
      <c r="E127" s="3321"/>
      <c r="F127" s="3321"/>
      <c r="G127" s="3321"/>
      <c r="H127" s="3321"/>
      <c r="I127" s="3317"/>
      <c r="AA127" s="894"/>
    </row>
    <row r="128" spans="1:27" ht="21.75" customHeight="1">
      <c r="A128" s="3323" t="s">
        <v>113</v>
      </c>
      <c r="B128" s="3323"/>
      <c r="C128" s="3323"/>
      <c r="D128" s="3323"/>
      <c r="E128" s="3323"/>
      <c r="F128" s="3323"/>
      <c r="G128" s="3323"/>
      <c r="H128" s="3323"/>
      <c r="I128" s="3323"/>
      <c r="AA128" s="894"/>
    </row>
    <row r="129" spans="1:35" ht="21.75" customHeight="1">
      <c r="A129" s="2455" t="s">
        <v>1029</v>
      </c>
      <c r="B129" s="2456"/>
      <c r="C129" s="2457" t="s">
        <v>1030</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1031</v>
      </c>
      <c r="G135" s="2467"/>
      <c r="H135" s="2467"/>
      <c r="I135" s="2475" t="s">
        <v>1032</v>
      </c>
    </row>
    <row r="136" spans="1:35" ht="21.75" customHeight="1">
      <c r="A136" s="894"/>
      <c r="B136" s="2468" t="s">
        <v>1033</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1034</v>
      </c>
    </row>
    <row r="139" spans="1:35" ht="21.75" customHeight="1">
      <c r="A139" s="894"/>
      <c r="B139" s="2468" t="s">
        <v>1035</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1034</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09"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09"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09"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09"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09"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09"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09"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09"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09"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09"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09"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09"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09"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09"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09"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09"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09"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09"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09"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09"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09"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09"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09"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09"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09"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09"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09"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09"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09"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09"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09"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09"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09"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09"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09"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09"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09"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09"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09"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09"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09"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09"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09"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09"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09"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09"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09"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09"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09"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09"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09"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09"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09"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09"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09"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09"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09"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09"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09"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09"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09"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09"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09"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09"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09"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09"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09"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09"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09"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09"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09"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09"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09"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09"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09"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09"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09"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09"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09"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09"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09"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09"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09"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09"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09"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09"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09"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09"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09"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09"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09"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09"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09"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09"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09"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09"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09"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09"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09"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09"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09"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09"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09"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09"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68" t="str">
        <f>项目基本情况!B1</f>
        <v>北京市房地产抵押价值预评估</v>
      </c>
      <c r="C37" s="3168"/>
      <c r="D37" s="3168"/>
      <c r="E37" s="3168"/>
      <c r="F37" s="3168"/>
      <c r="G37" s="3168"/>
      <c r="H37" s="3168"/>
      <c r="I37" s="3168"/>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workbookViewId="0">
      <selection activeCell="L43" sqref="L43"/>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1036</v>
      </c>
      <c r="B1" s="2196" t="s">
        <v>611</v>
      </c>
      <c r="C1" s="343"/>
      <c r="D1" s="343"/>
      <c r="E1" s="343"/>
      <c r="F1" s="343"/>
      <c r="G1" s="2198">
        <f>MATCH(B1,'数据-取费表'!A6:A16,0)+5</f>
        <v>6</v>
      </c>
    </row>
    <row r="2" spans="1:9" s="333" customFormat="1" ht="18" customHeight="1">
      <c r="A2" s="345" t="s">
        <v>1037</v>
      </c>
      <c r="B2" s="346">
        <f ca="1">IF(D2="——",C52,C52-E2)</f>
        <v>16978</v>
      </c>
      <c r="C2" s="344" t="s">
        <v>1038</v>
      </c>
      <c r="D2" s="2200" t="s">
        <v>124</v>
      </c>
      <c r="E2" s="2201" t="e">
        <f ca="1">SUMIF(INDIRECT("'"&amp;G2&amp;"'"&amp;"!A:A"),"承租人权益价值",INDIRECT("'"&amp;G2&amp;"'"&amp;"!c:c"))</f>
        <v>#REF!</v>
      </c>
      <c r="F2" s="2202" t="s">
        <v>1038</v>
      </c>
      <c r="G2" s="2203"/>
    </row>
    <row r="3" spans="1:9" s="333" customFormat="1" ht="18" customHeight="1">
      <c r="A3" s="348" t="s">
        <v>1039</v>
      </c>
      <c r="B3" s="349">
        <f ca="1">ROUND(B2*10000/(IF(B1="",'数据-汇总表'!E3,INDIRECT("'数据-取费表'!k"&amp;$G$1))),0)</f>
        <v>13316</v>
      </c>
      <c r="C3" s="344" t="s">
        <v>1040</v>
      </c>
      <c r="D3" s="344"/>
      <c r="E3" s="344"/>
      <c r="F3" s="344"/>
      <c r="G3" s="344"/>
    </row>
    <row r="4" spans="1:9" s="334" customFormat="1" ht="15.75">
      <c r="A4" s="350" t="s">
        <v>1041</v>
      </c>
      <c r="B4" s="351"/>
      <c r="C4" s="351"/>
      <c r="D4" s="351"/>
      <c r="E4" s="351"/>
      <c r="F4" s="351"/>
      <c r="G4" s="352"/>
    </row>
    <row r="5" spans="1:9" s="335" customFormat="1" ht="13.5" customHeight="1">
      <c r="A5" s="353" t="s">
        <v>1042</v>
      </c>
      <c r="B5" s="354" t="s">
        <v>1043</v>
      </c>
      <c r="C5" s="355">
        <f ca="1">C6+C7+C8</f>
        <v>10813</v>
      </c>
      <c r="D5" s="355" t="s">
        <v>1044</v>
      </c>
      <c r="E5" s="356" t="s">
        <v>1045</v>
      </c>
      <c r="F5" s="356" t="s">
        <v>942</v>
      </c>
      <c r="G5" s="357"/>
    </row>
    <row r="6" spans="1:9" s="335" customFormat="1" ht="13.5" customHeight="1">
      <c r="A6" s="358" t="s">
        <v>1046</v>
      </c>
      <c r="B6" s="359" t="s">
        <v>1047</v>
      </c>
      <c r="C6" s="360">
        <f>基准地价修正!B2</f>
        <v>10258</v>
      </c>
      <c r="D6" s="361"/>
      <c r="E6" s="362"/>
      <c r="F6" s="362"/>
      <c r="G6" s="363"/>
    </row>
    <row r="7" spans="1:9" s="335" customFormat="1" ht="13.5" customHeight="1">
      <c r="A7" s="358" t="s">
        <v>1048</v>
      </c>
      <c r="B7" s="359" t="s">
        <v>1049</v>
      </c>
      <c r="C7" s="364">
        <f>ROUND(C6*F7,0)</f>
        <v>313</v>
      </c>
      <c r="D7" s="364"/>
      <c r="E7" s="362"/>
      <c r="F7" s="365">
        <f>IF(项目基本情况!B8="出让",0,'数据-取费表'!B48+'数据-取费表'!B49)</f>
        <v>3.0499999999999999E-2</v>
      </c>
      <c r="G7" s="363"/>
    </row>
    <row r="8" spans="1:9" s="336" customFormat="1">
      <c r="A8" s="358" t="s">
        <v>1050</v>
      </c>
      <c r="B8" s="359" t="s">
        <v>1051</v>
      </c>
      <c r="C8" s="364">
        <f ca="1">IF(G8="已包含在土地购买价格中","0",IF(B1="",'数据-取费表'!B29,IF(G9="全部缴纳",C9+C10,H9)))</f>
        <v>242</v>
      </c>
      <c r="D8" s="366"/>
      <c r="E8" s="364"/>
      <c r="F8" s="365"/>
      <c r="G8" s="2204" t="s">
        <v>1052</v>
      </c>
    </row>
    <row r="9" spans="1:9" s="335" customFormat="1" ht="13.5" customHeight="1">
      <c r="A9" s="368" t="s">
        <v>1053</v>
      </c>
      <c r="B9" s="369" t="s">
        <v>1054</v>
      </c>
      <c r="C9" s="370">
        <f ca="1">ROUND(D9*E9/10000,0)</f>
        <v>0</v>
      </c>
      <c r="D9" s="371">
        <f ca="1">IF(B1="",'数据-汇总表'!E5,IF(INDIRECT("'数据-取费表'!c"&amp;$G$1)="住宅",INDIRECT("'数据-取费表'!k"&amp;$G$1),0))</f>
        <v>0</v>
      </c>
      <c r="E9" s="370">
        <f>'数据-取费表'!B27</f>
        <v>150</v>
      </c>
      <c r="F9" s="365"/>
      <c r="G9" s="2205" t="s">
        <v>1055</v>
      </c>
      <c r="H9" s="2206"/>
      <c r="I9" s="2207" t="s">
        <v>1056</v>
      </c>
    </row>
    <row r="10" spans="1:9" s="335" customFormat="1" ht="13.5" customHeight="1">
      <c r="A10" s="368" t="s">
        <v>1057</v>
      </c>
      <c r="B10" s="369" t="s">
        <v>1058</v>
      </c>
      <c r="C10" s="370">
        <f ca="1">ROUND(D10*E10/10000,0)</f>
        <v>242</v>
      </c>
      <c r="D10" s="371">
        <f ca="1">IF(B1="",'数据-汇总表'!E6,IF(INDIRECT("'数据-取费表'!c"&amp;$G$1)="住宅",INDIRECT("'数据-取费表'!s"&amp;$G$1),INDIRECT("'数据-取费表'!k"&amp;$G$1)+INDIRECT("'数据-取费表'!s"&amp;$G$1)))</f>
        <v>12749.85</v>
      </c>
      <c r="E10" s="370">
        <f>'数据-取费表'!B28</f>
        <v>190</v>
      </c>
      <c r="F10" s="365"/>
      <c r="G10" s="372"/>
    </row>
    <row r="11" spans="1:9" s="335" customFormat="1" ht="13.5" hidden="1" customHeight="1">
      <c r="A11" s="373" t="s">
        <v>1059</v>
      </c>
      <c r="B11" s="359" t="s">
        <v>1060</v>
      </c>
      <c r="C11" s="355"/>
      <c r="D11" s="362"/>
      <c r="E11" s="362"/>
      <c r="F11" s="362"/>
      <c r="G11" s="363"/>
    </row>
    <row r="12" spans="1:9" s="335" customFormat="1" ht="13.5" hidden="1" customHeight="1">
      <c r="A12" s="373" t="s">
        <v>1061</v>
      </c>
      <c r="B12" s="359" t="s">
        <v>978</v>
      </c>
      <c r="C12" s="355">
        <v>0</v>
      </c>
      <c r="D12" s="362"/>
      <c r="E12" s="374"/>
      <c r="F12" s="365">
        <v>3.0499999999999999E-2</v>
      </c>
      <c r="G12" s="363"/>
    </row>
    <row r="13" spans="1:9" s="335" customFormat="1" ht="13.5" hidden="1" customHeight="1">
      <c r="A13" s="373" t="s">
        <v>1062</v>
      </c>
      <c r="B13" s="359" t="s">
        <v>1063</v>
      </c>
      <c r="C13" s="355"/>
      <c r="D13" s="362"/>
      <c r="E13" s="362"/>
      <c r="F13" s="362"/>
      <c r="G13" s="363"/>
    </row>
    <row r="14" spans="1:9" s="335" customFormat="1" ht="13.5" hidden="1" customHeight="1">
      <c r="A14" s="373" t="s">
        <v>1064</v>
      </c>
      <c r="B14" s="359" t="s">
        <v>1051</v>
      </c>
      <c r="C14" s="355"/>
      <c r="D14" s="362"/>
      <c r="E14" s="362"/>
      <c r="F14" s="362"/>
      <c r="G14" s="363" t="s">
        <v>1065</v>
      </c>
    </row>
    <row r="15" spans="1:9" s="335" customFormat="1" ht="13.5" hidden="1" customHeight="1">
      <c r="A15" s="373" t="s">
        <v>1066</v>
      </c>
      <c r="B15" s="359" t="s">
        <v>1067</v>
      </c>
      <c r="C15" s="364"/>
      <c r="D15" s="362"/>
      <c r="E15" s="362"/>
      <c r="F15" s="362"/>
      <c r="G15" s="363" t="s">
        <v>1068</v>
      </c>
    </row>
    <row r="16" spans="1:9" s="335" customFormat="1" ht="13.5" hidden="1" customHeight="1">
      <c r="A16" s="373" t="s">
        <v>1069</v>
      </c>
      <c r="B16" s="359" t="s">
        <v>1051</v>
      </c>
      <c r="C16" s="364"/>
      <c r="D16" s="362"/>
      <c r="E16" s="362"/>
      <c r="F16" s="362"/>
      <c r="G16" s="363"/>
    </row>
    <row r="17" spans="1:7" s="335" customFormat="1" ht="13.5" hidden="1" customHeight="1">
      <c r="A17" s="373" t="s">
        <v>1070</v>
      </c>
      <c r="B17" s="359" t="s">
        <v>1071</v>
      </c>
      <c r="C17" s="375"/>
      <c r="D17" s="375"/>
      <c r="E17" s="375"/>
      <c r="F17" s="375"/>
      <c r="G17" s="363" t="s">
        <v>1068</v>
      </c>
    </row>
    <row r="18" spans="1:7" s="335" customFormat="1" ht="13.5" hidden="1" customHeight="1">
      <c r="A18" s="373" t="s">
        <v>1072</v>
      </c>
      <c r="B18" s="359" t="s">
        <v>1073</v>
      </c>
      <c r="C18" s="364">
        <v>0</v>
      </c>
      <c r="D18" s="362"/>
      <c r="E18" s="362"/>
      <c r="F18" s="365">
        <v>3.0499999999999999E-2</v>
      </c>
      <c r="G18" s="363" t="s">
        <v>1074</v>
      </c>
    </row>
    <row r="19" spans="1:7" s="336" customFormat="1" ht="13.5" customHeight="1">
      <c r="A19" s="353" t="s">
        <v>1075</v>
      </c>
      <c r="B19" s="354" t="s">
        <v>1076</v>
      </c>
      <c r="C19" s="355" t="str">
        <f>IF(G19="已包含在土地取得成本中","0",ROUND(D19*E19/10000,0))</f>
        <v>0</v>
      </c>
      <c r="D19" s="356">
        <f ca="1">D9+D10</f>
        <v>12749.85</v>
      </c>
      <c r="E19" s="355">
        <f>'数据-取费表'!B31</f>
        <v>150</v>
      </c>
      <c r="F19" s="377"/>
      <c r="G19" s="2204" t="s">
        <v>1077</v>
      </c>
    </row>
    <row r="20" spans="1:7" s="335" customFormat="1" ht="13.5" customHeight="1">
      <c r="A20" s="353" t="s">
        <v>1078</v>
      </c>
      <c r="B20" s="354" t="s">
        <v>1079</v>
      </c>
      <c r="C20" s="378">
        <f ca="1">ROUND((C5+C19)*F20,0)</f>
        <v>216</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84">
        <f ca="1">ROUND(SUM(C23:C25),0)</f>
        <v>338</v>
      </c>
      <c r="D22" s="381">
        <f ca="1">C26</f>
        <v>2.9999999999999997E-4</v>
      </c>
      <c r="E22" s="382" t="s">
        <v>1083</v>
      </c>
      <c r="F22" s="385">
        <f ca="1">'数据-取费表'!B40</f>
        <v>3.1E-2</v>
      </c>
      <c r="G22" s="383" t="str">
        <f>IF('数据-取费表'!B22&lt;=1,"单利计息","复利计息")</f>
        <v>单利计息</v>
      </c>
    </row>
    <row r="23" spans="1:7" s="335" customFormat="1" ht="13.5" customHeight="1">
      <c r="A23" s="386" t="s">
        <v>1046</v>
      </c>
      <c r="B23" s="359" t="s">
        <v>1087</v>
      </c>
      <c r="C23" s="387">
        <f ca="1">ROUND(IF('数据-取费表'!B22&lt;=1,C5*F22*'数据-取费表'!B23,C5*(POWER((1+F22),'数据-取费表'!B23)-1)),0)</f>
        <v>335</v>
      </c>
      <c r="D23" s="388"/>
      <c r="E23" s="388"/>
      <c r="F23" s="389"/>
      <c r="G23" s="390" t="s">
        <v>1088</v>
      </c>
    </row>
    <row r="24" spans="1:7" s="335" customFormat="1" ht="13.5" customHeight="1">
      <c r="A24" s="386" t="s">
        <v>1048</v>
      </c>
      <c r="B24" s="359" t="s">
        <v>1089</v>
      </c>
      <c r="C24" s="387">
        <f ca="1">ROUND(IF('数据-取费表'!B22&lt;=1,C19*F22*('数据-取费表'!B19/2+'数据-取费表'!B21),C19*(POWER((1+F22),('数据-取费表'!B19/2+'数据-取费表'!B21))-1)),0)</f>
        <v>0</v>
      </c>
      <c r="D24" s="388"/>
      <c r="E24" s="388"/>
      <c r="F24" s="389"/>
      <c r="G24" s="390" t="s">
        <v>1090</v>
      </c>
    </row>
    <row r="25" spans="1:7" s="335" customFormat="1" ht="24">
      <c r="A25" s="386" t="s">
        <v>1050</v>
      </c>
      <c r="B25" s="359" t="s">
        <v>1091</v>
      </c>
      <c r="C25" s="387">
        <f ca="1">ROUND(IF('数据-取费表'!B22&lt;=1,C20*F22*'数据-取费表'!B23/2,C20*(POWER((1+F22),'数据-取费表'!B23/2)-1)),0)</f>
        <v>3</v>
      </c>
      <c r="D25" s="388"/>
      <c r="E25" s="391"/>
      <c r="F25" s="389"/>
      <c r="G25" s="392" t="s">
        <v>1092</v>
      </c>
    </row>
    <row r="26" spans="1:7" s="335" customFormat="1">
      <c r="A26" s="386" t="s">
        <v>1093</v>
      </c>
      <c r="B26" s="359" t="s">
        <v>1094</v>
      </c>
      <c r="C26" s="388">
        <f ca="1">ROUND(IF('数据-取费表'!B22&lt;=1,F21*F22*'数据-取费表'!B23/2,F21*(POWER((1+F22),'数据-取费表'!B23/2)-1)),4)</f>
        <v>2.9999999999999997E-4</v>
      </c>
      <c r="D26" s="388"/>
      <c r="E26" s="391"/>
      <c r="F26" s="389"/>
      <c r="G26" s="393"/>
    </row>
    <row r="27" spans="1:7" s="335" customFormat="1" ht="24.75">
      <c r="A27" s="353" t="s">
        <v>1095</v>
      </c>
      <c r="B27" s="394" t="s">
        <v>1096</v>
      </c>
      <c r="C27" s="395">
        <f ca="1">C28</f>
        <v>1103</v>
      </c>
      <c r="D27" s="381">
        <f ca="1">C29</f>
        <v>2E-3</v>
      </c>
      <c r="E27" s="382" t="s">
        <v>1083</v>
      </c>
      <c r="F27" s="396">
        <f ca="1">IF(B1="",'数据-取费表'!Q16,INDIRECT("'数据-取费表'!q"&amp;$G$1))</f>
        <v>0.1</v>
      </c>
      <c r="G27" s="397" t="s">
        <v>1097</v>
      </c>
    </row>
    <row r="28" spans="1:7" s="335" customFormat="1" ht="13.5" customHeight="1">
      <c r="A28" s="386" t="s">
        <v>1046</v>
      </c>
      <c r="B28" s="398" t="s">
        <v>1098</v>
      </c>
      <c r="C28" s="399">
        <f ca="1">ROUND((C5+C19+C20)*F27*'数据-取费表'!B21/'数据-取费表'!B20,0)</f>
        <v>1103</v>
      </c>
      <c r="D28" s="381"/>
      <c r="E28" s="382"/>
      <c r="F28" s="396"/>
      <c r="G28" s="397"/>
    </row>
    <row r="29" spans="1:7" s="335" customFormat="1" ht="13.5" customHeight="1">
      <c r="A29" s="386" t="s">
        <v>1048</v>
      </c>
      <c r="B29" s="398" t="s">
        <v>1099</v>
      </c>
      <c r="C29" s="388">
        <f ca="1">ROUND(C21*F27*'数据-取费表'!B21/'数据-取费表'!B20,4)</f>
        <v>2E-3</v>
      </c>
      <c r="D29" s="381"/>
      <c r="E29" s="382"/>
      <c r="F29" s="396"/>
      <c r="G29" s="397"/>
    </row>
    <row r="30" spans="1:7" s="335" customFormat="1" ht="13.5" customHeight="1">
      <c r="A30" s="353" t="s">
        <v>1100</v>
      </c>
      <c r="B30" s="354" t="s">
        <v>1101</v>
      </c>
      <c r="C30" s="381">
        <f>ROUND(F30/(1+'数据-取费表'!C42),4)</f>
        <v>5.2400000000000002E-2</v>
      </c>
      <c r="D30" s="382" t="s">
        <v>1083</v>
      </c>
      <c r="E30" s="391"/>
      <c r="F30" s="385">
        <f>'数据-取费表'!B41</f>
        <v>5.5E-2</v>
      </c>
      <c r="G30" s="383" t="s">
        <v>1102</v>
      </c>
    </row>
    <row r="31" spans="1:7" ht="16.5" customHeight="1">
      <c r="A31" s="400">
        <v>1</v>
      </c>
      <c r="B31" s="354" t="s">
        <v>1103</v>
      </c>
      <c r="C31" s="355">
        <f ca="1">ROUND((C5+C19+C20+C22+C27)/(1-C21-D22-D27-C30),0)</f>
        <v>13477</v>
      </c>
      <c r="D31" s="401"/>
      <c r="E31" s="355"/>
      <c r="F31" s="402"/>
      <c r="G31" s="383" t="s">
        <v>1104</v>
      </c>
    </row>
    <row r="32" spans="1:7" s="334" customFormat="1" ht="15.75">
      <c r="A32" s="403" t="s">
        <v>1105</v>
      </c>
      <c r="B32" s="404"/>
      <c r="C32" s="404"/>
      <c r="D32" s="404"/>
      <c r="E32" s="404"/>
      <c r="F32" s="404"/>
      <c r="G32" s="405"/>
    </row>
    <row r="33" spans="1:7" s="335" customFormat="1" ht="13.5" customHeight="1">
      <c r="A33" s="353" t="s">
        <v>1042</v>
      </c>
      <c r="B33" s="354" t="s">
        <v>1106</v>
      </c>
      <c r="C33" s="406">
        <f ca="1">SUM(C34:C38)</f>
        <v>4011</v>
      </c>
      <c r="D33" s="378"/>
      <c r="E33" s="356"/>
      <c r="F33" s="391"/>
      <c r="G33" s="383"/>
    </row>
    <row r="34" spans="1:7" s="337" customFormat="1" ht="13.5" customHeight="1">
      <c r="A34" s="386" t="s">
        <v>1046</v>
      </c>
      <c r="B34" s="359" t="s">
        <v>1107</v>
      </c>
      <c r="C34" s="364">
        <f ca="1">IF(B1="",IF(F34=100%,'数据-取费表'!M16,'数据-取费表'!O16),IF(F34=100%,INDIRECT("'数据-取费表'!m"&amp;$G$1)+INDIRECT("'数据-取费表'!t"&amp;$G$1),INDIRECT("'数据-取费表'!o"&amp;$G$1)+INDIRECT("'数据-取费表'!aq"&amp;$G$1)))</f>
        <v>3570</v>
      </c>
      <c r="D34" s="361"/>
      <c r="E34" s="364"/>
      <c r="F34" s="407">
        <f ca="1">IF('数据-取费表'!B24=0,1,IF(B1="",'数据-取费表'!N16,INDIRECT("'数据-取费表'!n"&amp;$G$1)))</f>
        <v>1</v>
      </c>
      <c r="G34" s="363" t="s">
        <v>1108</v>
      </c>
    </row>
    <row r="35" spans="1:7" ht="13.5" customHeight="1">
      <c r="A35" s="386" t="s">
        <v>1048</v>
      </c>
      <c r="B35" s="359" t="s">
        <v>1109</v>
      </c>
      <c r="C35" s="364">
        <f ca="1">ROUND(C34*F35,0)</f>
        <v>179</v>
      </c>
      <c r="D35" s="364"/>
      <c r="E35" s="364"/>
      <c r="F35" s="408">
        <f>'数据-取费表'!B33</f>
        <v>0.05</v>
      </c>
      <c r="G35" s="363" t="s">
        <v>1110</v>
      </c>
    </row>
    <row r="36" spans="1:7" ht="24">
      <c r="A36" s="386" t="s">
        <v>1050</v>
      </c>
      <c r="B36" s="359" t="s">
        <v>1111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1112</v>
      </c>
    </row>
    <row r="37" spans="1:7" s="337" customFormat="1" ht="13.5" customHeight="1">
      <c r="A37" s="386" t="s">
        <v>1093</v>
      </c>
      <c r="B37" s="359" t="s">
        <v>1113</v>
      </c>
      <c r="C37" s="399">
        <f ca="1">ROUND(E37*D37*F34/10000,0)</f>
        <v>191</v>
      </c>
      <c r="D37" s="361">
        <f ca="1">D19</f>
        <v>12749.85</v>
      </c>
      <c r="E37" s="399">
        <f>'数据-取费表'!B35</f>
        <v>150</v>
      </c>
      <c r="F37" s="408"/>
      <c r="G37" s="410" t="s">
        <v>1114</v>
      </c>
    </row>
    <row r="38" spans="1:7" ht="13.5" customHeight="1">
      <c r="A38" s="386" t="s">
        <v>1115</v>
      </c>
      <c r="B38" s="359" t="s">
        <v>978</v>
      </c>
      <c r="C38" s="364">
        <f ca="1">ROUND(C34*F38,0)</f>
        <v>71</v>
      </c>
      <c r="D38" s="364"/>
      <c r="E38" s="364"/>
      <c r="F38" s="408">
        <f>'数据-取费表'!B36</f>
        <v>0.02</v>
      </c>
      <c r="G38" s="363" t="s">
        <v>1110</v>
      </c>
    </row>
    <row r="39" spans="1:7" s="335" customFormat="1" ht="13.5" customHeight="1">
      <c r="A39" s="353" t="s">
        <v>1075</v>
      </c>
      <c r="B39" s="354" t="s">
        <v>1079</v>
      </c>
      <c r="C39" s="378">
        <f ca="1">ROUND(C33*F20,0)</f>
        <v>80</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63</v>
      </c>
      <c r="D41" s="381">
        <f ca="1">C44</f>
        <v>2.9999999999999997E-4</v>
      </c>
      <c r="E41" s="382" t="s">
        <v>1117</v>
      </c>
      <c r="F41" s="385">
        <f ca="1">F22</f>
        <v>3.1E-2</v>
      </c>
      <c r="G41" s="383" t="str">
        <f>IF('数据-取费表'!B22&lt;=1,"单利计息","复利计息")</f>
        <v>单利计息</v>
      </c>
    </row>
    <row r="42" spans="1:7" ht="13.5" customHeight="1">
      <c r="A42" s="386" t="s">
        <v>1046</v>
      </c>
      <c r="B42" s="359" t="s">
        <v>1087</v>
      </c>
      <c r="C42" s="388">
        <f ca="1">ROUND(IF('数据-取费表'!B22&lt;=1,C33*F22*'数据-取费表'!B21/2,C33*(POWER((1+F22),'数据-取费表'!B21/2)-1)),0)</f>
        <v>62</v>
      </c>
      <c r="D42" s="388"/>
      <c r="E42" s="388"/>
      <c r="F42" s="389"/>
      <c r="G42" s="3350" t="s">
        <v>1119</v>
      </c>
    </row>
    <row r="43" spans="1:7" ht="13.5" customHeight="1">
      <c r="A43" s="386" t="s">
        <v>1048</v>
      </c>
      <c r="B43" s="359" t="s">
        <v>1089</v>
      </c>
      <c r="C43" s="388">
        <f ca="1">ROUND(IF('数据-取费表'!B22&lt;=1,C39*F22*'数据-取费表'!B21/2,C39*(POWER((1+F22),'数据-取费表'!B21/2)-1)),0)</f>
        <v>1</v>
      </c>
      <c r="D43" s="388"/>
      <c r="E43" s="388"/>
      <c r="F43" s="389"/>
      <c r="G43" s="3351"/>
    </row>
    <row r="44" spans="1:7" ht="13.5" customHeight="1">
      <c r="A44" s="386" t="s">
        <v>1050</v>
      </c>
      <c r="B44" s="359" t="s">
        <v>1091</v>
      </c>
      <c r="C44" s="388">
        <f ca="1">ROUND(IF('数据-取费表'!B22&lt;=1,C40*F22*'数据-取费表'!B21/2,C40*(POWER((1+F22),'数据-取费表'!B21/2)-1)),4)</f>
        <v>2.9999999999999997E-4</v>
      </c>
      <c r="D44" s="388"/>
      <c r="E44" s="388"/>
      <c r="F44" s="389"/>
      <c r="G44" s="3352"/>
    </row>
    <row r="45" spans="1:7" s="335" customFormat="1" ht="13.5" customHeight="1">
      <c r="A45" s="353" t="s">
        <v>1085</v>
      </c>
      <c r="B45" s="394" t="s">
        <v>1096</v>
      </c>
      <c r="C45" s="395">
        <f ca="1">C46</f>
        <v>409</v>
      </c>
      <c r="D45" s="381">
        <f ca="1">C47</f>
        <v>2E-3</v>
      </c>
      <c r="E45" s="382" t="s">
        <v>1117</v>
      </c>
      <c r="F45" s="396">
        <f ca="1">F27</f>
        <v>0.1</v>
      </c>
      <c r="G45" s="397" t="s">
        <v>1120</v>
      </c>
    </row>
    <row r="46" spans="1:7" s="335" customFormat="1" ht="13.5" customHeight="1">
      <c r="A46" s="386" t="s">
        <v>1046</v>
      </c>
      <c r="B46" s="398" t="s">
        <v>1121</v>
      </c>
      <c r="C46" s="399">
        <f ca="1">ROUND((C33+C39)*F27,0)</f>
        <v>409</v>
      </c>
      <c r="D46" s="412"/>
      <c r="E46" s="382"/>
      <c r="F46" s="396"/>
      <c r="G46" s="397"/>
    </row>
    <row r="47" spans="1:7" s="335" customFormat="1" ht="13.5" customHeight="1">
      <c r="A47" s="386" t="s">
        <v>1048</v>
      </c>
      <c r="B47" s="398" t="s">
        <v>1122</v>
      </c>
      <c r="C47" s="388">
        <f ca="1">ROUND(C40*F27,4)</f>
        <v>2E-3</v>
      </c>
      <c r="D47" s="412"/>
      <c r="E47" s="382"/>
      <c r="F47" s="396"/>
      <c r="G47" s="397"/>
    </row>
    <row r="48" spans="1:7" s="335" customFormat="1" ht="13.5" customHeight="1">
      <c r="A48" s="353" t="s">
        <v>1095</v>
      </c>
      <c r="B48" s="354" t="s">
        <v>1101</v>
      </c>
      <c r="C48" s="381">
        <f>ROUND(F30/(1+'数据-取费表'!C42),4)</f>
        <v>5.2400000000000002E-2</v>
      </c>
      <c r="D48" s="382" t="s">
        <v>1117</v>
      </c>
      <c r="E48" s="378"/>
      <c r="F48" s="385">
        <f>F30</f>
        <v>5.5E-2</v>
      </c>
      <c r="G48" s="383" t="s">
        <v>1123</v>
      </c>
    </row>
    <row r="49" spans="1:7" ht="16.5" customHeight="1">
      <c r="A49" s="353" t="s">
        <v>1100</v>
      </c>
      <c r="B49" s="354" t="s">
        <v>1124</v>
      </c>
      <c r="C49" s="378">
        <f ca="1">ROUND((C33+C39+C41+C45)/(1-C40-D41-D45-C48),0)</f>
        <v>4931</v>
      </c>
      <c r="D49" s="378"/>
      <c r="E49" s="378"/>
      <c r="F49" s="413"/>
      <c r="G49" s="383" t="s">
        <v>1125</v>
      </c>
    </row>
    <row r="50" spans="1:7" s="337" customFormat="1" ht="24">
      <c r="A50" s="353" t="s">
        <v>1126</v>
      </c>
      <c r="B50" s="354" t="s">
        <v>1127</v>
      </c>
      <c r="C50" s="378"/>
      <c r="D50" s="378"/>
      <c r="E50" s="378"/>
      <c r="F50" s="413">
        <f>IF('数据-取费表'!B24=0,'数据-取费表'!N16,1)</f>
        <v>0.71</v>
      </c>
      <c r="G50" s="397" t="s">
        <v>1128</v>
      </c>
    </row>
    <row r="51" spans="1:7" ht="16.5" customHeight="1">
      <c r="A51" s="353" t="s">
        <v>1129</v>
      </c>
      <c r="B51" s="354" t="s">
        <v>1130</v>
      </c>
      <c r="C51" s="378">
        <f ca="1">ROUND(C49*F50,0)</f>
        <v>3501</v>
      </c>
      <c r="D51" s="378"/>
      <c r="E51" s="378"/>
      <c r="F51" s="413"/>
      <c r="G51" s="383" t="s">
        <v>1131</v>
      </c>
    </row>
    <row r="52" spans="1:7" s="334" customFormat="1" ht="15.75">
      <c r="A52" s="414" t="s">
        <v>1132</v>
      </c>
      <c r="B52" s="415"/>
      <c r="C52" s="416">
        <f ca="1">C31+C51</f>
        <v>16978</v>
      </c>
      <c r="D52" s="415"/>
      <c r="E52" s="415"/>
      <c r="F52" s="415"/>
      <c r="G52" s="417"/>
    </row>
    <row r="55" spans="1:7" ht="15">
      <c r="B55" s="418" t="s">
        <v>1133</v>
      </c>
      <c r="C55" s="419"/>
    </row>
    <row r="56" spans="1:7">
      <c r="B56" s="420" t="s">
        <v>1134</v>
      </c>
      <c r="C56" s="422">
        <f ca="1">1-C57</f>
        <v>0.79400000000000004</v>
      </c>
    </row>
    <row r="57" spans="1:7">
      <c r="B57" s="420" t="s">
        <v>1135</v>
      </c>
      <c r="C57" s="421">
        <f ca="1">ROUND(C51/C52,3)</f>
        <v>0.20599999999999999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1036</v>
      </c>
      <c r="B1" s="2196"/>
      <c r="C1" s="2197" t="s">
        <v>1136</v>
      </c>
      <c r="D1" s="343"/>
      <c r="E1" s="343"/>
      <c r="F1" s="343"/>
      <c r="G1" s="2198">
        <f>MATCH(B1,'数据-取费表'!A6:A16,0)+5</f>
        <v>7</v>
      </c>
      <c r="H1" s="1589" t="str">
        <f>IF(ISERROR(FIND("住宅",B1)),"非住宅","住宅")</f>
        <v>非住宅</v>
      </c>
    </row>
    <row r="2" spans="1:8" s="333" customFormat="1" ht="18" customHeight="1">
      <c r="A2" s="345" t="s">
        <v>1037</v>
      </c>
      <c r="B2" s="2199">
        <f ca="1">ROUND(IF(D2="——",C52/10000,C52/10000-E2),4)</f>
        <v>4042.2609000000002</v>
      </c>
      <c r="C2" s="344" t="s">
        <v>1038</v>
      </c>
      <c r="D2" s="2200" t="s">
        <v>124</v>
      </c>
      <c r="E2" s="2201" t="e">
        <f ca="1">SUMIF(INDIRECT("'"&amp;G2&amp;"'"&amp;"!A:A"),"承租人权益价值",INDIRECT("'"&amp;G2&amp;"'"&amp;"!c:c"))</f>
        <v>#REF!</v>
      </c>
      <c r="F2" s="2202" t="s">
        <v>1038</v>
      </c>
      <c r="G2" s="2203"/>
    </row>
    <row r="3" spans="1:8" s="333" customFormat="1" ht="18" customHeight="1">
      <c r="A3" s="348" t="s">
        <v>1039</v>
      </c>
      <c r="B3" s="349">
        <f ca="1">ROUND(B2*10000/(IF(B1="",'数据-汇总表'!E3,INDIRECT("'数据-取费表'!k"&amp;$G$1))),0)</f>
        <v>3170</v>
      </c>
      <c r="C3" s="344" t="s">
        <v>1040</v>
      </c>
      <c r="D3" s="344"/>
      <c r="E3" s="344"/>
      <c r="F3" s="344"/>
      <c r="G3" s="344"/>
    </row>
    <row r="4" spans="1:8" s="334" customFormat="1" ht="15.75">
      <c r="A4" s="350" t="s">
        <v>1041</v>
      </c>
      <c r="B4" s="351"/>
      <c r="C4" s="351"/>
      <c r="D4" s="351"/>
      <c r="E4" s="351"/>
      <c r="F4" s="351"/>
      <c r="G4" s="352"/>
    </row>
    <row r="5" spans="1:8" s="335" customFormat="1" ht="13.5" customHeight="1">
      <c r="A5" s="353" t="s">
        <v>1042</v>
      </c>
      <c r="B5" s="354" t="s">
        <v>1043</v>
      </c>
      <c r="C5" s="355">
        <f ca="1">C6+C7+C8</f>
        <v>2422472</v>
      </c>
      <c r="D5" s="355" t="s">
        <v>1044</v>
      </c>
      <c r="E5" s="356" t="s">
        <v>1045</v>
      </c>
      <c r="F5" s="356" t="s">
        <v>942</v>
      </c>
      <c r="G5" s="357"/>
    </row>
    <row r="6" spans="1:8" s="335" customFormat="1" ht="13.5" customHeight="1">
      <c r="A6" s="358" t="s">
        <v>1046</v>
      </c>
      <c r="B6" s="359" t="s">
        <v>1047</v>
      </c>
      <c r="C6" s="360"/>
      <c r="D6" s="361"/>
      <c r="E6" s="362"/>
      <c r="F6" s="362"/>
      <c r="G6" s="363"/>
    </row>
    <row r="7" spans="1:8" s="335" customFormat="1" ht="13.5" customHeight="1">
      <c r="A7" s="358" t="s">
        <v>1048</v>
      </c>
      <c r="B7" s="359" t="s">
        <v>1049</v>
      </c>
      <c r="C7" s="364">
        <f>ROUND(C6*F7,0)</f>
        <v>0</v>
      </c>
      <c r="D7" s="364"/>
      <c r="E7" s="362"/>
      <c r="F7" s="365">
        <f>IF(项目基本情况!B8="出让",0,'数据-取费表'!B48+'数据-取费表'!B49)</f>
        <v>3.0499999999999999E-2</v>
      </c>
      <c r="G7" s="363"/>
    </row>
    <row r="8" spans="1:8" s="336" customFormat="1">
      <c r="A8" s="358" t="s">
        <v>1050</v>
      </c>
      <c r="B8" s="359" t="s">
        <v>1051</v>
      </c>
      <c r="C8" s="364">
        <f ca="1">IF(G8="已包含在土地购买价格中",0,C9+C10)</f>
        <v>2422472</v>
      </c>
      <c r="D8" s="366"/>
      <c r="E8" s="364"/>
      <c r="F8" s="365"/>
      <c r="G8" s="2204"/>
    </row>
    <row r="9" spans="1:8" s="335" customFormat="1" ht="13.5" customHeight="1">
      <c r="A9" s="368" t="s">
        <v>1053</v>
      </c>
      <c r="B9" s="369" t="s">
        <v>1054</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1057</v>
      </c>
      <c r="B10" s="369" t="s">
        <v>1058</v>
      </c>
      <c r="C10" s="370">
        <f ca="1">ROUND(D10*E10,0)</f>
        <v>2422472</v>
      </c>
      <c r="D10" s="371">
        <f ca="1">IF(B1="",'数据-汇总表'!E6,IF(INDIRECT("'数据-取费表'!c"&amp;$G$1)="住宅",INDIRECT("'数据-取费表'!s"&amp;$G$1),INDIRECT("'数据-取费表'!k"&amp;$G$1)+INDIRECT("'数据-取费表'!s"&amp;$G$1)))</f>
        <v>12749.85</v>
      </c>
      <c r="E10" s="370">
        <f>'数据-取费表'!B28</f>
        <v>190</v>
      </c>
      <c r="F10" s="365"/>
      <c r="G10" s="372"/>
    </row>
    <row r="11" spans="1:8" s="335" customFormat="1" ht="13.5" hidden="1" customHeight="1">
      <c r="A11" s="373" t="s">
        <v>1059</v>
      </c>
      <c r="B11" s="359" t="s">
        <v>1060</v>
      </c>
      <c r="C11" s="355"/>
      <c r="D11" s="362"/>
      <c r="E11" s="362"/>
      <c r="F11" s="362"/>
      <c r="G11" s="363"/>
    </row>
    <row r="12" spans="1:8" s="335" customFormat="1" ht="13.5" hidden="1" customHeight="1">
      <c r="A12" s="373" t="s">
        <v>1061</v>
      </c>
      <c r="B12" s="359" t="s">
        <v>978</v>
      </c>
      <c r="C12" s="355">
        <v>0</v>
      </c>
      <c r="D12" s="362"/>
      <c r="E12" s="374"/>
      <c r="F12" s="365">
        <v>3.0499999999999999E-2</v>
      </c>
      <c r="G12" s="363"/>
    </row>
    <row r="13" spans="1:8" s="335" customFormat="1" ht="13.5" hidden="1" customHeight="1">
      <c r="A13" s="373" t="s">
        <v>1062</v>
      </c>
      <c r="B13" s="359" t="s">
        <v>1063</v>
      </c>
      <c r="C13" s="355"/>
      <c r="D13" s="362"/>
      <c r="E13" s="362"/>
      <c r="F13" s="362"/>
      <c r="G13" s="363"/>
    </row>
    <row r="14" spans="1:8" s="335" customFormat="1" ht="13.5" hidden="1" customHeight="1">
      <c r="A14" s="373" t="s">
        <v>1064</v>
      </c>
      <c r="B14" s="359" t="s">
        <v>1051</v>
      </c>
      <c r="C14" s="355"/>
      <c r="D14" s="362"/>
      <c r="E14" s="362"/>
      <c r="F14" s="362"/>
      <c r="G14" s="363" t="s">
        <v>1065</v>
      </c>
    </row>
    <row r="15" spans="1:8" s="335" customFormat="1" ht="13.5" hidden="1" customHeight="1">
      <c r="A15" s="373" t="s">
        <v>1066</v>
      </c>
      <c r="B15" s="359" t="s">
        <v>1067</v>
      </c>
      <c r="C15" s="364"/>
      <c r="D15" s="362"/>
      <c r="E15" s="362"/>
      <c r="F15" s="362"/>
      <c r="G15" s="363" t="s">
        <v>1068</v>
      </c>
    </row>
    <row r="16" spans="1:8" s="335" customFormat="1" ht="13.5" hidden="1" customHeight="1">
      <c r="A16" s="373" t="s">
        <v>1069</v>
      </c>
      <c r="B16" s="359" t="s">
        <v>1051</v>
      </c>
      <c r="C16" s="364"/>
      <c r="D16" s="362"/>
      <c r="E16" s="362"/>
      <c r="F16" s="362"/>
      <c r="G16" s="363"/>
    </row>
    <row r="17" spans="1:7" s="335" customFormat="1" ht="13.5" hidden="1" customHeight="1">
      <c r="A17" s="373" t="s">
        <v>1070</v>
      </c>
      <c r="B17" s="359" t="s">
        <v>1071</v>
      </c>
      <c r="C17" s="375"/>
      <c r="D17" s="375"/>
      <c r="E17" s="375"/>
      <c r="F17" s="375"/>
      <c r="G17" s="363" t="s">
        <v>1068</v>
      </c>
    </row>
    <row r="18" spans="1:7" s="335" customFormat="1" ht="13.5" hidden="1" customHeight="1">
      <c r="A18" s="373" t="s">
        <v>1072</v>
      </c>
      <c r="B18" s="359" t="s">
        <v>1073</v>
      </c>
      <c r="C18" s="364">
        <v>0</v>
      </c>
      <c r="D18" s="362"/>
      <c r="E18" s="362"/>
      <c r="F18" s="365">
        <v>3.0499999999999999E-2</v>
      </c>
      <c r="G18" s="363" t="s">
        <v>1074</v>
      </c>
    </row>
    <row r="19" spans="1:7" s="336" customFormat="1" ht="13.5" customHeight="1">
      <c r="A19" s="353" t="s">
        <v>1075</v>
      </c>
      <c r="B19" s="354" t="s">
        <v>1076</v>
      </c>
      <c r="C19" s="355">
        <f ca="1">IF(G19="已包含在土地取得成本中","0",ROUND(D19*E19,0))</f>
        <v>1912478</v>
      </c>
      <c r="D19" s="356">
        <f ca="1">D9+D10</f>
        <v>12749.85</v>
      </c>
      <c r="E19" s="355">
        <f>'数据-取费表'!B31</f>
        <v>150</v>
      </c>
      <c r="F19" s="377"/>
      <c r="G19" s="2204"/>
    </row>
    <row r="20" spans="1:7" s="335" customFormat="1" ht="13.5" customHeight="1">
      <c r="A20" s="353" t="s">
        <v>1078</v>
      </c>
      <c r="B20" s="354" t="s">
        <v>1079</v>
      </c>
      <c r="C20" s="378">
        <f ca="1">ROUND((C5+C19)*F20,0)</f>
        <v>86699</v>
      </c>
      <c r="D20" s="378"/>
      <c r="E20" s="378"/>
      <c r="F20" s="379">
        <f>'数据-取费表'!B37</f>
        <v>0.02</v>
      </c>
      <c r="G20" s="383" t="s">
        <v>1080</v>
      </c>
    </row>
    <row r="21" spans="1:7" s="335" customFormat="1" ht="13.5" customHeight="1">
      <c r="A21" s="353" t="s">
        <v>1081</v>
      </c>
      <c r="B21" s="354" t="s">
        <v>1082</v>
      </c>
      <c r="C21" s="381">
        <f>F21</f>
        <v>0.02</v>
      </c>
      <c r="D21" s="382" t="s">
        <v>1083</v>
      </c>
      <c r="E21" s="378"/>
      <c r="F21" s="379">
        <f>'数据-取费表'!B38</f>
        <v>0.02</v>
      </c>
      <c r="G21" s="383" t="s">
        <v>1084</v>
      </c>
    </row>
    <row r="22" spans="1:7" s="335" customFormat="1" ht="13.5" customHeight="1">
      <c r="A22" s="353" t="s">
        <v>1085</v>
      </c>
      <c r="B22" s="354" t="s">
        <v>1086</v>
      </c>
      <c r="C22" s="378">
        <f ca="1">ROUND(SUM(C23:C25),0)</f>
        <v>135728</v>
      </c>
      <c r="D22" s="381">
        <f ca="1">C26</f>
        <v>2.9999999999999997E-4</v>
      </c>
      <c r="E22" s="382" t="s">
        <v>1083</v>
      </c>
      <c r="F22" s="385">
        <f ca="1">'数据-取费表'!B40</f>
        <v>3.1E-2</v>
      </c>
      <c r="G22" s="383" t="str">
        <f>IF('数据-取费表'!B22&lt;=1,"单利计息","复利计息")</f>
        <v>单利计息</v>
      </c>
    </row>
    <row r="23" spans="1:7" s="335" customFormat="1" ht="13.5" customHeight="1">
      <c r="A23" s="386" t="s">
        <v>1046</v>
      </c>
      <c r="B23" s="359" t="s">
        <v>1087</v>
      </c>
      <c r="C23" s="388">
        <f ca="1">ROUND(IF('数据-取费表'!B22&lt;=1,C5*F22*'数据-取费表'!B22,C5*(POWER((1+F22),'数据-取费表'!B22)-1)),0)</f>
        <v>75097</v>
      </c>
      <c r="D23" s="388"/>
      <c r="E23" s="388"/>
      <c r="F23" s="389"/>
      <c r="G23" s="390" t="s">
        <v>1088</v>
      </c>
    </row>
    <row r="24" spans="1:7" s="335" customFormat="1" ht="13.5" customHeight="1">
      <c r="A24" s="386" t="s">
        <v>1048</v>
      </c>
      <c r="B24" s="359" t="s">
        <v>1089</v>
      </c>
      <c r="C24" s="388">
        <f ca="1">ROUND(IF('数据-取费表'!B22&lt;=1,C19*F22*('数据-取费表'!B19/2+'数据-取费表'!B20),C19*(POWER((1+F22),('数据-取费表'!B19/2+'数据-取费表'!B20))-1)),0)</f>
        <v>59287</v>
      </c>
      <c r="D24" s="388"/>
      <c r="E24" s="388"/>
      <c r="F24" s="389"/>
      <c r="G24" s="390" t="s">
        <v>1090</v>
      </c>
    </row>
    <row r="25" spans="1:7" s="335" customFormat="1" ht="24">
      <c r="A25" s="386" t="s">
        <v>1050</v>
      </c>
      <c r="B25" s="359" t="s">
        <v>1091</v>
      </c>
      <c r="C25" s="388">
        <f ca="1">ROUND(IF('数据-取费表'!B22&lt;=1,C20*F22*'数据-取费表'!B22/2,C20*(POWER((1+F22),'数据-取费表'!B22/2)-1)),0)</f>
        <v>1344</v>
      </c>
      <c r="D25" s="388"/>
      <c r="E25" s="391"/>
      <c r="F25" s="389"/>
      <c r="G25" s="392" t="s">
        <v>1092</v>
      </c>
    </row>
    <row r="26" spans="1:7" s="335" customFormat="1">
      <c r="A26" s="386" t="s">
        <v>1093</v>
      </c>
      <c r="B26" s="359" t="s">
        <v>1094</v>
      </c>
      <c r="C26" s="388">
        <f ca="1">ROUND(IF('数据-取费表'!B22&lt;=1,F21*F22*'数据-取费表'!B22/2,F21*(POWER((1+F22),'数据-取费表'!B22/2)-1)),4)</f>
        <v>2.9999999999999997E-4</v>
      </c>
      <c r="D26" s="388"/>
      <c r="E26" s="391"/>
      <c r="F26" s="389"/>
      <c r="G26" s="393"/>
    </row>
    <row r="27" spans="1:7" s="335" customFormat="1" ht="24.75">
      <c r="A27" s="353" t="s">
        <v>1095</v>
      </c>
      <c r="B27" s="394" t="s">
        <v>1096</v>
      </c>
      <c r="C27" s="395">
        <f ca="1">C28</f>
        <v>442165</v>
      </c>
      <c r="D27" s="381">
        <f ca="1">C29</f>
        <v>2E-3</v>
      </c>
      <c r="E27" s="382" t="s">
        <v>1083</v>
      </c>
      <c r="F27" s="396">
        <f ca="1">IF(B1="",'数据-取费表'!Q16,INDIRECT("'数据-取费表'!q"&amp;$G$1))</f>
        <v>0.1</v>
      </c>
      <c r="G27" s="397" t="s">
        <v>1097</v>
      </c>
    </row>
    <row r="28" spans="1:7" s="335" customFormat="1" ht="13.5" customHeight="1">
      <c r="A28" s="386" t="s">
        <v>1046</v>
      </c>
      <c r="B28" s="398" t="s">
        <v>1098</v>
      </c>
      <c r="C28" s="399">
        <f ca="1">ROUND((C5+C19+C20)*F27,0)</f>
        <v>442165</v>
      </c>
      <c r="D28" s="381"/>
      <c r="E28" s="382"/>
      <c r="F28" s="396"/>
      <c r="G28" s="397"/>
    </row>
    <row r="29" spans="1:7" s="335" customFormat="1" ht="13.5" customHeight="1">
      <c r="A29" s="386" t="s">
        <v>1048</v>
      </c>
      <c r="B29" s="398" t="s">
        <v>1099</v>
      </c>
      <c r="C29" s="388">
        <f ca="1">ROUND(C21*F27,4)</f>
        <v>2E-3</v>
      </c>
      <c r="D29" s="381"/>
      <c r="E29" s="382"/>
      <c r="F29" s="396"/>
      <c r="G29" s="397"/>
    </row>
    <row r="30" spans="1:7" s="335" customFormat="1" ht="13.5" customHeight="1">
      <c r="A30" s="353" t="s">
        <v>1100</v>
      </c>
      <c r="B30" s="354" t="s">
        <v>1101</v>
      </c>
      <c r="C30" s="381">
        <f>ROUND(F30/(1+'数据-取费表'!C42),4)</f>
        <v>5.2400000000000002E-2</v>
      </c>
      <c r="D30" s="382" t="s">
        <v>1083</v>
      </c>
      <c r="E30" s="391"/>
      <c r="F30" s="385">
        <f>'数据-取费表'!B41</f>
        <v>5.5E-2</v>
      </c>
      <c r="G30" s="383" t="s">
        <v>1102</v>
      </c>
    </row>
    <row r="31" spans="1:7" ht="16.5" customHeight="1">
      <c r="A31" s="400">
        <v>1</v>
      </c>
      <c r="B31" s="354" t="s">
        <v>1103</v>
      </c>
      <c r="C31" s="355">
        <f ca="1">ROUND((C5+C19+C20+C22+C27)/(1-C21-D22-D27-C30),0)</f>
        <v>5403158</v>
      </c>
      <c r="D31" s="401"/>
      <c r="E31" s="355"/>
      <c r="F31" s="402"/>
      <c r="G31" s="383" t="s">
        <v>1104</v>
      </c>
    </row>
    <row r="32" spans="1:7" s="334" customFormat="1" ht="15.75">
      <c r="A32" s="403" t="s">
        <v>1137</v>
      </c>
      <c r="B32" s="404"/>
      <c r="C32" s="404"/>
      <c r="D32" s="404"/>
      <c r="E32" s="404"/>
      <c r="F32" s="404"/>
      <c r="G32" s="405"/>
    </row>
    <row r="33" spans="1:7" s="335" customFormat="1" ht="13.5" customHeight="1">
      <c r="A33" s="353" t="s">
        <v>1042</v>
      </c>
      <c r="B33" s="354" t="s">
        <v>1138</v>
      </c>
      <c r="C33" s="406">
        <f ca="1">SUM(C34:C38)</f>
        <v>40111029</v>
      </c>
      <c r="D33" s="378"/>
      <c r="E33" s="356"/>
      <c r="F33" s="391"/>
      <c r="G33" s="383"/>
    </row>
    <row r="34" spans="1:7" s="337" customFormat="1" ht="13.5" customHeight="1">
      <c r="A34" s="386" t="s">
        <v>1046</v>
      </c>
      <c r="B34" s="359" t="s">
        <v>1107</v>
      </c>
      <c r="C34" s="364">
        <f ca="1">ROUND(IF(B1="",SUMPRODUCT('数据-取费表'!K6:K14,'数据-取费表'!L6:L14),INDIRECT("'数据-取费表'!l"&amp;$G$1)*INDIRECT("'数据-取费表'!k"&amp;$G$1)+'数据-取费表'!L14*INDIRECT("'数据-取费表'!S"&amp;$G$1)),0)</f>
        <v>35699580</v>
      </c>
      <c r="D34" s="361"/>
      <c r="E34" s="364"/>
      <c r="F34" s="407"/>
      <c r="G34" s="363"/>
    </row>
    <row r="35" spans="1:7" ht="13.5" customHeight="1">
      <c r="A35" s="386" t="s">
        <v>1048</v>
      </c>
      <c r="B35" s="359" t="s">
        <v>1109</v>
      </c>
      <c r="C35" s="364">
        <f ca="1">ROUND(C34*F35,0)</f>
        <v>1784979</v>
      </c>
      <c r="D35" s="364"/>
      <c r="E35" s="364"/>
      <c r="F35" s="408">
        <f>'数据-取费表'!B33</f>
        <v>0.05</v>
      </c>
      <c r="G35" s="363" t="s">
        <v>1110</v>
      </c>
    </row>
    <row r="36" spans="1:7" ht="24">
      <c r="A36" s="386" t="s">
        <v>1050</v>
      </c>
      <c r="B36" s="359" t="s">
        <v>1111</v>
      </c>
      <c r="C36" s="364">
        <f ca="1">ROUND(IF(B1="",SUM('数据-取费表'!AP6:AP13)*F36,IF(INDIRECT("'数据-取费表'!c"&amp;$G$1)="住宅",INDIRECT("'数据-取费表'!k"&amp;$G$1)*INDIRECT("'数据-取费表'!l"&amp;$G$1)*F36,0)),0)</f>
        <v>0</v>
      </c>
      <c r="D36" s="364"/>
      <c r="E36" s="364"/>
      <c r="F36" s="408">
        <f>'数据-取费表'!B34</f>
        <v>0</v>
      </c>
      <c r="G36" s="409" t="s">
        <v>1112</v>
      </c>
    </row>
    <row r="37" spans="1:7" s="337" customFormat="1" ht="13.5" customHeight="1">
      <c r="A37" s="386" t="s">
        <v>1093</v>
      </c>
      <c r="B37" s="359" t="s">
        <v>1113</v>
      </c>
      <c r="C37" s="399">
        <f ca="1">ROUND(E37*D37,0)</f>
        <v>1912478</v>
      </c>
      <c r="D37" s="361">
        <f ca="1">D19</f>
        <v>12749.85</v>
      </c>
      <c r="E37" s="399">
        <f>'数据-取费表'!B35</f>
        <v>150</v>
      </c>
      <c r="F37" s="408"/>
      <c r="G37" s="410"/>
    </row>
    <row r="38" spans="1:7" ht="13.5" customHeight="1">
      <c r="A38" s="386" t="s">
        <v>1115</v>
      </c>
      <c r="B38" s="359" t="s">
        <v>978</v>
      </c>
      <c r="C38" s="364">
        <f ca="1">ROUND(C34*F38,0)</f>
        <v>713992</v>
      </c>
      <c r="D38" s="364"/>
      <c r="E38" s="364"/>
      <c r="F38" s="408">
        <f>'数据-取费表'!B36</f>
        <v>0.02</v>
      </c>
      <c r="G38" s="363" t="s">
        <v>1110</v>
      </c>
    </row>
    <row r="39" spans="1:7" s="335" customFormat="1" ht="13.5" customHeight="1">
      <c r="A39" s="353" t="s">
        <v>1075</v>
      </c>
      <c r="B39" s="354" t="s">
        <v>1079</v>
      </c>
      <c r="C39" s="378">
        <f ca="1">ROUND(C33*F20,0)</f>
        <v>802221</v>
      </c>
      <c r="D39" s="378"/>
      <c r="E39" s="378"/>
      <c r="F39" s="379">
        <f>F20</f>
        <v>0.02</v>
      </c>
      <c r="G39" s="383" t="s">
        <v>1116</v>
      </c>
    </row>
    <row r="40" spans="1:7" s="335" customFormat="1" ht="13.5" customHeight="1">
      <c r="A40" s="353" t="s">
        <v>1078</v>
      </c>
      <c r="B40" s="354" t="s">
        <v>1082</v>
      </c>
      <c r="C40" s="381">
        <f>F21</f>
        <v>0.02</v>
      </c>
      <c r="D40" s="382" t="s">
        <v>1117</v>
      </c>
      <c r="E40" s="378"/>
      <c r="F40" s="379">
        <f>F21</f>
        <v>0.02</v>
      </c>
      <c r="G40" s="383" t="s">
        <v>1118</v>
      </c>
    </row>
    <row r="41" spans="1:7" s="335" customFormat="1" ht="13.5" customHeight="1">
      <c r="A41" s="353" t="s">
        <v>1081</v>
      </c>
      <c r="B41" s="354" t="s">
        <v>1086</v>
      </c>
      <c r="C41" s="378">
        <f ca="1">ROUND(SUM(C42:C43),0)</f>
        <v>634155</v>
      </c>
      <c r="D41" s="381">
        <f ca="1">C44</f>
        <v>2.9999999999999997E-4</v>
      </c>
      <c r="E41" s="382" t="s">
        <v>1117</v>
      </c>
      <c r="F41" s="385">
        <f ca="1">F22</f>
        <v>3.1E-2</v>
      </c>
      <c r="G41" s="383" t="str">
        <f>IF('数据-取费表'!B22&lt;=1,"单利计息","复利计息")</f>
        <v>单利计息</v>
      </c>
    </row>
    <row r="42" spans="1:7" ht="13.5" customHeight="1">
      <c r="A42" s="386" t="s">
        <v>1046</v>
      </c>
      <c r="B42" s="359" t="s">
        <v>1087</v>
      </c>
      <c r="C42" s="388">
        <f ca="1">ROUND(IF('数据-取费表'!B22&lt;=1,C33*F22*'数据-取费表'!B20/2,C33*(POWER((1+F22),'数据-取费表'!B20/2)-1)),0)</f>
        <v>621721</v>
      </c>
      <c r="D42" s="388"/>
      <c r="E42" s="388"/>
      <c r="F42" s="389"/>
      <c r="G42" s="3350" t="s">
        <v>1139</v>
      </c>
    </row>
    <row r="43" spans="1:7" ht="13.5" customHeight="1">
      <c r="A43" s="386" t="s">
        <v>1048</v>
      </c>
      <c r="B43" s="359" t="s">
        <v>1089</v>
      </c>
      <c r="C43" s="388">
        <f ca="1">ROUND(IF('数据-取费表'!B22&lt;=1,C39*F22*'数据-取费表'!B20/2,C39*(POWER((1+F22),'数据-取费表'!B20/2)-1)),0)</f>
        <v>12434</v>
      </c>
      <c r="D43" s="388"/>
      <c r="E43" s="388"/>
      <c r="F43" s="389"/>
      <c r="G43" s="3351"/>
    </row>
    <row r="44" spans="1:7" ht="13.5" customHeight="1">
      <c r="A44" s="386" t="s">
        <v>1050</v>
      </c>
      <c r="B44" s="359" t="s">
        <v>1091</v>
      </c>
      <c r="C44" s="388">
        <f ca="1">ROUND(IF('数据-取费表'!B22&lt;=1,C40*F22*'数据-取费表'!B20/2,C40*(POWER((1+F22),'数据-取费表'!B20/2)-1)),4)</f>
        <v>2.9999999999999997E-4</v>
      </c>
      <c r="D44" s="388"/>
      <c r="E44" s="388"/>
      <c r="F44" s="389"/>
      <c r="G44" s="3352"/>
    </row>
    <row r="45" spans="1:7" s="335" customFormat="1" ht="13.5" customHeight="1">
      <c r="A45" s="353" t="s">
        <v>1085</v>
      </c>
      <c r="B45" s="394" t="s">
        <v>1096</v>
      </c>
      <c r="C45" s="395">
        <f ca="1">C46</f>
        <v>4091325</v>
      </c>
      <c r="D45" s="381">
        <f ca="1">C47</f>
        <v>2E-3</v>
      </c>
      <c r="E45" s="382" t="s">
        <v>1117</v>
      </c>
      <c r="F45" s="396">
        <f ca="1">F27</f>
        <v>0.1</v>
      </c>
      <c r="G45" s="397" t="s">
        <v>1120</v>
      </c>
    </row>
    <row r="46" spans="1:7" s="335" customFormat="1" ht="13.5" customHeight="1">
      <c r="A46" s="386" t="s">
        <v>1046</v>
      </c>
      <c r="B46" s="398" t="s">
        <v>1121</v>
      </c>
      <c r="C46" s="399">
        <f ca="1">ROUND((C33+C39)*F27,0)</f>
        <v>4091325</v>
      </c>
      <c r="D46" s="412"/>
      <c r="E46" s="382"/>
      <c r="F46" s="396"/>
      <c r="G46" s="397"/>
    </row>
    <row r="47" spans="1:7" s="335" customFormat="1" ht="13.5" customHeight="1">
      <c r="A47" s="386" t="s">
        <v>1048</v>
      </c>
      <c r="B47" s="398" t="s">
        <v>1122</v>
      </c>
      <c r="C47" s="388">
        <f ca="1">ROUND(C40*F27,4)</f>
        <v>2E-3</v>
      </c>
      <c r="D47" s="412"/>
      <c r="E47" s="382"/>
      <c r="F47" s="396"/>
      <c r="G47" s="397"/>
    </row>
    <row r="48" spans="1:7" s="335" customFormat="1" ht="13.5" customHeight="1">
      <c r="A48" s="353" t="s">
        <v>1095</v>
      </c>
      <c r="B48" s="354" t="s">
        <v>1101</v>
      </c>
      <c r="C48" s="411">
        <f>ROUND(F30/(1+'数据-取费表'!C42),4)</f>
        <v>5.2400000000000002E-2</v>
      </c>
      <c r="D48" s="382" t="s">
        <v>1117</v>
      </c>
      <c r="E48" s="378"/>
      <c r="F48" s="385">
        <f>F30</f>
        <v>5.5E-2</v>
      </c>
      <c r="G48" s="383" t="s">
        <v>1123</v>
      </c>
    </row>
    <row r="49" spans="1:7" ht="16.5" customHeight="1">
      <c r="A49" s="353" t="s">
        <v>1100</v>
      </c>
      <c r="B49" s="354" t="s">
        <v>1140</v>
      </c>
      <c r="C49" s="378">
        <f ca="1">ROUND((C33+C39+C41+C45)/(1-C40-D41-D45-C48),0)</f>
        <v>49323171</v>
      </c>
      <c r="D49" s="378"/>
      <c r="E49" s="378"/>
      <c r="F49" s="413"/>
      <c r="G49" s="383" t="s">
        <v>1125</v>
      </c>
    </row>
    <row r="50" spans="1:7" s="337" customFormat="1">
      <c r="A50" s="353" t="s">
        <v>1126</v>
      </c>
      <c r="B50" s="354" t="s">
        <v>1127</v>
      </c>
      <c r="C50" s="378"/>
      <c r="D50" s="378"/>
      <c r="E50" s="378"/>
      <c r="F50" s="413">
        <f>IF('数据-取费表'!B24=0,'数据-取费表'!N16,1)</f>
        <v>0.71</v>
      </c>
      <c r="G50" s="397"/>
    </row>
    <row r="51" spans="1:7" ht="16.5" customHeight="1">
      <c r="A51" s="353" t="s">
        <v>1129</v>
      </c>
      <c r="B51" s="354" t="s">
        <v>1141</v>
      </c>
      <c r="C51" s="378">
        <f ca="1">ROUND(C49*F50,0)</f>
        <v>35019451</v>
      </c>
      <c r="D51" s="378"/>
      <c r="E51" s="378"/>
      <c r="F51" s="413"/>
      <c r="G51" s="383" t="s">
        <v>1131</v>
      </c>
    </row>
    <row r="52" spans="1:7" s="334" customFormat="1" ht="15.75">
      <c r="A52" s="414" t="s">
        <v>1132</v>
      </c>
      <c r="B52" s="415"/>
      <c r="C52" s="416">
        <f ca="1">C31+C51</f>
        <v>40422609</v>
      </c>
      <c r="D52" s="415"/>
      <c r="E52" s="415"/>
      <c r="F52" s="415"/>
      <c r="G52" s="417"/>
    </row>
    <row r="55" spans="1:7" ht="15">
      <c r="B55" s="418" t="s">
        <v>1133</v>
      </c>
      <c r="C55" s="419"/>
    </row>
    <row r="56" spans="1:7">
      <c r="B56" s="420" t="s">
        <v>1134</v>
      </c>
      <c r="C56" s="422">
        <f ca="1">1-C57</f>
        <v>0.13400000000000001</v>
      </c>
    </row>
    <row r="57" spans="1:7">
      <c r="B57" s="420" t="s">
        <v>1135</v>
      </c>
      <c r="C57" s="421">
        <f ca="1">ROUND(C51/C52,3)</f>
        <v>0.86599999999999999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1142</v>
      </c>
      <c r="B1" s="935"/>
      <c r="C1" s="2114"/>
      <c r="D1" s="2115"/>
      <c r="E1" s="2116"/>
      <c r="F1" s="2116"/>
      <c r="G1" s="2117"/>
      <c r="H1" s="2116"/>
      <c r="I1" s="2116"/>
      <c r="J1" s="2116"/>
      <c r="K1" s="2184">
        <f>MATCH(C1,'数据-取费表'!A6:A16,0)+5</f>
        <v>7</v>
      </c>
    </row>
    <row r="2" spans="1:33" ht="18" customHeight="1">
      <c r="A2" s="345" t="s">
        <v>1037</v>
      </c>
      <c r="B2" s="349">
        <f ca="1">C32</f>
        <v>0</v>
      </c>
      <c r="C2" s="2118" t="s">
        <v>1143</v>
      </c>
      <c r="D2" s="2118"/>
      <c r="E2" s="2116"/>
      <c r="F2" s="2116"/>
      <c r="G2" s="2116"/>
      <c r="H2" s="2116"/>
      <c r="I2" s="2116"/>
      <c r="J2" s="2116"/>
      <c r="K2" s="2116"/>
    </row>
    <row r="3" spans="1:33" ht="18" customHeight="1">
      <c r="A3" s="348" t="s">
        <v>1039</v>
      </c>
      <c r="B3" s="349">
        <f ca="1">ROUND(B2*10000/IF(C1="",'数据-汇总表'!E3,INDIRECT("'数据-取费表'!K"&amp;$K$1)),0)</f>
        <v>0</v>
      </c>
      <c r="C3" s="2118" t="s">
        <v>1144</v>
      </c>
      <c r="D3" s="2118"/>
      <c r="E3" s="2116"/>
      <c r="F3" s="2116"/>
      <c r="G3" s="2116"/>
      <c r="H3" s="2116"/>
      <c r="I3" s="2116"/>
      <c r="J3" s="2116"/>
      <c r="K3" s="2116"/>
    </row>
    <row r="4" spans="1:33" s="2104" customFormat="1" ht="16.5" customHeight="1">
      <c r="A4" s="2119" t="s">
        <v>1145</v>
      </c>
      <c r="B4" s="2120"/>
      <c r="C4" s="2121">
        <f>SUM(C8:K8)</f>
        <v>0</v>
      </c>
      <c r="D4" s="2120"/>
      <c r="E4" s="2120"/>
      <c r="F4" s="2120"/>
      <c r="G4" s="2120"/>
      <c r="H4" s="2120"/>
      <c r="I4" s="2120"/>
      <c r="J4" s="2120"/>
      <c r="K4" s="2185"/>
    </row>
    <row r="5" spans="1:33" s="2105" customFormat="1" ht="15">
      <c r="A5" s="2122" t="s">
        <v>1146</v>
      </c>
      <c r="B5" s="2123" t="s">
        <v>1147</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947</v>
      </c>
      <c r="B6" s="1896" t="s">
        <v>1148</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951</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996</v>
      </c>
      <c r="B8" s="2129" t="s">
        <v>1149</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1150</v>
      </c>
      <c r="B9" s="2120"/>
      <c r="C9" s="2120"/>
      <c r="D9" s="2120"/>
      <c r="E9" s="2120"/>
      <c r="F9" s="2120"/>
      <c r="G9" s="2120"/>
      <c r="H9" s="2120"/>
      <c r="I9" s="2120"/>
      <c r="J9" s="2120"/>
      <c r="K9" s="2185"/>
    </row>
    <row r="10" spans="1:33" s="2106" customFormat="1" ht="13.5" customHeight="1">
      <c r="A10" s="2122" t="s">
        <v>1146</v>
      </c>
      <c r="B10" s="2132" t="s">
        <v>1147</v>
      </c>
      <c r="C10" s="2133" t="s">
        <v>1151</v>
      </c>
      <c r="D10" s="2134" t="s">
        <v>1152</v>
      </c>
      <c r="E10" s="2134" t="s">
        <v>1153</v>
      </c>
      <c r="F10" s="2134" t="s">
        <v>1154</v>
      </c>
      <c r="G10" s="2132"/>
      <c r="H10" s="2135"/>
      <c r="I10" s="2135"/>
      <c r="J10" s="2135"/>
      <c r="K10" s="2190"/>
    </row>
    <row r="11" spans="1:33" s="2107" customFormat="1" ht="13.5" customHeight="1">
      <c r="A11" s="2136" t="s">
        <v>1053</v>
      </c>
      <c r="B11" s="2137" t="s">
        <v>1155</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1057</v>
      </c>
      <c r="B12" s="2137" t="s">
        <v>1156</v>
      </c>
      <c r="C12" s="946">
        <f ca="1">ROUND(C11*F12,0)</f>
        <v>0</v>
      </c>
      <c r="D12" s="2139"/>
      <c r="E12" s="895"/>
      <c r="F12" s="2140">
        <f>'数据-取费表'!B33</f>
        <v>0.05</v>
      </c>
      <c r="G12" s="2132" t="s">
        <v>1157</v>
      </c>
      <c r="H12" s="2135"/>
      <c r="I12" s="2135"/>
      <c r="J12" s="2135"/>
      <c r="K12" s="2190"/>
    </row>
    <row r="13" spans="1:33" s="2107" customFormat="1" ht="13.5" customHeight="1">
      <c r="A13" s="2136" t="s">
        <v>1158</v>
      </c>
      <c r="B13" s="2137" t="s">
        <v>1159</v>
      </c>
      <c r="C13" s="946">
        <f ca="1">ROUND(IF(C1="",SUMIF('数据-取费表'!C:C,"住宅",'数据-取费表'!P:P)*F13,IF(INDIRECT("'数据-取费表'!c"&amp;$K$1)="住宅",INDIRECT("'数据-取费表'!P"&amp;$K$1)*F13,0)),0)</f>
        <v>0</v>
      </c>
      <c r="D13" s="2141"/>
      <c r="E13" s="895"/>
      <c r="F13" s="2140">
        <f>'数据-取费表'!B34</f>
        <v>0</v>
      </c>
      <c r="G13" s="2132" t="s">
        <v>1160</v>
      </c>
      <c r="H13" s="2135"/>
      <c r="I13" s="2135"/>
      <c r="J13" s="2135"/>
      <c r="K13" s="2190"/>
    </row>
    <row r="14" spans="1:33" s="2108" customFormat="1" ht="13.5" customHeight="1">
      <c r="A14" s="2136" t="s">
        <v>1161</v>
      </c>
      <c r="B14" s="2137" t="s">
        <v>1162</v>
      </c>
      <c r="C14" s="946">
        <f ca="1">ROUND(D14*E14*F11/10000,0)</f>
        <v>0</v>
      </c>
      <c r="D14" s="2141">
        <f ca="1">IF(C1="",'数据-汇总表'!E3,INDIRECT("'数据-取费表'!K"&amp;$K$1)+INDIRECT("'数据-取费表'!S"&amp;$K$1))</f>
        <v>12749.85</v>
      </c>
      <c r="E14" s="946">
        <f>'数据-取费表'!B35</f>
        <v>150</v>
      </c>
      <c r="F14" s="2142"/>
      <c r="G14" s="2132" t="s">
        <v>1163</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1164</v>
      </c>
      <c r="B15" s="2137" t="s">
        <v>1165</v>
      </c>
      <c r="C15" s="2143">
        <f ca="1">ROUND(C11*F15,0)</f>
        <v>0</v>
      </c>
      <c r="D15" s="2144"/>
      <c r="E15" s="2143"/>
      <c r="F15" s="2140">
        <f>'数据-取费表'!B36</f>
        <v>0.02</v>
      </c>
      <c r="G15" s="1896" t="s">
        <v>1166</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970</v>
      </c>
      <c r="B16" s="2137" t="s">
        <v>1167</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974</v>
      </c>
      <c r="B17" s="2137" t="s">
        <v>1168</v>
      </c>
      <c r="C17" s="946">
        <f ca="1">ROUND(D17*E17/10000,0)</f>
        <v>0</v>
      </c>
      <c r="D17" s="2141">
        <f ca="1">D14</f>
        <v>12749.85</v>
      </c>
      <c r="E17" s="946">
        <f>'数据-取费表'!B32</f>
        <v>0</v>
      </c>
      <c r="F17" s="2144"/>
      <c r="G17" s="1896" t="s">
        <v>1169</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1170</v>
      </c>
      <c r="B18" s="2137" t="s">
        <v>1171</v>
      </c>
      <c r="C18" s="946">
        <f ca="1">C19+C20-IF(C1="",'数据-取费表'!B29,IF(G18="已全部缴纳",C19+C20,H18))</f>
        <v>0</v>
      </c>
      <c r="D18" s="2141"/>
      <c r="E18" s="946"/>
      <c r="F18" s="2142"/>
      <c r="G18" s="2146"/>
      <c r="H18" s="2147"/>
      <c r="I18" s="2191" t="s">
        <v>1172</v>
      </c>
      <c r="J18" s="2007"/>
      <c r="K18" s="2008"/>
    </row>
    <row r="19" spans="1:33" s="2107" customFormat="1" ht="13.5" customHeight="1">
      <c r="A19" s="2136" t="s">
        <v>1053</v>
      </c>
      <c r="B19" s="2137" t="s">
        <v>456</v>
      </c>
      <c r="C19" s="946">
        <f ca="1">ROUND(D19*E19/10000,0)</f>
        <v>0</v>
      </c>
      <c r="D19" s="2141">
        <f ca="1">IF(C1="",'数据-汇总表'!E5,IF(INDIRECT("'数据-取费表'!c"&amp;$K$1)="住宅",INDIRECT("'数据-取费表'!k"&amp;$K$1),0))</f>
        <v>0</v>
      </c>
      <c r="E19" s="946">
        <f>'数据-取费表'!B27</f>
        <v>150</v>
      </c>
      <c r="F19" s="2142"/>
      <c r="G19" s="2006"/>
      <c r="H19" s="2148"/>
      <c r="I19" s="2149"/>
      <c r="J19" s="2149"/>
      <c r="K19" s="2192"/>
    </row>
    <row r="20" spans="1:33" s="2107" customFormat="1" ht="13.5" customHeight="1">
      <c r="A20" s="2136" t="s">
        <v>1057</v>
      </c>
      <c r="B20" s="2137" t="s">
        <v>1173</v>
      </c>
      <c r="C20" s="946">
        <f ca="1">ROUND(D20*E20/10000,0)</f>
        <v>242</v>
      </c>
      <c r="D20" s="2141">
        <f ca="1">IF(C1="",'数据-汇总表'!E6,IF(INDIRECT("'数据-取费表'!c"&amp;$K$1)="住宅",INDIRECT("'数据-取费表'!s"&amp;$K$1),INDIRECT("'数据-取费表'!k"&amp;$K$1)+INDIRECT("'数据-取费表'!s"&amp;$K$1)))</f>
        <v>12749.85</v>
      </c>
      <c r="E20" s="946">
        <f>'数据-取费表'!B28</f>
        <v>190</v>
      </c>
      <c r="F20" s="2142"/>
      <c r="G20" s="2006"/>
      <c r="H20" s="2149"/>
      <c r="I20" s="2149"/>
      <c r="J20" s="2149"/>
      <c r="K20" s="2192"/>
    </row>
    <row r="21" spans="1:33" s="2107" customFormat="1" ht="13.5" customHeight="1">
      <c r="A21" s="2125" t="s">
        <v>947</v>
      </c>
      <c r="B21" s="2150" t="s">
        <v>1174</v>
      </c>
      <c r="C21" s="2151">
        <f ca="1">C16+C17+C18</f>
        <v>0</v>
      </c>
      <c r="D21" s="2152"/>
      <c r="E21" s="2153"/>
      <c r="F21" s="2153"/>
      <c r="G21" s="1896" t="s">
        <v>1175</v>
      </c>
      <c r="H21" s="2007"/>
      <c r="I21" s="2007"/>
      <c r="J21" s="2007"/>
      <c r="K21" s="2008"/>
    </row>
    <row r="22" spans="1:33" s="2107" customFormat="1" ht="13.5" customHeight="1">
      <c r="A22" s="2125" t="s">
        <v>951</v>
      </c>
      <c r="B22" s="2150" t="s">
        <v>1176</v>
      </c>
      <c r="C22" s="2151">
        <f ca="1">ROUND(C21*F22,0)</f>
        <v>0</v>
      </c>
      <c r="D22" s="2153"/>
      <c r="E22" s="2153"/>
      <c r="F22" s="2154">
        <f>'数据-取费表'!B37</f>
        <v>0.02</v>
      </c>
      <c r="G22" s="2132" t="s">
        <v>1177</v>
      </c>
      <c r="H22" s="2135"/>
      <c r="I22" s="2135"/>
      <c r="J22" s="2135"/>
      <c r="K22" s="2190"/>
    </row>
    <row r="23" spans="1:33" s="2107" customFormat="1" ht="13.5" customHeight="1">
      <c r="A23" s="2125" t="s">
        <v>996</v>
      </c>
      <c r="B23" s="2150" t="s">
        <v>1178</v>
      </c>
      <c r="C23" s="2151">
        <f ca="1">ROUND(C4*F23*F11,0)</f>
        <v>0</v>
      </c>
      <c r="D23" s="2153"/>
      <c r="E23" s="2153"/>
      <c r="F23" s="2154">
        <f>'数据-取费表'!B38</f>
        <v>0.02</v>
      </c>
      <c r="G23" s="2132" t="s">
        <v>1179</v>
      </c>
      <c r="H23" s="2135"/>
      <c r="I23" s="2135"/>
      <c r="J23" s="2135"/>
      <c r="K23" s="2190"/>
    </row>
    <row r="24" spans="1:33" s="2107" customFormat="1" ht="13.5" customHeight="1">
      <c r="A24" s="2125" t="s">
        <v>999</v>
      </c>
      <c r="B24" s="2150" t="s">
        <v>1180</v>
      </c>
      <c r="C24" s="2155">
        <f>ROUND(F24/(1+'数据-取费表'!C42),4)</f>
        <v>2.9000000000000001E-2</v>
      </c>
      <c r="D24" s="2153" t="s">
        <v>1181</v>
      </c>
      <c r="E24" s="2153"/>
      <c r="F24" s="2154">
        <f>IF(项目基本情况!B8="出让",0,'数据-取费表'!B48+'数据-取费表'!B49)</f>
        <v>3.0499999999999999E-2</v>
      </c>
      <c r="G24" s="2132" t="s">
        <v>1182</v>
      </c>
      <c r="H24" s="2156"/>
      <c r="I24" s="2156"/>
      <c r="J24" s="2156"/>
      <c r="K24" s="2193"/>
    </row>
    <row r="25" spans="1:33" s="2107" customFormat="1" ht="13.5" customHeight="1">
      <c r="A25" s="2125" t="s">
        <v>1003</v>
      </c>
      <c r="B25" s="2152" t="s">
        <v>1183</v>
      </c>
      <c r="C25" s="2157">
        <f ca="1">C27</f>
        <v>0</v>
      </c>
      <c r="D25" s="2155">
        <f ca="1">C26</f>
        <v>0</v>
      </c>
      <c r="E25" s="2158" t="s">
        <v>1181</v>
      </c>
      <c r="F25" s="2159">
        <f ca="1">'数据-取费表'!B40</f>
        <v>3.1E-2</v>
      </c>
      <c r="G25" s="1896" t="str">
        <f>IF('数据-取费表'!B22&lt;=1,"单利计息。","复利计息。")&amp;"后续开发成本、管理费用及销售费用产生的利息。"</f>
        <v>单利计息。后续开发成本、管理费用及销售费用产生的利息。</v>
      </c>
      <c r="H25" s="2156"/>
      <c r="I25" s="2156"/>
      <c r="J25" s="2156"/>
      <c r="K25" s="2193"/>
    </row>
    <row r="26" spans="1:33" s="2109" customFormat="1" ht="13.5" customHeight="1">
      <c r="A26" s="2136" t="s">
        <v>970</v>
      </c>
      <c r="B26" s="2160" t="s">
        <v>1184</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（(1)+取得税费率/(1+5%)）×年利率×建设期</v>
      </c>
      <c r="H26" s="2007"/>
      <c r="I26" s="2007"/>
      <c r="J26" s="2007"/>
      <c r="K26" s="2008"/>
    </row>
    <row r="27" spans="1:33" s="2109" customFormat="1" ht="13.5" customHeight="1">
      <c r="A27" s="2136" t="s">
        <v>974</v>
      </c>
      <c r="B27" s="2160" t="s">
        <v>1185</v>
      </c>
      <c r="C27" s="2166">
        <f ca="1">ROUND(IF('数据-取费表'!B22&lt;=1,(C21+C22+C23)*F25*'数据-取费表'!B24/2,(C21+C22+C23)*(POWER((1+F25),'数据-取费表'!B24/2)-1)),0)</f>
        <v>0</v>
      </c>
      <c r="D27" s="2162"/>
      <c r="E27" s="2163"/>
      <c r="F27" s="2164"/>
      <c r="G27" s="2165" t="str">
        <f>IF('数据-取费表'!B22&lt;=1,"（1）-（3）项×年利率×建设期÷2","（1）-（3）项×((1+年利率)^(建设期÷2)-1)")</f>
        <v>（1）-（3）项×年利率×建设期÷2</v>
      </c>
      <c r="H27" s="2007"/>
      <c r="I27" s="2007"/>
      <c r="J27" s="2007"/>
      <c r="K27" s="2008"/>
    </row>
    <row r="28" spans="1:33" s="2110" customFormat="1" ht="13.5" customHeight="1">
      <c r="A28" s="2125" t="s">
        <v>1004</v>
      </c>
      <c r="B28" s="2167" t="s">
        <v>1186</v>
      </c>
      <c r="C28" s="2168">
        <f ca="1">C30</f>
        <v>0</v>
      </c>
      <c r="D28" s="2155">
        <f ca="1">C29</f>
        <v>0</v>
      </c>
      <c r="E28" s="2158" t="s">
        <v>1181</v>
      </c>
      <c r="F28" s="1238">
        <f ca="1">IF(C1="",'数据-取费表'!Q16,INDIRECT("'数据-取费表'!q"&amp;$K$1))</f>
        <v>0.1</v>
      </c>
      <c r="G28" s="2169"/>
      <c r="H28" s="2156"/>
      <c r="I28" s="2156"/>
      <c r="J28" s="2156"/>
      <c r="K28" s="2193"/>
    </row>
    <row r="29" spans="1:33" s="2111" customFormat="1" ht="13.5" customHeight="1">
      <c r="A29" s="2136" t="s">
        <v>970</v>
      </c>
      <c r="B29" s="2170" t="s">
        <v>1187</v>
      </c>
      <c r="C29" s="2162">
        <f ca="1">ROUND((1+C24)*F28*'数据-取费表'!B24/'数据-取费表'!B20,4)</f>
        <v>0</v>
      </c>
      <c r="D29" s="2162"/>
      <c r="E29" s="2163"/>
      <c r="F29" s="2171"/>
      <c r="G29" s="1896" t="s">
        <v>1188</v>
      </c>
      <c r="H29" s="2007"/>
      <c r="I29" s="2007"/>
      <c r="J29" s="2007"/>
      <c r="K29" s="2008"/>
    </row>
    <row r="30" spans="1:33" s="2111" customFormat="1" ht="13.5" customHeight="1">
      <c r="A30" s="2136" t="s">
        <v>974</v>
      </c>
      <c r="B30" s="2170" t="s">
        <v>1189</v>
      </c>
      <c r="C30" s="2172">
        <f ca="1">ROUND((C21+C22+C23)*F28,0)</f>
        <v>0</v>
      </c>
      <c r="D30" s="2162"/>
      <c r="E30" s="2163"/>
      <c r="F30" s="2171"/>
      <c r="G30" s="1896"/>
      <c r="H30" s="2007"/>
      <c r="I30" s="2007"/>
      <c r="J30" s="2007"/>
      <c r="K30" s="2008"/>
    </row>
    <row r="31" spans="1:33" s="2107" customFormat="1" ht="13.5" customHeight="1">
      <c r="A31" s="2173" t="s">
        <v>1190</v>
      </c>
      <c r="B31" s="2174" t="s">
        <v>1191</v>
      </c>
      <c r="C31" s="2175">
        <f>ROUND(C4*F31/(1+'数据-取费表'!C42),0)</f>
        <v>0</v>
      </c>
      <c r="D31" s="2176"/>
      <c r="E31" s="2177"/>
      <c r="F31" s="2178">
        <f>'数据-取费表'!B41</f>
        <v>5.5E-2</v>
      </c>
      <c r="G31" s="2179" t="s">
        <v>1192</v>
      </c>
      <c r="H31" s="2180"/>
      <c r="I31" s="2180"/>
      <c r="J31" s="2180"/>
      <c r="K31" s="2194"/>
    </row>
    <row r="32" spans="1:33" s="2106" customFormat="1" ht="13.5" customHeight="1">
      <c r="A32" s="1240" t="s">
        <v>1193</v>
      </c>
      <c r="B32" s="2181"/>
      <c r="C32" s="2182">
        <f ca="1">ROUND((C4-C21-C22-C23-C25-C28-C31)/(1+C24+D25+D28),0)</f>
        <v>0</v>
      </c>
      <c r="D32" s="2181"/>
      <c r="E32" s="2181"/>
      <c r="F32" s="2181"/>
      <c r="G32" s="2183" t="s">
        <v>1194</v>
      </c>
      <c r="H32" s="2181"/>
      <c r="I32" s="2181"/>
      <c r="J32" s="2181"/>
      <c r="K32" s="219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1195</v>
      </c>
      <c r="B1" s="1229"/>
      <c r="C1" s="1827" t="s">
        <v>611</v>
      </c>
      <c r="D1" s="1828" t="s">
        <v>124</v>
      </c>
      <c r="E1" s="1829" t="s">
        <v>1196</v>
      </c>
      <c r="F1" s="1830">
        <f ca="1">J53</f>
        <v>26.93</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1197</v>
      </c>
      <c r="B2" s="2096">
        <f ca="1">C40+J29+L46</f>
        <v>9610</v>
      </c>
      <c r="C2" s="1834" t="s">
        <v>1198</v>
      </c>
      <c r="D2" s="1834"/>
      <c r="E2" s="1836"/>
      <c r="F2" s="1837"/>
      <c r="G2" s="1838"/>
      <c r="H2" s="1839"/>
      <c r="I2" s="1839"/>
      <c r="J2" s="1839"/>
      <c r="K2" s="1994"/>
      <c r="L2" s="1839"/>
      <c r="M2" s="1839"/>
    </row>
    <row r="3" spans="1:37" ht="18" customHeight="1">
      <c r="A3" s="1840" t="s">
        <v>1199</v>
      </c>
      <c r="B3" s="1841">
        <f ca="1">IF(ISERROR(B2*10000/F43),0,ROUND(B2*10000/F43,0))</f>
        <v>7537</v>
      </c>
      <c r="C3" s="1834" t="s">
        <v>1200</v>
      </c>
      <c r="D3" s="1834"/>
      <c r="E3" s="1836"/>
      <c r="F3" s="1837"/>
      <c r="G3" s="1838"/>
      <c r="H3" s="1842" t="s">
        <v>1201</v>
      </c>
      <c r="I3" s="1995"/>
      <c r="J3" s="1995"/>
      <c r="K3" s="1996"/>
      <c r="L3" s="1995"/>
      <c r="M3" s="1995"/>
    </row>
    <row r="4" spans="1:37" ht="18" customHeight="1">
      <c r="A4" s="1843" t="s">
        <v>1202</v>
      </c>
      <c r="B4" s="1844" t="s">
        <v>1203</v>
      </c>
      <c r="C4" s="1844" t="s">
        <v>1204</v>
      </c>
      <c r="D4" s="1844" t="s">
        <v>1205</v>
      </c>
      <c r="E4" s="1845" t="s">
        <v>1206</v>
      </c>
      <c r="F4" s="1846"/>
      <c r="G4" s="714"/>
      <c r="H4" s="1843" t="s">
        <v>1202</v>
      </c>
      <c r="I4" s="1844" t="s">
        <v>1203</v>
      </c>
      <c r="J4" s="1844" t="s">
        <v>1204</v>
      </c>
      <c r="K4" s="1844" t="s">
        <v>1205</v>
      </c>
      <c r="L4" s="1845" t="s">
        <v>1206</v>
      </c>
      <c r="M4" s="1846"/>
    </row>
    <row r="5" spans="1:37" ht="18" customHeight="1">
      <c r="A5" s="1847">
        <v>1</v>
      </c>
      <c r="B5" s="1848" t="s">
        <v>1207</v>
      </c>
      <c r="C5" s="1849">
        <f ca="1">C6+C10+C12</f>
        <v>713</v>
      </c>
      <c r="D5" s="1850" t="s">
        <v>1208</v>
      </c>
      <c r="E5" s="1851"/>
      <c r="F5" s="1852"/>
      <c r="G5" s="714"/>
      <c r="H5" s="1847">
        <v>1</v>
      </c>
      <c r="I5" s="1848" t="s">
        <v>1207</v>
      </c>
      <c r="J5" s="1849">
        <f ca="1">J6+J10+J12</f>
        <v>0</v>
      </c>
      <c r="K5" s="1850" t="s">
        <v>1208</v>
      </c>
      <c r="L5" s="1851"/>
      <c r="M5" s="1852"/>
    </row>
    <row r="6" spans="1:37" ht="18" customHeight="1">
      <c r="A6" s="1853" t="s">
        <v>947</v>
      </c>
      <c r="B6" s="3355" t="s">
        <v>1209</v>
      </c>
      <c r="C6" s="1854">
        <f ca="1">ROUND(F6*F8*F7*(1-F9)/10000,0)</f>
        <v>712</v>
      </c>
      <c r="D6" s="1855" t="s">
        <v>1210</v>
      </c>
      <c r="E6" s="1856" t="s">
        <v>1211</v>
      </c>
      <c r="F6" s="1857">
        <f ca="1">INDIRECT("'数据-取费表'!u"&amp;$G$1)</f>
        <v>1.7</v>
      </c>
      <c r="G6" s="714"/>
      <c r="H6" s="1853" t="s">
        <v>947</v>
      </c>
      <c r="I6" s="3355" t="s">
        <v>1209</v>
      </c>
      <c r="J6" s="1927">
        <f ca="1">ROUND(M6*M8*M7*(1-M9)/10000,0)</f>
        <v>0</v>
      </c>
      <c r="K6" s="1855" t="s">
        <v>1212</v>
      </c>
      <c r="L6" s="1856" t="s">
        <v>1211</v>
      </c>
      <c r="M6" s="1857">
        <f ca="1">INDIRECT("'数据-取费表'!z"&amp;$G$1)</f>
        <v>0</v>
      </c>
    </row>
    <row r="7" spans="1:37" ht="18" customHeight="1">
      <c r="A7" s="1858"/>
      <c r="B7" s="3356"/>
      <c r="C7" s="1859"/>
      <c r="D7" s="1860"/>
      <c r="E7" s="1861" t="s">
        <v>1213</v>
      </c>
      <c r="F7" s="1857">
        <f ca="1">IF(INDIRECT("'数据-取费表'!ah"&amp;$G$1)="",INDIRECT("'数据-取费表'!k"&amp;$G$1),INDIRECT("'数据-取费表'!ah"&amp;$G$1))</f>
        <v>12749.85</v>
      </c>
      <c r="G7" s="714"/>
      <c r="H7" s="1862"/>
      <c r="I7" s="3356"/>
      <c r="J7" s="1863"/>
      <c r="K7" s="1860"/>
      <c r="L7" s="1856" t="s">
        <v>1213</v>
      </c>
      <c r="M7" s="1857">
        <f ca="1">F7</f>
        <v>12749.85</v>
      </c>
    </row>
    <row r="8" spans="1:37" ht="18" customHeight="1">
      <c r="A8" s="1862"/>
      <c r="B8" s="3356"/>
      <c r="C8" s="1863"/>
      <c r="D8" s="1860"/>
      <c r="E8" s="1856" t="s">
        <v>1214</v>
      </c>
      <c r="F8" s="1857">
        <f ca="1">INDIRECT("'数据-取费表'!ai"&amp;$G$1)</f>
        <v>365</v>
      </c>
      <c r="G8" s="714"/>
      <c r="H8" s="1862"/>
      <c r="I8" s="3356"/>
      <c r="J8" s="1863"/>
      <c r="K8" s="1860"/>
      <c r="L8" s="1856" t="s">
        <v>1214</v>
      </c>
      <c r="M8" s="1857">
        <f ca="1">INDIRECT("'数据-取费表'!ai"&amp;$G$1)</f>
        <v>365</v>
      </c>
    </row>
    <row r="9" spans="1:37" ht="18" customHeight="1">
      <c r="A9" s="1862"/>
      <c r="B9" s="3357"/>
      <c r="C9" s="1863"/>
      <c r="D9" s="1860"/>
      <c r="E9" s="1856" t="s">
        <v>1215</v>
      </c>
      <c r="F9" s="1864">
        <f ca="1">INDIRECT("'数据-取费表'!w"&amp;$G$1)</f>
        <v>0.1</v>
      </c>
      <c r="G9" s="714"/>
      <c r="H9" s="1862"/>
      <c r="I9" s="3357"/>
      <c r="J9" s="1863"/>
      <c r="K9" s="1860"/>
      <c r="L9" s="1867" t="s">
        <v>1215</v>
      </c>
      <c r="M9" s="1872">
        <f ca="1">INDIRECT("'数据-取费表'!ab"&amp;$G$1)</f>
        <v>0</v>
      </c>
    </row>
    <row r="10" spans="1:37" ht="18" customHeight="1">
      <c r="A10" s="1853" t="s">
        <v>951</v>
      </c>
      <c r="B10" s="1865" t="s">
        <v>1216</v>
      </c>
      <c r="C10" s="945">
        <f ca="1">ROUND(IF(F10="押一",C6/12*F11,IF(F10="押二",C6/12*2*F11,IF(F10="押三",C6/12*3*F11,C11*F11))),0)</f>
        <v>1</v>
      </c>
      <c r="D10" s="1866" t="s">
        <v>1217</v>
      </c>
      <c r="E10" s="1867" t="s">
        <v>1218</v>
      </c>
      <c r="F10" s="1868" t="s">
        <v>1219</v>
      </c>
      <c r="G10" s="714"/>
      <c r="H10" s="1853" t="s">
        <v>951</v>
      </c>
      <c r="I10" s="1865" t="s">
        <v>1216</v>
      </c>
      <c r="J10" s="1927">
        <f ca="1">ROUND(IF(M10="押一",J6/12*M11,IF(M10="押二",J6/12*2*M11,IF(M10="押三",J6/12*3*M11,J11*M11))),0)</f>
        <v>0</v>
      </c>
      <c r="K10" s="1866" t="s">
        <v>1217</v>
      </c>
      <c r="L10" s="1867" t="s">
        <v>1218</v>
      </c>
      <c r="M10" s="1868"/>
    </row>
    <row r="11" spans="1:37" ht="18" customHeight="1">
      <c r="A11" s="1869"/>
      <c r="B11" s="1870" t="s">
        <v>1220</v>
      </c>
      <c r="C11" s="1871"/>
      <c r="D11" s="2097"/>
      <c r="E11" s="1867" t="s">
        <v>1221</v>
      </c>
      <c r="F11" s="1872">
        <f ca="1">'数据-取费表'!B39</f>
        <v>1.4999999999999999E-2</v>
      </c>
      <c r="G11" s="714"/>
      <c r="H11" s="1873"/>
      <c r="I11" s="1870" t="s">
        <v>1220</v>
      </c>
      <c r="J11" s="1871"/>
      <c r="K11" s="1999"/>
      <c r="L11" s="1867" t="s">
        <v>1221</v>
      </c>
      <c r="M11" s="2000">
        <f ca="1">'数据-取费表'!B39</f>
        <v>1.4999999999999999E-2</v>
      </c>
    </row>
    <row r="12" spans="1:37" ht="18" customHeight="1">
      <c r="A12" s="1874" t="s">
        <v>996</v>
      </c>
      <c r="B12" s="1875" t="s">
        <v>1222</v>
      </c>
      <c r="C12" s="1876"/>
      <c r="D12" s="1877"/>
      <c r="E12" s="1878"/>
      <c r="F12" s="1879"/>
      <c r="G12" s="714"/>
      <c r="H12" s="1874" t="s">
        <v>996</v>
      </c>
      <c r="I12" s="1875" t="s">
        <v>1222</v>
      </c>
      <c r="J12" s="1876"/>
      <c r="K12" s="2001"/>
      <c r="L12" s="1878"/>
      <c r="M12" s="2002"/>
    </row>
    <row r="13" spans="1:37" ht="18" customHeight="1">
      <c r="A13" s="1880">
        <v>2</v>
      </c>
      <c r="B13" s="1881" t="s">
        <v>1223</v>
      </c>
      <c r="C13" s="1882">
        <f ca="1">ROUND(C29*F13,0)</f>
        <v>3501</v>
      </c>
      <c r="D13" s="1883" t="s">
        <v>1224</v>
      </c>
      <c r="E13" s="1883" t="s">
        <v>1225</v>
      </c>
      <c r="F13" s="1884">
        <f ca="1">INDIRECT("'数据-取费表'!y"&amp;$G$1)</f>
        <v>0.71</v>
      </c>
      <c r="G13" s="714"/>
      <c r="H13" s="1880">
        <v>2</v>
      </c>
      <c r="I13" s="1881" t="s">
        <v>1223</v>
      </c>
      <c r="J13" s="2003">
        <f ca="1">ROUND(J14*J15,0)</f>
        <v>0</v>
      </c>
      <c r="K13" s="1905" t="s">
        <v>1224</v>
      </c>
      <c r="L13" s="2004"/>
      <c r="M13" s="2005"/>
    </row>
    <row r="14" spans="1:37" ht="18" customHeight="1">
      <c r="A14" s="1885" t="s">
        <v>970</v>
      </c>
      <c r="B14" s="1856" t="s">
        <v>1226</v>
      </c>
      <c r="C14" s="1886">
        <f ca="1">INDIRECT("'数据-取费表'!m"&amp;$G$1)+INDIRECT("'数据-取费表'!t"&amp;$G$1)</f>
        <v>3570</v>
      </c>
      <c r="D14" s="1887" t="s">
        <v>1227</v>
      </c>
      <c r="E14" s="1888"/>
      <c r="F14" s="1889"/>
      <c r="G14" s="714"/>
      <c r="H14" s="1885" t="s">
        <v>947</v>
      </c>
      <c r="I14" s="1856" t="s">
        <v>1228</v>
      </c>
      <c r="J14" s="946">
        <f ca="1">C29</f>
        <v>4931</v>
      </c>
      <c r="K14" s="2006"/>
      <c r="L14" s="2007"/>
      <c r="M14" s="2008"/>
    </row>
    <row r="15" spans="1:37" s="1824" customFormat="1" ht="18" customHeight="1">
      <c r="A15" s="1885" t="s">
        <v>974</v>
      </c>
      <c r="B15" s="1856" t="s">
        <v>1156</v>
      </c>
      <c r="C15" s="946">
        <f ca="1">ROUND(C14*F15,0)</f>
        <v>179</v>
      </c>
      <c r="D15" s="1890" t="s">
        <v>1229</v>
      </c>
      <c r="E15" s="1890" t="s">
        <v>1230</v>
      </c>
      <c r="F15" s="1891">
        <f>'数据-取费表'!B33</f>
        <v>0.05</v>
      </c>
      <c r="G15" s="1892"/>
      <c r="H15" s="1893" t="s">
        <v>951</v>
      </c>
      <c r="I15" s="1878" t="s">
        <v>1225</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977</v>
      </c>
      <c r="B16" s="1856" t="s">
        <v>1159</v>
      </c>
      <c r="C16" s="946">
        <f ca="1">ROUND(INDIRECT("'数据-取费表'!m"&amp;$G$1)*F16,0)</f>
        <v>0</v>
      </c>
      <c r="D16" s="1856" t="s">
        <v>1229</v>
      </c>
      <c r="E16" s="1856" t="s">
        <v>1230</v>
      </c>
      <c r="F16" s="1894">
        <f ca="1">IF(INDIRECT("'数据-取费表'!c"&amp;$G$1)="住宅",'数据-取费表'!B34,0)</f>
        <v>0</v>
      </c>
      <c r="G16" s="714"/>
      <c r="H16" s="1880" t="s">
        <v>1231</v>
      </c>
      <c r="I16" s="1881" t="s">
        <v>1232</v>
      </c>
      <c r="J16" s="1882">
        <f ca="1">ROUND(J17+J22+J23+J24,0)</f>
        <v>35</v>
      </c>
      <c r="K16" s="1905" t="s">
        <v>1233</v>
      </c>
      <c r="L16" s="1906"/>
      <c r="M16" s="1852"/>
    </row>
    <row r="17" spans="1:37" s="1824" customFormat="1" ht="18" customHeight="1">
      <c r="A17" s="1885" t="s">
        <v>1234</v>
      </c>
      <c r="B17" s="1856" t="s">
        <v>1235</v>
      </c>
      <c r="C17" s="946">
        <f ca="1">ROUND(F17*(F43+INDIRECT("'数据-取费表'!S"&amp;$G$1))/10000,0)</f>
        <v>191</v>
      </c>
      <c r="D17" s="1856" t="s">
        <v>1236</v>
      </c>
      <c r="E17" s="1856" t="s">
        <v>1237</v>
      </c>
      <c r="F17" s="1895">
        <f>'数据-取费表'!B35</f>
        <v>150</v>
      </c>
      <c r="G17" s="1892"/>
      <c r="H17" s="1885" t="s">
        <v>947</v>
      </c>
      <c r="I17" s="1856" t="s">
        <v>1238</v>
      </c>
      <c r="J17" s="1908">
        <f ca="1">ROUND(IF(AND(项目基本情况!B11="自然人",项目基本情况!B10="北京市"),J6*M17/(1+'数据-取费表'!C42),J18+J19+J20),2)</f>
        <v>10.1</v>
      </c>
      <c r="K17" s="1887" t="s">
        <v>1239</v>
      </c>
      <c r="L17" s="1909" t="s">
        <v>1240</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1241</v>
      </c>
      <c r="B18" s="1856" t="s">
        <v>1165</v>
      </c>
      <c r="C18" s="946">
        <f ca="1">ROUND(C14*F18,0)</f>
        <v>71</v>
      </c>
      <c r="D18" s="1856" t="s">
        <v>1229</v>
      </c>
      <c r="E18" s="1856" t="s">
        <v>1230</v>
      </c>
      <c r="F18" s="1894">
        <f>'数据-取费表'!B36</f>
        <v>0.02</v>
      </c>
      <c r="G18" s="1892"/>
      <c r="H18" s="1885" t="s">
        <v>970</v>
      </c>
      <c r="I18" s="1856" t="s">
        <v>1242</v>
      </c>
      <c r="J18" s="946">
        <f ca="1">ROUND(J6*M18/(1+'数据-取费表'!C42),2)</f>
        <v>0</v>
      </c>
      <c r="K18" s="1909" t="s">
        <v>1243</v>
      </c>
      <c r="L18" s="1856" t="s">
        <v>1230</v>
      </c>
      <c r="M18" s="1894">
        <f>'数据-取费表'!B41</f>
        <v>5.5E-2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947</v>
      </c>
      <c r="B19" s="1856" t="s">
        <v>1244</v>
      </c>
      <c r="C19" s="946">
        <f ca="1">SUM(C14:C18)</f>
        <v>4011</v>
      </c>
      <c r="D19" s="1896" t="s">
        <v>1245</v>
      </c>
      <c r="E19" s="948"/>
      <c r="F19" s="1895"/>
      <c r="G19" s="714"/>
      <c r="H19" s="1885" t="s">
        <v>974</v>
      </c>
      <c r="I19" s="1856" t="s">
        <v>1246</v>
      </c>
      <c r="J19" s="946">
        <f ca="1">IF(K19="按租金收入计税",ROUND(J6*M19/(1+'数据-取费表'!C42),2),ROUND(C29*M19*0.7,2))</f>
        <v>0</v>
      </c>
      <c r="K19" s="1912" t="s">
        <v>1247</v>
      </c>
      <c r="L19" s="1856" t="s">
        <v>1230</v>
      </c>
      <c r="M19" s="1894">
        <f>IF(K19="按租金收入计税",'数据-取费表'!B51,'数据-取费表'!B50)</f>
        <v>0.12</v>
      </c>
    </row>
    <row r="20" spans="1:37" s="1824" customFormat="1" ht="18" customHeight="1">
      <c r="A20" s="1885" t="s">
        <v>951</v>
      </c>
      <c r="B20" s="1856" t="s">
        <v>1248</v>
      </c>
      <c r="C20" s="946">
        <f ca="1">ROUND(C19*F20,0)</f>
        <v>80</v>
      </c>
      <c r="D20" s="1897" t="s">
        <v>1249</v>
      </c>
      <c r="E20" s="1856" t="s">
        <v>1230</v>
      </c>
      <c r="F20" s="1894">
        <f>'数据-取费表'!B37</f>
        <v>0.02</v>
      </c>
      <c r="G20" s="1892"/>
      <c r="H20" s="1885" t="s">
        <v>977</v>
      </c>
      <c r="I20" s="1855" t="s">
        <v>1250</v>
      </c>
      <c r="J20" s="1914">
        <f ca="1">ROUND(M20*M21/10000,2)</f>
        <v>10.1</v>
      </c>
      <c r="K20" s="1915" t="s">
        <v>1251</v>
      </c>
      <c r="L20" s="1856" t="s">
        <v>1252</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996</v>
      </c>
      <c r="B21" s="1856" t="s">
        <v>1253</v>
      </c>
      <c r="C21" s="946" t="s">
        <v>124</v>
      </c>
      <c r="D21" s="1897" t="s">
        <v>1254</v>
      </c>
      <c r="E21" s="1856" t="s">
        <v>1255</v>
      </c>
      <c r="F21" s="1894">
        <f>'数据-取费表'!B38</f>
        <v>0.02</v>
      </c>
      <c r="G21" s="1892"/>
      <c r="H21" s="1898"/>
      <c r="I21" s="2012"/>
      <c r="J21" s="1918"/>
      <c r="K21" s="1919"/>
      <c r="L21" s="1856" t="s">
        <v>1256</v>
      </c>
      <c r="M21" s="1857">
        <f ca="1">INDIRECT("'数据-取费表'!r"&amp;$G$1)</f>
        <v>67351.83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999</v>
      </c>
      <c r="B22" s="1856" t="s">
        <v>1257</v>
      </c>
      <c r="C22" s="946"/>
      <c r="D22" s="1896" t="str">
        <f>IF(F23&lt;=1,"单利计息。","复利计息。")&amp;"建造成本、管理费用、销售费用产生的利息。"</f>
        <v>单利计息。建造成本、管理费用、销售费用产生的利息。</v>
      </c>
      <c r="E22" s="948"/>
      <c r="F22" s="1895"/>
      <c r="G22" s="714"/>
      <c r="H22" s="1885" t="s">
        <v>951</v>
      </c>
      <c r="I22" s="1856" t="s">
        <v>1258</v>
      </c>
      <c r="J22" s="946">
        <f ca="1">ROUND(J14*M22,2)</f>
        <v>24.66</v>
      </c>
      <c r="K22" s="1909" t="s">
        <v>1259</v>
      </c>
      <c r="L22" s="1856" t="s">
        <v>1230</v>
      </c>
      <c r="M22" s="1921">
        <f ca="1">INDIRECT("'数据-取费表'!Ak"&amp;$G$1)</f>
        <v>5.0000000000000001E-3</v>
      </c>
    </row>
    <row r="23" spans="1:37" s="1824" customFormat="1" ht="18" customHeight="1">
      <c r="A23" s="1885" t="s">
        <v>970</v>
      </c>
      <c r="B23" s="1856" t="s">
        <v>1260</v>
      </c>
      <c r="C23" s="946">
        <f ca="1">IF('数据-取费表'!B22&lt;=1,ROUND(C19*F24*F23/2,0)+ROUND(C20*F24*F23/2,0),ROUND(C19*(POWER((1+F24),F23/2)-1),0)+ROUND(C20*(POWER((1+F24),F23/2)-1),0))</f>
        <v>63</v>
      </c>
      <c r="D23" s="895" t="str">
        <f>IF(F23&lt;=1,"(建造成本+管理费用)×利率×(建设周期÷2)","(建造成本+管理费用)×((1+利率)^(建设周期÷2)-1)")</f>
        <v>(建造成本+管理费用)×利率×(建设周期÷2)</v>
      </c>
      <c r="E23" s="1856" t="s">
        <v>1261</v>
      </c>
      <c r="F23" s="1899">
        <f>'数据-取费表'!B20</f>
        <v>1</v>
      </c>
      <c r="G23" s="1892"/>
      <c r="H23" s="1885" t="s">
        <v>996</v>
      </c>
      <c r="I23" s="1856" t="s">
        <v>1262</v>
      </c>
      <c r="J23" s="946">
        <f ca="1">ROUND(J13*M23,2)</f>
        <v>0</v>
      </c>
      <c r="K23" s="1909" t="s">
        <v>1263</v>
      </c>
      <c r="L23" s="1856" t="s">
        <v>1230</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974</v>
      </c>
      <c r="B24" s="1856" t="s">
        <v>1264</v>
      </c>
      <c r="C24" s="946">
        <f ca="1">ROUND(IF('数据-取费表'!B22&lt;=1,F21*F24*F23/2,F21*(POWER((1+F24),F23/2)-1)),4)</f>
        <v>2.9999999999999997E-4</v>
      </c>
      <c r="D24" s="895" t="str">
        <f>IF(F23&lt;=1,"销售费用×利率×(建设周期÷2)","销售费用×((1+利率)^(建设周期÷2)-1)")</f>
        <v>销售费用×利率×(建设周期÷2)</v>
      </c>
      <c r="E24" s="1856" t="s">
        <v>1265</v>
      </c>
      <c r="F24" s="1900">
        <f ca="1">'数据-取费表'!B40</f>
        <v>3.1E-2</v>
      </c>
      <c r="G24" s="1892"/>
      <c r="H24" s="1893" t="s">
        <v>999</v>
      </c>
      <c r="I24" s="1878" t="s">
        <v>1248</v>
      </c>
      <c r="J24" s="1901">
        <f ca="1">ROUND(J5*M24,2)</f>
        <v>0</v>
      </c>
      <c r="K24" s="1902" t="s">
        <v>1266</v>
      </c>
      <c r="L24" s="1878" t="s">
        <v>1230</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1003</v>
      </c>
      <c r="B25" s="1856" t="s">
        <v>1267</v>
      </c>
      <c r="C25" s="946"/>
      <c r="D25" s="1896" t="s">
        <v>1268</v>
      </c>
      <c r="E25" s="948"/>
      <c r="F25" s="1895"/>
      <c r="G25" s="714"/>
      <c r="H25" s="1880" t="s">
        <v>1269</v>
      </c>
      <c r="I25" s="1923" t="s">
        <v>1270</v>
      </c>
      <c r="J25" s="1882">
        <f ca="1">J5-J16</f>
        <v>-35</v>
      </c>
      <c r="K25" s="1924" t="s">
        <v>1271</v>
      </c>
      <c r="L25" s="1925"/>
      <c r="M25" s="1926"/>
    </row>
    <row r="26" spans="1:37">
      <c r="A26" s="1885" t="s">
        <v>970</v>
      </c>
      <c r="B26" s="1856" t="s">
        <v>1272</v>
      </c>
      <c r="C26" s="946">
        <f ca="1">ROUND((C19+C20)*F26,0)</f>
        <v>409</v>
      </c>
      <c r="D26" s="1897" t="s">
        <v>1273</v>
      </c>
      <c r="E26" s="1867" t="s">
        <v>1274</v>
      </c>
      <c r="F26" s="1864">
        <f ca="1">INDIRECT("'数据-取费表'!q"&amp;$G$1)</f>
        <v>0.1</v>
      </c>
      <c r="G26" s="714"/>
      <c r="H26" s="1847" t="s">
        <v>1275</v>
      </c>
      <c r="I26" s="1848" t="s">
        <v>1276</v>
      </c>
      <c r="J26" s="1927">
        <f ca="1">IF(J5&lt;&gt;0,ROUND(J25*(1-((1+M28)/(1+M26))^M27)/(M26-M28),0),0)</f>
        <v>0</v>
      </c>
      <c r="K26" s="1915" t="s">
        <v>1277</v>
      </c>
      <c r="L26" s="1856" t="s">
        <v>1278</v>
      </c>
      <c r="M26" s="1864">
        <f ca="1">INDIRECT("'数据-取费表'!I"&amp;$G$1)</f>
        <v>5.5E-2</v>
      </c>
    </row>
    <row r="27" spans="1:37" ht="18" customHeight="1">
      <c r="A27" s="1885" t="s">
        <v>974</v>
      </c>
      <c r="B27" s="1856" t="s">
        <v>1279</v>
      </c>
      <c r="C27" s="946">
        <f ca="1">ROUND(F21*F26,4)</f>
        <v>2E-3</v>
      </c>
      <c r="D27" s="1897" t="s">
        <v>1280</v>
      </c>
      <c r="E27" s="1890"/>
      <c r="F27" s="1891"/>
      <c r="G27" s="714"/>
      <c r="H27" s="1862"/>
      <c r="I27" s="1929"/>
      <c r="J27" s="1863"/>
      <c r="K27" s="1930" t="s">
        <v>1281</v>
      </c>
      <c r="L27" s="1856" t="s">
        <v>1282</v>
      </c>
      <c r="M27" s="1931">
        <f ca="1">INDIRECT("'数据-取费表'!ag"&amp;$G$1)</f>
        <v>0</v>
      </c>
    </row>
    <row r="28" spans="1:37" s="1824" customFormat="1" ht="18" customHeight="1">
      <c r="A28" s="1885" t="s">
        <v>1004</v>
      </c>
      <c r="B28" s="1856" t="s">
        <v>1283</v>
      </c>
      <c r="C28" s="946">
        <f>ROUND(F28/(1+'数据-取费表'!C42),4)</f>
        <v>5.2400000000000002E-2</v>
      </c>
      <c r="D28" s="1897" t="s">
        <v>1284</v>
      </c>
      <c r="E28" s="1856" t="s">
        <v>1230</v>
      </c>
      <c r="F28" s="1894">
        <f>'数据-取费表'!B41</f>
        <v>5.5E-2</v>
      </c>
      <c r="G28" s="1892"/>
      <c r="H28" s="1869"/>
      <c r="I28" s="1932"/>
      <c r="J28" s="1882"/>
      <c r="K28" s="1919"/>
      <c r="L28" s="1856" t="s">
        <v>1285</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1190</v>
      </c>
      <c r="B29" s="1878" t="s">
        <v>1286</v>
      </c>
      <c r="C29" s="1901">
        <f ca="1">ROUND((C19+C20+C23+C26)/(1-F21-C24-C27-C28),0)</f>
        <v>4931</v>
      </c>
      <c r="D29" s="1902"/>
      <c r="E29" s="1878"/>
      <c r="F29" s="1903"/>
      <c r="G29" s="1892"/>
      <c r="H29" s="1904" t="s">
        <v>1287</v>
      </c>
      <c r="I29" s="1933" t="s">
        <v>1288</v>
      </c>
      <c r="J29" s="1934">
        <f ca="1">ROUND(J26/(1+F40)^F41,0)</f>
        <v>0</v>
      </c>
      <c r="K29" s="1935" t="s">
        <v>1289</v>
      </c>
      <c r="L29" s="1936"/>
      <c r="M29" s="1937">
        <f ca="1">INDIRECT("'数据-取费表'!k"&amp;$G$1)</f>
        <v>12749.85</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1231</v>
      </c>
      <c r="B30" s="1881" t="s">
        <v>1232</v>
      </c>
      <c r="C30" s="1882">
        <f ca="1">ROUND(C31+C36+C37+C38,0)</f>
        <v>166</v>
      </c>
      <c r="D30" s="1905" t="s">
        <v>1233</v>
      </c>
      <c r="E30" s="1906"/>
      <c r="F30" s="1852"/>
      <c r="G30" s="714"/>
      <c r="H30" s="1907"/>
      <c r="I30" s="2013"/>
      <c r="J30" s="2014"/>
      <c r="K30" s="935"/>
      <c r="L30" s="2015"/>
      <c r="M30" s="2016"/>
    </row>
    <row r="31" spans="1:37" ht="18" customHeight="1">
      <c r="A31" s="1885" t="s">
        <v>947</v>
      </c>
      <c r="B31" s="1856" t="s">
        <v>1238</v>
      </c>
      <c r="C31" s="1908">
        <f ca="1">ROUND(IF(AND(项目基本情况!B11="自然人",项目基本情况!B10="北京市"),C6*F31/(1+'数据-取费表'!C42),C32+C33+C34),2)</f>
        <v>128.77000000000001</v>
      </c>
      <c r="D31" s="1887" t="s">
        <v>1239</v>
      </c>
      <c r="E31" s="1909" t="s">
        <v>1240</v>
      </c>
      <c r="F31" s="1910" t="str">
        <f>IF(项目基本情况!B11="企业","——",IF(M47="住宅",IF(F6*F7*F8/12/(1+'数据-取费表'!F30)&gt;100000,4%,2.5%),IF(F6*F7*F8/12/(1+'数据-取费表'!F30)&gt;100000,12%,7%)))</f>
        <v>——</v>
      </c>
      <c r="G31" s="714"/>
      <c r="H31" s="1911" t="s">
        <v>1290</v>
      </c>
      <c r="I31" s="2013"/>
      <c r="J31" s="2014"/>
      <c r="K31" s="935"/>
      <c r="L31" s="2015"/>
      <c r="M31" s="2016"/>
    </row>
    <row r="32" spans="1:37" ht="18" customHeight="1">
      <c r="A32" s="1885" t="s">
        <v>970</v>
      </c>
      <c r="B32" s="1856" t="s">
        <v>1242</v>
      </c>
      <c r="C32" s="946">
        <f ca="1">IF(项目基本情况!B11="自然人","——",ROUND(C6*F32/(1+'数据-取费表'!C42),2))</f>
        <v>37.299999999999997</v>
      </c>
      <c r="D32" s="1909" t="s">
        <v>1243</v>
      </c>
      <c r="E32" s="1856" t="s">
        <v>1230</v>
      </c>
      <c r="F32" s="1900">
        <f>'数据-取费表'!B41</f>
        <v>5.5E-2</v>
      </c>
      <c r="G32" s="714"/>
      <c r="H32" s="1907"/>
      <c r="I32" s="2013"/>
      <c r="J32" s="2014"/>
      <c r="K32" s="935"/>
      <c r="L32" s="2015"/>
      <c r="M32" s="2016"/>
    </row>
    <row r="33" spans="1:18" ht="18" customHeight="1">
      <c r="A33" s="1885" t="s">
        <v>974</v>
      </c>
      <c r="B33" s="1856" t="s">
        <v>1246</v>
      </c>
      <c r="C33" s="946">
        <f ca="1">IF(项目基本情况!B11="自然人","——",IF(D33="按租金收入计税",ROUND(C6*F33/(1+'数据-取费表'!C42),2),IF(D33="按房产原值计税",ROUND(C29*F33*0.7,2),INDIRECT("'数据-取费表'!Aj"&amp;$G$1))))</f>
        <v>81.37</v>
      </c>
      <c r="D33" s="1912" t="s">
        <v>1247</v>
      </c>
      <c r="E33" s="1856" t="s">
        <v>1230</v>
      </c>
      <c r="F33" s="1894">
        <f>IF(D33="按票据","——",IF(D33="按租金收入计税",'数据-取费表'!B51,'数据-取费表'!B50))</f>
        <v>0.12</v>
      </c>
      <c r="G33" s="714"/>
      <c r="H33" s="1913"/>
      <c r="I33" s="2013"/>
      <c r="J33" s="2014"/>
      <c r="K33" s="2017"/>
      <c r="L33" s="1913"/>
      <c r="M33" s="1913"/>
    </row>
    <row r="34" spans="1:18" ht="18" customHeight="1">
      <c r="A34" s="1853" t="s">
        <v>977</v>
      </c>
      <c r="B34" s="1855" t="s">
        <v>1250</v>
      </c>
      <c r="C34" s="1914">
        <f ca="1">IF(项目基本情况!B11="自然人","——",ROUND(F34*F35/10000,2))</f>
        <v>10.1</v>
      </c>
      <c r="D34" s="1915" t="s">
        <v>1251</v>
      </c>
      <c r="E34" s="1856" t="s">
        <v>1252</v>
      </c>
      <c r="F34" s="1899">
        <f>'数据-取费表'!B52</f>
        <v>1.5</v>
      </c>
      <c r="G34" s="714"/>
      <c r="H34" s="1907"/>
      <c r="I34" s="2013"/>
      <c r="J34" s="2014"/>
      <c r="K34" s="2018"/>
      <c r="L34" s="2019"/>
      <c r="M34" s="2019"/>
    </row>
    <row r="35" spans="1:18" ht="18" customHeight="1">
      <c r="A35" s="1916"/>
      <c r="B35" s="1917"/>
      <c r="C35" s="1918"/>
      <c r="D35" s="1919"/>
      <c r="E35" s="1856" t="s">
        <v>1256</v>
      </c>
      <c r="F35" s="1857">
        <f ca="1">INDIRECT("'数据-取费表'!r"&amp;$G$1)</f>
        <v>67351.83</v>
      </c>
      <c r="G35" s="714"/>
      <c r="H35" s="1907"/>
      <c r="I35" s="2013"/>
      <c r="J35" s="2014"/>
      <c r="K35" s="2017"/>
      <c r="L35" s="1913"/>
      <c r="M35" s="1913"/>
    </row>
    <row r="36" spans="1:18" ht="18" customHeight="1">
      <c r="A36" s="1920" t="s">
        <v>951</v>
      </c>
      <c r="B36" s="1856" t="s">
        <v>1258</v>
      </c>
      <c r="C36" s="946">
        <f ca="1">ROUND(C29*F36,2)</f>
        <v>24.66</v>
      </c>
      <c r="D36" s="1909" t="s">
        <v>1291</v>
      </c>
      <c r="E36" s="1856" t="s">
        <v>1230</v>
      </c>
      <c r="F36" s="1921">
        <f ca="1">INDIRECT("'数据-取费表'!Ak"&amp;$G$1)</f>
        <v>5.0000000000000001E-3</v>
      </c>
      <c r="G36" s="714"/>
      <c r="H36" s="1913"/>
      <c r="I36" s="2013"/>
      <c r="J36" s="2014"/>
      <c r="K36" s="2020"/>
      <c r="L36" s="1913"/>
      <c r="M36" s="1913"/>
    </row>
    <row r="37" spans="1:18" ht="18" customHeight="1">
      <c r="A37" s="1885" t="s">
        <v>996</v>
      </c>
      <c r="B37" s="1856" t="s">
        <v>1262</v>
      </c>
      <c r="C37" s="946">
        <f ca="1">ROUND(C13*F37,2)</f>
        <v>5.25</v>
      </c>
      <c r="D37" s="1909" t="s">
        <v>1263</v>
      </c>
      <c r="E37" s="1856" t="s">
        <v>1230</v>
      </c>
      <c r="F37" s="1922">
        <f ca="1">INDIRECT("'数据-取费表'!Al"&amp;$G$1)</f>
        <v>1.5E-3</v>
      </c>
      <c r="G37" s="714"/>
      <c r="H37" s="1913"/>
      <c r="I37" s="2013"/>
      <c r="J37" s="2014"/>
      <c r="K37" s="2020"/>
      <c r="L37" s="1913"/>
      <c r="M37" s="1913"/>
    </row>
    <row r="38" spans="1:18" ht="18" customHeight="1">
      <c r="A38" s="1893" t="s">
        <v>999</v>
      </c>
      <c r="B38" s="1878" t="s">
        <v>1248</v>
      </c>
      <c r="C38" s="1901">
        <f ca="1">ROUND(C5*F38,2)</f>
        <v>7.13</v>
      </c>
      <c r="D38" s="1902" t="s">
        <v>1266</v>
      </c>
      <c r="E38" s="1878" t="s">
        <v>1230</v>
      </c>
      <c r="F38" s="1879">
        <f ca="1">INDIRECT("'数据-取费表'!Am"&amp;$G$1)</f>
        <v>0.01</v>
      </c>
      <c r="G38" s="714"/>
      <c r="H38" s="1913"/>
      <c r="I38" s="2013"/>
      <c r="J38" s="2014"/>
      <c r="K38" s="2015"/>
      <c r="L38" s="1913"/>
      <c r="M38" s="1913"/>
    </row>
    <row r="39" spans="1:18" ht="24.6" customHeight="1">
      <c r="A39" s="1880" t="s">
        <v>1269</v>
      </c>
      <c r="B39" s="1923" t="s">
        <v>1270</v>
      </c>
      <c r="C39" s="1882">
        <f ca="1">C5-C30</f>
        <v>547</v>
      </c>
      <c r="D39" s="1924" t="s">
        <v>1271</v>
      </c>
      <c r="E39" s="1925"/>
      <c r="F39" s="1926"/>
      <c r="G39" s="714"/>
      <c r="H39" s="1913"/>
      <c r="I39" s="2013"/>
      <c r="J39" s="2014"/>
      <c r="K39" s="2015"/>
      <c r="L39" s="1913"/>
      <c r="M39" s="1913"/>
    </row>
    <row r="40" spans="1:18" ht="18" customHeight="1">
      <c r="A40" s="1847" t="s">
        <v>1275</v>
      </c>
      <c r="B40" s="1848" t="s">
        <v>1292</v>
      </c>
      <c r="C40" s="1927">
        <f ca="1">ROUND(C39*(1-((1+F42)/(1+F40))^F41)/(F40-F42),0)</f>
        <v>9329</v>
      </c>
      <c r="D40" s="1915" t="s">
        <v>1277</v>
      </c>
      <c r="E40" s="1856" t="s">
        <v>1278</v>
      </c>
      <c r="F40" s="1864">
        <f ca="1">INDIRECT("'数据-取费表'!I"&amp;$G$1)</f>
        <v>5.5E-2</v>
      </c>
      <c r="G40" s="714"/>
      <c r="H40" s="1928"/>
      <c r="I40" s="2013"/>
      <c r="J40" s="2014"/>
      <c r="K40" s="2015"/>
      <c r="L40" s="1928"/>
      <c r="M40" s="1928"/>
    </row>
    <row r="41" spans="1:18" ht="18" customHeight="1">
      <c r="A41" s="1862"/>
      <c r="B41" s="1929"/>
      <c r="C41" s="1863"/>
      <c r="D41" s="1930" t="s">
        <v>1281</v>
      </c>
      <c r="E41" s="1856" t="s">
        <v>1282</v>
      </c>
      <c r="F41" s="1931">
        <f ca="1">IF(INDIRECT("'数据-取费表'!af"&amp;$G$1)=0,INDIRECT("'数据-取费表'!ae"&amp;$G$1),INDIRECT("'数据-取费表'!af"&amp;$G$1))</f>
        <v>26.93</v>
      </c>
      <c r="G41" s="714"/>
      <c r="H41" s="935"/>
      <c r="I41" s="2013"/>
      <c r="J41" s="2014"/>
      <c r="K41" s="2020"/>
      <c r="L41" s="935"/>
      <c r="M41" s="935"/>
    </row>
    <row r="42" spans="1:18" ht="18" customHeight="1">
      <c r="A42" s="1869"/>
      <c r="B42" s="1932"/>
      <c r="C42" s="1882"/>
      <c r="D42" s="1919"/>
      <c r="E42" s="1856" t="s">
        <v>1285</v>
      </c>
      <c r="F42" s="1864">
        <f ca="1">INDIRECT("'数据-取费表'!v"&amp;$G$1)</f>
        <v>0.02</v>
      </c>
      <c r="G42" s="714"/>
      <c r="H42" s="935"/>
      <c r="I42" s="2013"/>
      <c r="J42" s="2014"/>
      <c r="K42" s="2020"/>
      <c r="L42" s="935"/>
      <c r="M42" s="935"/>
    </row>
    <row r="43" spans="1:18" ht="18" customHeight="1">
      <c r="A43" s="1904" t="s">
        <v>1287</v>
      </c>
      <c r="B43" s="1933" t="s">
        <v>1293</v>
      </c>
      <c r="C43" s="1934">
        <f ca="1">ROUND(C40*10000/F43,0)</f>
        <v>7317</v>
      </c>
      <c r="D43" s="1935" t="s">
        <v>1294</v>
      </c>
      <c r="E43" s="1936" t="s">
        <v>1295</v>
      </c>
      <c r="F43" s="1937">
        <f ca="1">INDIRECT("'数据-取费表'!k"&amp;$G$1)</f>
        <v>12749.85</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1296</v>
      </c>
      <c r="P45" s="1928"/>
      <c r="Q45" s="1928"/>
      <c r="R45" s="1928"/>
    </row>
    <row r="46" spans="1:18" s="714" customFormat="1">
      <c r="A46" s="1943" t="s">
        <v>1297</v>
      </c>
      <c r="C46" s="1944">
        <f ca="1">C68-C40</f>
        <v>-9884</v>
      </c>
      <c r="D46" s="1945" t="str">
        <f>C2</f>
        <v>万元</v>
      </c>
      <c r="E46" s="1938"/>
      <c r="F46" s="1938"/>
      <c r="I46" s="2023" t="s">
        <v>1298</v>
      </c>
      <c r="J46" s="2024"/>
      <c r="K46" s="2025"/>
      <c r="L46" s="2026">
        <f ca="1">IF(M47="住宅",0,IF(L48&gt;J51,L60,J60))</f>
        <v>281</v>
      </c>
      <c r="O46" s="2027" t="s">
        <v>618</v>
      </c>
      <c r="P46" s="2028" t="s">
        <v>1299</v>
      </c>
      <c r="Q46" s="2070" t="s">
        <v>1300</v>
      </c>
      <c r="R46" s="2070" t="s">
        <v>1301</v>
      </c>
    </row>
    <row r="47" spans="1:18" s="714" customFormat="1">
      <c r="A47" s="1946" t="s">
        <v>1202</v>
      </c>
      <c r="B47" s="1947" t="s">
        <v>1203</v>
      </c>
      <c r="C47" s="2098" t="s">
        <v>1204</v>
      </c>
      <c r="D47" s="1947" t="s">
        <v>1205</v>
      </c>
      <c r="E47" s="1948" t="s">
        <v>1206</v>
      </c>
      <c r="F47" s="939"/>
      <c r="G47" s="1949"/>
      <c r="I47" s="2029" t="s">
        <v>1302</v>
      </c>
      <c r="J47" s="2030" t="s">
        <v>652</v>
      </c>
      <c r="K47" s="2031" t="s">
        <v>1303</v>
      </c>
      <c r="L47" s="2032">
        <f ca="1">INDIRECT("'数据-取费表'!d"&amp;$G$1)</f>
        <v>50</v>
      </c>
      <c r="M47" s="2033" t="str">
        <f>IF(ISNUMBER(FIND("住宅",C1)),"住宅","非住宅")</f>
        <v>非住宅</v>
      </c>
      <c r="O47" s="2034" t="s">
        <v>1053</v>
      </c>
      <c r="P47" s="2035" t="s">
        <v>1304</v>
      </c>
      <c r="Q47" s="2071">
        <f ca="1">C40+J29</f>
        <v>9329</v>
      </c>
      <c r="R47" s="2071" t="s">
        <v>1305</v>
      </c>
    </row>
    <row r="48" spans="1:18" s="714" customFormat="1" ht="27.75">
      <c r="A48" s="1950" t="s">
        <v>1306</v>
      </c>
      <c r="B48" s="1848" t="s">
        <v>1207</v>
      </c>
      <c r="C48" s="947">
        <f ca="1">C49+C53+C55</f>
        <v>0</v>
      </c>
      <c r="D48" s="1951"/>
      <c r="E48" s="1952"/>
      <c r="F48" s="1953"/>
      <c r="G48" s="1949"/>
      <c r="H48" s="1954"/>
      <c r="I48" s="2036" t="s">
        <v>1307</v>
      </c>
      <c r="J48" s="2037" t="s">
        <v>1308</v>
      </c>
      <c r="K48" s="2038" t="s">
        <v>1309</v>
      </c>
      <c r="L48" s="2039">
        <f ca="1">INDIRECT("'数据-取费表'!f"&amp;$G$1)</f>
        <v>26.93</v>
      </c>
      <c r="O48" s="2034" t="s">
        <v>1057</v>
      </c>
      <c r="P48" s="2035" t="s">
        <v>1310</v>
      </c>
      <c r="Q48" s="2071">
        <f ca="1">J60</f>
        <v>281</v>
      </c>
      <c r="R48" s="2071" t="s">
        <v>1311</v>
      </c>
    </row>
    <row r="49" spans="1:18" s="714" customFormat="1">
      <c r="A49" s="1955" t="s">
        <v>1312</v>
      </c>
      <c r="B49" s="1956" t="s">
        <v>1313</v>
      </c>
      <c r="C49" s="1957">
        <f ca="1">ROUND(F49*F51*F50*(1-F52)/10000,0)</f>
        <v>0</v>
      </c>
      <c r="D49" s="1958" t="s">
        <v>1212</v>
      </c>
      <c r="E49" s="1959" t="s">
        <v>1314</v>
      </c>
      <c r="F49" s="1960"/>
      <c r="H49" s="1954"/>
      <c r="I49" s="2036" t="s">
        <v>1315</v>
      </c>
      <c r="J49" s="2040">
        <f>'数据-取费表'!N18</f>
        <v>2004</v>
      </c>
      <c r="K49" s="2038" t="s">
        <v>1316</v>
      </c>
      <c r="L49" s="2041"/>
      <c r="O49" s="2042" t="s">
        <v>1317</v>
      </c>
      <c r="P49" s="2035" t="s">
        <v>1318</v>
      </c>
      <c r="Q49" s="2071">
        <f ca="1">C29</f>
        <v>4931</v>
      </c>
      <c r="R49" s="2071" t="s">
        <v>1305</v>
      </c>
    </row>
    <row r="50" spans="1:18" s="714" customFormat="1">
      <c r="A50" s="1961"/>
      <c r="B50" s="911"/>
      <c r="C50" s="2099"/>
      <c r="D50" s="1963"/>
      <c r="E50" s="1964" t="s">
        <v>1213</v>
      </c>
      <c r="F50" s="1965">
        <f ca="1">F7</f>
        <v>12749.85</v>
      </c>
      <c r="H50" s="1954"/>
      <c r="I50" s="2036" t="s">
        <v>1319</v>
      </c>
      <c r="J50" s="2043">
        <f>SUMPRODUCT((I63:I65=J47)*(J62:L62=J48)*(J63:L65))</f>
        <v>70</v>
      </c>
      <c r="K50" s="2038" t="s">
        <v>1320</v>
      </c>
      <c r="L50" s="2041"/>
      <c r="M50" s="2044"/>
      <c r="O50" s="2042" t="s">
        <v>1321</v>
      </c>
      <c r="P50" s="2035" t="s">
        <v>1322</v>
      </c>
      <c r="Q50" s="2072">
        <f ca="1">J58</f>
        <v>0.4</v>
      </c>
      <c r="R50" s="2071"/>
    </row>
    <row r="51" spans="1:18" s="714" customFormat="1">
      <c r="A51" s="1966"/>
      <c r="B51" s="911"/>
      <c r="C51" s="1962"/>
      <c r="D51" s="1963"/>
      <c r="E51" s="1967" t="s">
        <v>1214</v>
      </c>
      <c r="F51" s="1857">
        <f ca="1">F8</f>
        <v>365</v>
      </c>
      <c r="I51" s="2045" t="s">
        <v>1323</v>
      </c>
      <c r="J51" s="2039">
        <f>IF(J49="",J50,J49+J50-YEAR('数据-取费表'!B2))</f>
        <v>49</v>
      </c>
      <c r="K51" s="2046" t="s">
        <v>1324</v>
      </c>
      <c r="L51" s="2047">
        <f ca="1">ROUND(-PV(INDIRECT("'数据-取费表'!h"&amp;$G$1),J51,(C39-C13*C76),0),0)</f>
        <v>5486</v>
      </c>
      <c r="M51" s="2048"/>
      <c r="O51" s="2042" t="s">
        <v>1325</v>
      </c>
      <c r="P51" s="2035" t="s">
        <v>1326</v>
      </c>
      <c r="Q51" s="2072">
        <f>J52</f>
        <v>7.4999999999999997E-2</v>
      </c>
      <c r="R51" s="2071"/>
    </row>
    <row r="52" spans="1:18" s="714" customFormat="1">
      <c r="A52" s="1966"/>
      <c r="B52" s="911"/>
      <c r="C52" s="1962"/>
      <c r="D52" s="1963"/>
      <c r="E52" s="1967" t="s">
        <v>1215</v>
      </c>
      <c r="F52" s="1968"/>
      <c r="I52" s="2049" t="s">
        <v>1327</v>
      </c>
      <c r="J52" s="2050">
        <f>'数据-取费表'!J6+0.005</f>
        <v>7.4999999999999997E-2</v>
      </c>
      <c r="K52" s="2049" t="s">
        <v>1328</v>
      </c>
      <c r="L52" s="2050"/>
      <c r="O52" s="2042" t="s">
        <v>1329</v>
      </c>
      <c r="P52" s="2035" t="s">
        <v>1330</v>
      </c>
      <c r="Q52" s="2071">
        <f ca="1">J53</f>
        <v>26.93</v>
      </c>
      <c r="R52" s="2071" t="s">
        <v>1331</v>
      </c>
    </row>
    <row r="53" spans="1:18" s="714" customFormat="1" ht="24">
      <c r="A53" s="2100" t="s">
        <v>1332</v>
      </c>
      <c r="B53" s="2101" t="s">
        <v>1216</v>
      </c>
      <c r="C53" s="945">
        <f ca="1">ROUND(IF(F53="押一",C49/12*F11,IF(F53="押二",C49/12*2*F11,IF(F53="押三",C49/12*3*F11,C54*F11))),0)</f>
        <v>0</v>
      </c>
      <c r="D53" s="1866" t="s">
        <v>1217</v>
      </c>
      <c r="E53" s="1867" t="s">
        <v>1218</v>
      </c>
      <c r="F53" s="1868"/>
      <c r="I53" s="2051" t="s">
        <v>1333</v>
      </c>
      <c r="J53" s="2052">
        <f ca="1">IF(M47="住宅",IF(D1="——",MAX(J51,L48),MAX(J51,L48-'数据-取费表'!B24)),IF(D1="——",MIN(J51,L48),MIN(J51,L48-'数据-取费表'!B24)))</f>
        <v>26.93</v>
      </c>
      <c r="K53" s="3353" t="s">
        <v>1334</v>
      </c>
      <c r="L53" s="3354"/>
      <c r="O53" s="2034" t="s">
        <v>1158</v>
      </c>
      <c r="P53" s="2035" t="s">
        <v>1335</v>
      </c>
      <c r="Q53" s="2071">
        <f ca="1">Q47+Q48</f>
        <v>9610</v>
      </c>
      <c r="R53" s="2071" t="s">
        <v>1336</v>
      </c>
    </row>
    <row r="54" spans="1:18" s="714" customFormat="1">
      <c r="A54" s="2102"/>
      <c r="B54" s="1870" t="s">
        <v>1220</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1337</v>
      </c>
      <c r="P54" s="1834"/>
      <c r="Q54" s="1834"/>
      <c r="R54" s="1834"/>
    </row>
    <row r="55" spans="1:18" s="714" customFormat="1">
      <c r="A55" s="1874" t="s">
        <v>996</v>
      </c>
      <c r="B55" s="1875" t="s">
        <v>1222</v>
      </c>
      <c r="C55" s="1876"/>
      <c r="D55" s="1866"/>
      <c r="E55" s="1971"/>
      <c r="F55" s="1972"/>
      <c r="I55" s="2055" t="s">
        <v>1338</v>
      </c>
      <c r="J55" s="2056">
        <f ca="1">ROUND(IF(J47="钢混",J57/J50,1-(1-2%)*(J50-J57)/J50),3)</f>
        <v>0.32900000000000001</v>
      </c>
      <c r="K55" s="2057" t="s">
        <v>1339</v>
      </c>
      <c r="L55" s="2058"/>
      <c r="O55" s="2027" t="s">
        <v>618</v>
      </c>
      <c r="P55" s="2028" t="s">
        <v>1299</v>
      </c>
      <c r="Q55" s="2070" t="s">
        <v>1300</v>
      </c>
      <c r="R55" s="2070" t="s">
        <v>1301</v>
      </c>
    </row>
    <row r="56" spans="1:18" s="714" customFormat="1" ht="24">
      <c r="A56" s="1973">
        <v>2</v>
      </c>
      <c r="B56" s="1974" t="s">
        <v>1223</v>
      </c>
      <c r="C56" s="378">
        <f ca="1">C13</f>
        <v>3501</v>
      </c>
      <c r="D56" s="1975"/>
      <c r="E56" s="1976"/>
      <c r="F56" s="1972"/>
      <c r="I56" s="2059" t="s">
        <v>1340</v>
      </c>
      <c r="J56" s="2060" t="s">
        <v>1341</v>
      </c>
      <c r="K56" s="2036" t="s">
        <v>1342</v>
      </c>
      <c r="L56" s="2039" t="str">
        <f ca="1">IF(L48&lt;J51,"——",L48-J53)</f>
        <v>——</v>
      </c>
      <c r="O56" s="2034" t="s">
        <v>1053</v>
      </c>
      <c r="P56" s="2035" t="s">
        <v>1304</v>
      </c>
      <c r="Q56" s="2071">
        <f ca="1">C40+J29</f>
        <v>9329</v>
      </c>
      <c r="R56" s="2071" t="s">
        <v>1305</v>
      </c>
    </row>
    <row r="57" spans="1:18" s="714" customFormat="1" ht="24">
      <c r="A57" s="1977"/>
      <c r="B57" s="1978" t="s">
        <v>1286</v>
      </c>
      <c r="C57" s="388">
        <f ca="1">C29</f>
        <v>4931</v>
      </c>
      <c r="D57" s="1979"/>
      <c r="E57" s="1980"/>
      <c r="F57" s="1981"/>
      <c r="I57" s="2061" t="s">
        <v>1343</v>
      </c>
      <c r="J57" s="2062">
        <f ca="1">IF(OR(M47="住宅",J51&lt;L48,J56="是"),"——",J51-L48)</f>
        <v>22.07</v>
      </c>
      <c r="K57" s="2036" t="s">
        <v>1344</v>
      </c>
      <c r="L57" s="2039" t="str">
        <f ca="1">IF(L48&lt;J51,"——",IF(L55="比较法",L49,IF(L55="基准地价",L50,L51)))</f>
        <v>——</v>
      </c>
      <c r="O57" s="2034" t="s">
        <v>1057</v>
      </c>
      <c r="P57" s="2035" t="s">
        <v>1345</v>
      </c>
      <c r="Q57" s="2071">
        <f ca="1">L60</f>
        <v>0</v>
      </c>
      <c r="R57" s="2071" t="s">
        <v>1346</v>
      </c>
    </row>
    <row r="58" spans="1:18" s="714" customFormat="1" ht="24">
      <c r="A58" s="1982" t="s">
        <v>1231</v>
      </c>
      <c r="B58" s="1974" t="s">
        <v>1232</v>
      </c>
      <c r="C58" s="945">
        <f ca="1">ROUND(C59+C64+C65+C66,0)</f>
        <v>40</v>
      </c>
      <c r="D58" s="1983" t="s">
        <v>1233</v>
      </c>
      <c r="E58" s="1984"/>
      <c r="F58" s="1953"/>
      <c r="I58" s="2061" t="s">
        <v>1347</v>
      </c>
      <c r="J58" s="2063">
        <f ca="1">IF(J55&lt;0.4,0.4,J55)</f>
        <v>0.4</v>
      </c>
      <c r="K58" s="2046" t="s">
        <v>1348</v>
      </c>
      <c r="L58" s="2039" t="e">
        <f ca="1">ROUND(POWER(1+L52,L47-L48)*(POWER(1+L52,L48)-1)/(POWER(1+L52,L47)-1),4)</f>
        <v>#DIV/0!</v>
      </c>
      <c r="O58" s="2042" t="s">
        <v>1317</v>
      </c>
      <c r="P58" s="2035" t="s">
        <v>1349</v>
      </c>
      <c r="Q58" s="2071">
        <f>IF(L55="比较法",L49,IF(L55="基准地价",L50,0))</f>
        <v>0</v>
      </c>
      <c r="R58" s="2071" t="s">
        <v>1305</v>
      </c>
    </row>
    <row r="59" spans="1:18" s="714" customFormat="1" ht="24">
      <c r="A59" s="1885" t="s">
        <v>947</v>
      </c>
      <c r="B59" s="1978" t="s">
        <v>1238</v>
      </c>
      <c r="C59" s="1908">
        <f ca="1">ROUND(IF(AND(项目基本情况!B11="自然人",项目基本情况!B10="北京市"),C49*F59/(1+'数据-取费表'!C42),C60+C61+C62),0)</f>
        <v>10</v>
      </c>
      <c r="D59" s="1985" t="s">
        <v>1239</v>
      </c>
      <c r="E59" s="1986" t="s">
        <v>1240</v>
      </c>
      <c r="F59" s="1910" t="str">
        <f>IF(项目基本情况!B11="企业","——",IF('数据-取费表'!B10="住宅",IF(F49*F50*F51/12/(1+'数据-取费表'!F30)&gt;100000,4%,2.5%),IF(F49*F50*F51/12/(1+'数据-取费表'!F30)&gt;100000,12%,7%)))</f>
        <v>——</v>
      </c>
      <c r="I59" s="2061" t="s">
        <v>1350</v>
      </c>
      <c r="J59" s="2062">
        <f ca="1">IF(OR(M47="住宅",J51&lt;L48,J56="是"),"——",ROUND(C29*J58,0))</f>
        <v>1972</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1321</v>
      </c>
      <c r="P59" s="2035" t="s">
        <v>1351</v>
      </c>
      <c r="Q59" s="2072">
        <f>L52</f>
        <v>0</v>
      </c>
      <c r="R59" s="2071"/>
    </row>
    <row r="60" spans="1:18" s="714" customFormat="1" ht="15.75">
      <c r="A60" s="1885" t="s">
        <v>970</v>
      </c>
      <c r="B60" s="1978" t="s">
        <v>1242</v>
      </c>
      <c r="C60" s="946">
        <f ca="1">IF(项目基本情况!B11="自然人","——",ROUND(C48*F60/(1+'数据-取费表'!C42),2))</f>
        <v>0</v>
      </c>
      <c r="D60" s="1986" t="s">
        <v>1243</v>
      </c>
      <c r="E60" s="1978" t="s">
        <v>1230</v>
      </c>
      <c r="F60" s="1900">
        <f t="shared" ref="F60:F66" si="0">F32</f>
        <v>5.5E-2</v>
      </c>
      <c r="I60" s="2064" t="s">
        <v>1352</v>
      </c>
      <c r="J60" s="2065">
        <f ca="1">IF(OR(M47="住宅",J51&lt;L48,J56="是"),"0",ROUND(J59/(1+J52)^J53,0))</f>
        <v>281</v>
      </c>
      <c r="K60" s="2066" t="s">
        <v>1353</v>
      </c>
      <c r="L60" s="2065">
        <f ca="1">IF(OR(M47="住宅",L48&lt;J51),0,ROUND(L57*(L58/L59-1),0))</f>
        <v>0</v>
      </c>
      <c r="O60" s="2042" t="s">
        <v>1325</v>
      </c>
      <c r="P60" s="2035" t="s">
        <v>1354</v>
      </c>
      <c r="Q60" s="2071" t="e">
        <f ca="1">L58</f>
        <v>#DIV/0!</v>
      </c>
      <c r="R60" s="2071" t="s">
        <v>1355</v>
      </c>
    </row>
    <row r="61" spans="1:18" s="714" customFormat="1">
      <c r="A61" s="1885" t="s">
        <v>974</v>
      </c>
      <c r="B61" s="1978" t="s">
        <v>1246</v>
      </c>
      <c r="C61" s="946">
        <f ca="1">IF(项目基本情况!B11="自然人","——",IF(D61="按租金收入计税",ROUND(C49*F61/(1+'数据-取费表'!C42),2),IF(D61="按房产原值计税",ROUND(C57*F61*0.7,2),INDIRECT("'数据-取费表'!Aj"&amp;$G$1))))</f>
        <v>0</v>
      </c>
      <c r="D61" s="1912" t="s">
        <v>1247</v>
      </c>
      <c r="E61" s="1978" t="s">
        <v>1230</v>
      </c>
      <c r="F61" s="1894">
        <f t="shared" si="0"/>
        <v>0.12</v>
      </c>
      <c r="I61" s="1928"/>
      <c r="J61" s="1928"/>
      <c r="K61" s="1928"/>
      <c r="L61" s="1928"/>
      <c r="O61" s="2042" t="s">
        <v>1329</v>
      </c>
      <c r="P61" s="2035" t="str">
        <f>K59</f>
        <v>建筑物剩余耐用年限下的土地年期修正系数Kn</v>
      </c>
      <c r="Q61" s="2071" t="e">
        <f ca="1">L59</f>
        <v>#DIV/0!</v>
      </c>
      <c r="R61" s="2071" t="s">
        <v>1356</v>
      </c>
    </row>
    <row r="62" spans="1:18" s="714" customFormat="1">
      <c r="A62" s="1885" t="s">
        <v>977</v>
      </c>
      <c r="B62" s="1987" t="s">
        <v>1250</v>
      </c>
      <c r="C62" s="1914">
        <f ca="1">IF(项目基本情况!B11="自然人","——",ROUND(F62*F63/10000,2))</f>
        <v>10.1</v>
      </c>
      <c r="D62" s="1988" t="s">
        <v>1251</v>
      </c>
      <c r="E62" s="1978" t="s">
        <v>1252</v>
      </c>
      <c r="F62" s="1899">
        <f t="shared" si="0"/>
        <v>1.5</v>
      </c>
      <c r="I62" s="2067" t="s">
        <v>1357</v>
      </c>
      <c r="J62" s="1137" t="s">
        <v>1358</v>
      </c>
      <c r="K62" s="1137" t="s">
        <v>1359</v>
      </c>
      <c r="L62" s="1137" t="s">
        <v>1360</v>
      </c>
      <c r="M62" s="2068" t="s">
        <v>1361</v>
      </c>
      <c r="O62" s="2034" t="s">
        <v>1158</v>
      </c>
      <c r="P62" s="2035" t="s">
        <v>1335</v>
      </c>
      <c r="Q62" s="2071">
        <f ca="1">Q56+Q57</f>
        <v>9329</v>
      </c>
      <c r="R62" s="2071" t="s">
        <v>1336</v>
      </c>
    </row>
    <row r="63" spans="1:18" s="714" customFormat="1">
      <c r="A63" s="1898"/>
      <c r="B63" s="1989"/>
      <c r="C63" s="1918"/>
      <c r="D63" s="1990"/>
      <c r="E63" s="1978" t="s">
        <v>1256</v>
      </c>
      <c r="F63" s="1857">
        <f t="shared" ca="1" si="0"/>
        <v>67351.83</v>
      </c>
      <c r="I63" s="2067" t="s">
        <v>1362</v>
      </c>
      <c r="J63" s="1137">
        <v>70</v>
      </c>
      <c r="K63" s="1137">
        <v>50</v>
      </c>
      <c r="L63" s="1137">
        <v>80</v>
      </c>
      <c r="M63" s="2069">
        <v>0.02</v>
      </c>
      <c r="O63" s="2022" t="s">
        <v>1363</v>
      </c>
      <c r="P63" s="1834"/>
      <c r="Q63" s="1834"/>
      <c r="R63" s="1834"/>
    </row>
    <row r="64" spans="1:18" s="714" customFormat="1">
      <c r="A64" s="1885" t="s">
        <v>951</v>
      </c>
      <c r="B64" s="1978" t="s">
        <v>1258</v>
      </c>
      <c r="C64" s="946">
        <f ca="1">ROUND(C57*F64,2)</f>
        <v>24.66</v>
      </c>
      <c r="D64" s="1986" t="s">
        <v>1291</v>
      </c>
      <c r="E64" s="1978" t="s">
        <v>1230</v>
      </c>
      <c r="F64" s="1921">
        <f t="shared" ca="1" si="0"/>
        <v>5.0000000000000001E-3</v>
      </c>
      <c r="I64" s="2067" t="s">
        <v>1364</v>
      </c>
      <c r="J64" s="1137">
        <v>50</v>
      </c>
      <c r="K64" s="1137">
        <v>35</v>
      </c>
      <c r="L64" s="1137">
        <v>60</v>
      </c>
      <c r="M64" s="2068">
        <v>0</v>
      </c>
      <c r="O64" s="2027" t="s">
        <v>618</v>
      </c>
      <c r="P64" s="2028" t="s">
        <v>1299</v>
      </c>
      <c r="Q64" s="2070" t="s">
        <v>1300</v>
      </c>
      <c r="R64" s="2070" t="s">
        <v>1301</v>
      </c>
    </row>
    <row r="65" spans="1:18" s="714" customFormat="1">
      <c r="A65" s="1885" t="s">
        <v>996</v>
      </c>
      <c r="B65" s="1978" t="s">
        <v>1262</v>
      </c>
      <c r="C65" s="946">
        <f ca="1">ROUND(C56*F65,2)</f>
        <v>5.25</v>
      </c>
      <c r="D65" s="1986" t="s">
        <v>1263</v>
      </c>
      <c r="E65" s="1978" t="s">
        <v>1230</v>
      </c>
      <c r="F65" s="1922">
        <f t="shared" ca="1" si="0"/>
        <v>1.5E-3</v>
      </c>
      <c r="I65" s="2067" t="s">
        <v>1365</v>
      </c>
      <c r="J65" s="1137">
        <v>40</v>
      </c>
      <c r="K65" s="1137">
        <v>30</v>
      </c>
      <c r="L65" s="1137">
        <v>50</v>
      </c>
      <c r="M65" s="2069">
        <v>0.02</v>
      </c>
      <c r="O65" s="2034" t="s">
        <v>1053</v>
      </c>
      <c r="P65" s="2035" t="s">
        <v>1304</v>
      </c>
      <c r="Q65" s="2071">
        <f ca="1">C40+J29</f>
        <v>9329</v>
      </c>
      <c r="R65" s="2071" t="s">
        <v>1305</v>
      </c>
    </row>
    <row r="66" spans="1:18" s="714" customFormat="1" ht="15.75">
      <c r="A66" s="1885" t="s">
        <v>999</v>
      </c>
      <c r="B66" s="1978" t="s">
        <v>1248</v>
      </c>
      <c r="C66" s="946">
        <f ca="1">ROUND(C48*F66,2)</f>
        <v>0</v>
      </c>
      <c r="D66" s="1986" t="s">
        <v>1266</v>
      </c>
      <c r="E66" s="1978" t="s">
        <v>1230</v>
      </c>
      <c r="F66" s="1864">
        <f t="shared" ca="1" si="0"/>
        <v>0.01</v>
      </c>
      <c r="O66" s="2034" t="s">
        <v>1057</v>
      </c>
      <c r="P66" s="2035" t="s">
        <v>1345</v>
      </c>
      <c r="Q66" s="2071">
        <f ca="1">L60</f>
        <v>0</v>
      </c>
      <c r="R66" s="2071" t="s">
        <v>1346</v>
      </c>
    </row>
    <row r="67" spans="1:18" s="714" customFormat="1" ht="15.75">
      <c r="A67" s="1973" t="s">
        <v>1269</v>
      </c>
      <c r="B67" s="2073" t="s">
        <v>1270</v>
      </c>
      <c r="C67" s="945">
        <f ca="1">C48-C58</f>
        <v>-40</v>
      </c>
      <c r="D67" s="1985" t="s">
        <v>1271</v>
      </c>
      <c r="E67" s="2074"/>
      <c r="F67" s="2075"/>
      <c r="O67" s="2042" t="s">
        <v>1317</v>
      </c>
      <c r="P67" s="2035" t="s">
        <v>1349</v>
      </c>
      <c r="Q67" s="2095">
        <f ca="1">L51</f>
        <v>5486</v>
      </c>
      <c r="R67" s="2071" t="s">
        <v>1366</v>
      </c>
    </row>
    <row r="68" spans="1:18" s="714" customFormat="1" ht="15.75">
      <c r="A68" s="2076" t="s">
        <v>1275</v>
      </c>
      <c r="B68" s="2077" t="s">
        <v>1292</v>
      </c>
      <c r="C68" s="1927">
        <f ca="1">ROUND(C67*(1-((1+F70)/(1+F68))^F69)/(F68-F70),0)</f>
        <v>-555</v>
      </c>
      <c r="D68" s="1988" t="s">
        <v>1277</v>
      </c>
      <c r="E68" s="1978" t="s">
        <v>1278</v>
      </c>
      <c r="F68" s="1864">
        <f ca="1">F40</f>
        <v>5.5E-2</v>
      </c>
      <c r="O68" s="2042" t="s">
        <v>1321</v>
      </c>
      <c r="P68" s="2094" t="s">
        <v>1367</v>
      </c>
      <c r="Q68" s="2071">
        <f ca="1">ROUND(Q69-Q70*Q71,0)</f>
        <v>302</v>
      </c>
      <c r="R68" s="2071" t="s">
        <v>1368</v>
      </c>
    </row>
    <row r="69" spans="1:18" s="714" customFormat="1">
      <c r="A69" s="2078"/>
      <c r="B69" s="2079"/>
      <c r="C69" s="1863"/>
      <c r="D69" s="2080" t="s">
        <v>1281</v>
      </c>
      <c r="E69" s="1978" t="s">
        <v>1282</v>
      </c>
      <c r="F69" s="1931">
        <f ca="1">F41</f>
        <v>26.93</v>
      </c>
      <c r="O69" s="2042" t="s">
        <v>1369</v>
      </c>
      <c r="P69" s="2094" t="s">
        <v>1370</v>
      </c>
      <c r="Q69" s="2071">
        <f ca="1">C39</f>
        <v>547</v>
      </c>
      <c r="R69" s="2071" t="s">
        <v>1305</v>
      </c>
    </row>
    <row r="70" spans="1:18" s="714" customFormat="1">
      <c r="A70" s="2081"/>
      <c r="B70" s="2082"/>
      <c r="C70" s="1882"/>
      <c r="D70" s="1990"/>
      <c r="E70" s="1978" t="s">
        <v>1285</v>
      </c>
      <c r="F70" s="1968"/>
      <c r="O70" s="2042" t="s">
        <v>1371</v>
      </c>
      <c r="P70" s="2094" t="s">
        <v>1372</v>
      </c>
      <c r="Q70" s="2071">
        <f ca="1">C13</f>
        <v>3501</v>
      </c>
      <c r="R70" s="2071" t="s">
        <v>1305</v>
      </c>
    </row>
    <row r="71" spans="1:18" s="714" customFormat="1">
      <c r="A71" s="2083" t="s">
        <v>1287</v>
      </c>
      <c r="B71" s="2084" t="s">
        <v>1293</v>
      </c>
      <c r="C71" s="1934">
        <f ca="1">ROUND(C68*10000/F71,0)</f>
        <v>-435</v>
      </c>
      <c r="D71" s="2085" t="s">
        <v>1294</v>
      </c>
      <c r="E71" s="2086" t="s">
        <v>1295</v>
      </c>
      <c r="F71" s="1937">
        <f ca="1">F43</f>
        <v>12749.85</v>
      </c>
      <c r="O71" s="2042" t="s">
        <v>1373</v>
      </c>
      <c r="P71" s="2094" t="s">
        <v>1374</v>
      </c>
      <c r="Q71" s="2072">
        <f ca="1">C76</f>
        <v>7.0000000000000007E-2</v>
      </c>
      <c r="R71" s="2071"/>
    </row>
    <row r="72" spans="1:18" s="714" customFormat="1">
      <c r="B72" s="976"/>
      <c r="C72" s="976"/>
      <c r="O72" s="2042" t="s">
        <v>1325</v>
      </c>
      <c r="P72" s="2035" t="s">
        <v>1351</v>
      </c>
      <c r="Q72" s="2072">
        <f>L52</f>
        <v>0</v>
      </c>
      <c r="R72" s="2071"/>
    </row>
    <row r="73" spans="1:18" ht="15.75">
      <c r="A73" s="714"/>
      <c r="B73" s="976"/>
      <c r="C73" s="976"/>
      <c r="D73" s="714"/>
      <c r="E73" s="714"/>
      <c r="F73" s="714"/>
      <c r="O73" s="2042" t="s">
        <v>1329</v>
      </c>
      <c r="P73" s="2035" t="s">
        <v>1354</v>
      </c>
      <c r="Q73" s="2071" t="e">
        <f ca="1">L58</f>
        <v>#DIV/0!</v>
      </c>
      <c r="R73" s="2071" t="s">
        <v>1355</v>
      </c>
    </row>
    <row r="74" spans="1:18">
      <c r="A74" s="714"/>
      <c r="B74" s="420" t="s">
        <v>1375</v>
      </c>
      <c r="C74" s="2087"/>
      <c r="D74" s="714"/>
      <c r="E74" s="714"/>
      <c r="F74" s="714"/>
      <c r="O74" s="2042" t="s">
        <v>1376</v>
      </c>
      <c r="P74" s="2035" t="str">
        <f>K59</f>
        <v>建筑物剩余耐用年限下的土地年期修正系数Kn</v>
      </c>
      <c r="Q74" s="2071" t="e">
        <f ca="1">L59</f>
        <v>#DIV/0!</v>
      </c>
      <c r="R74" s="2071" t="s">
        <v>1356</v>
      </c>
    </row>
    <row r="75" spans="1:18">
      <c r="A75" s="714"/>
      <c r="B75" s="2088" t="s">
        <v>1377</v>
      </c>
      <c r="C75" s="2089">
        <f ca="1">ROUND(C13*C76,0)</f>
        <v>245</v>
      </c>
      <c r="D75" s="714"/>
      <c r="E75" s="714"/>
      <c r="F75" s="714"/>
      <c r="K75" s="2021"/>
      <c r="L75" s="714"/>
      <c r="O75" s="2034" t="s">
        <v>1158</v>
      </c>
      <c r="P75" s="2035" t="s">
        <v>1335</v>
      </c>
      <c r="Q75" s="2071">
        <f ca="1">Q65+Q66</f>
        <v>9329</v>
      </c>
      <c r="R75" s="2071" t="s">
        <v>1336</v>
      </c>
    </row>
    <row r="76" spans="1:18">
      <c r="B76" s="506" t="s">
        <v>1378</v>
      </c>
      <c r="C76" s="2090">
        <f ca="1">INDIRECT("'数据-取费表'!j"&amp;$G$1)</f>
        <v>7.0000000000000007E-2</v>
      </c>
      <c r="I76" s="714"/>
      <c r="J76" s="714"/>
      <c r="K76" s="2021"/>
      <c r="L76" s="714"/>
    </row>
    <row r="77" spans="1:18">
      <c r="B77" s="2091" t="s">
        <v>1379</v>
      </c>
      <c r="C77" s="2092"/>
      <c r="I77" s="714"/>
      <c r="J77" s="714"/>
      <c r="K77" s="2021"/>
      <c r="L77" s="714"/>
    </row>
    <row r="78" spans="1:18">
      <c r="B78" s="418" t="s">
        <v>1380</v>
      </c>
      <c r="C78" s="2093"/>
    </row>
    <row r="79" spans="1:18">
      <c r="B79" s="2088" t="s">
        <v>1381</v>
      </c>
      <c r="C79" s="421">
        <f ca="1">1-C80</f>
        <v>0.55200000000000005</v>
      </c>
    </row>
    <row r="80" spans="1:18">
      <c r="B80" s="2088" t="s">
        <v>1382</v>
      </c>
      <c r="C80" s="421">
        <f ca="1">ROUND(C75/C39,3)</f>
        <v>0.44800000000000001</v>
      </c>
    </row>
    <row r="81" spans="2:3">
      <c r="B81" s="418" t="s">
        <v>1383</v>
      </c>
      <c r="C81" s="388"/>
    </row>
    <row r="82" spans="2:3">
      <c r="B82" s="420" t="s">
        <v>1134</v>
      </c>
      <c r="C82" s="422">
        <f ca="1">1-C83</f>
        <v>0.625</v>
      </c>
    </row>
    <row r="83" spans="2:3">
      <c r="B83" s="420" t="s">
        <v>1135</v>
      </c>
      <c r="C83" s="421">
        <f ca="1">ROUND(C13/C40,3)</f>
        <v>0.375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1195</v>
      </c>
      <c r="B1" s="1229"/>
      <c r="C1" s="1827"/>
      <c r="D1" s="1828" t="s">
        <v>124</v>
      </c>
      <c r="E1" s="1829" t="s">
        <v>1196</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1197</v>
      </c>
      <c r="B2" s="1833" t="e">
        <f ca="1">ROUND(D2/10000,4)</f>
        <v>#DIV/0!</v>
      </c>
      <c r="C2" s="1834" t="s">
        <v>1198</v>
      </c>
      <c r="D2" s="1835" t="e">
        <f ca="1">C40+J29+L46</f>
        <v>#DIV/0!</v>
      </c>
      <c r="E2" s="1836" t="s">
        <v>1384</v>
      </c>
      <c r="F2" s="1837"/>
      <c r="G2" s="1838"/>
      <c r="H2" s="1839"/>
      <c r="I2" s="1839"/>
      <c r="J2" s="1839"/>
      <c r="K2" s="1994"/>
      <c r="L2" s="1839"/>
      <c r="M2" s="1839"/>
    </row>
    <row r="3" spans="1:37" ht="18" customHeight="1">
      <c r="A3" s="1840" t="s">
        <v>1199</v>
      </c>
      <c r="B3" s="1841">
        <f ca="1">IF(ISERROR(D2/F43),0,ROUND(D2/F43,0))</f>
        <v>0</v>
      </c>
      <c r="C3" s="1834" t="s">
        <v>1200</v>
      </c>
      <c r="D3" s="1834"/>
      <c r="E3" s="1836"/>
      <c r="F3" s="1837"/>
      <c r="G3" s="1838"/>
      <c r="H3" s="1842" t="s">
        <v>1201</v>
      </c>
      <c r="I3" s="1995"/>
      <c r="J3" s="1995"/>
      <c r="K3" s="1996"/>
      <c r="L3" s="1995"/>
      <c r="M3" s="1995"/>
    </row>
    <row r="4" spans="1:37" ht="18" customHeight="1">
      <c r="A4" s="1843" t="s">
        <v>1202</v>
      </c>
      <c r="B4" s="1844" t="s">
        <v>1203</v>
      </c>
      <c r="C4" s="1844" t="s">
        <v>1204</v>
      </c>
      <c r="D4" s="1844" t="s">
        <v>1205</v>
      </c>
      <c r="E4" s="1845" t="s">
        <v>1206</v>
      </c>
      <c r="F4" s="1846"/>
      <c r="G4" s="714"/>
      <c r="H4" s="1843" t="s">
        <v>1202</v>
      </c>
      <c r="I4" s="1844" t="s">
        <v>1203</v>
      </c>
      <c r="J4" s="1844" t="s">
        <v>1204</v>
      </c>
      <c r="K4" s="1844" t="s">
        <v>1205</v>
      </c>
      <c r="L4" s="1845" t="s">
        <v>1206</v>
      </c>
      <c r="M4" s="1846"/>
    </row>
    <row r="5" spans="1:37" ht="18" customHeight="1">
      <c r="A5" s="1847">
        <v>1</v>
      </c>
      <c r="B5" s="1848" t="s">
        <v>1207</v>
      </c>
      <c r="C5" s="1849">
        <f ca="1">C6+C10+C12</f>
        <v>0</v>
      </c>
      <c r="D5" s="1850" t="s">
        <v>1208</v>
      </c>
      <c r="E5" s="1851"/>
      <c r="F5" s="1852"/>
      <c r="G5" s="714"/>
      <c r="H5" s="1847">
        <v>1</v>
      </c>
      <c r="I5" s="1848" t="s">
        <v>1207</v>
      </c>
      <c r="J5" s="1849">
        <f ca="1">J6+J10+J12</f>
        <v>0</v>
      </c>
      <c r="K5" s="1850" t="s">
        <v>1208</v>
      </c>
      <c r="L5" s="1851"/>
      <c r="M5" s="1852"/>
    </row>
    <row r="6" spans="1:37" ht="18" customHeight="1">
      <c r="A6" s="1853" t="s">
        <v>947</v>
      </c>
      <c r="B6" s="3355" t="s">
        <v>1209</v>
      </c>
      <c r="C6" s="1854">
        <f ca="1">ROUND(F6*F8*F7*(1-F9),0)</f>
        <v>0</v>
      </c>
      <c r="D6" s="1855" t="s">
        <v>1385</v>
      </c>
      <c r="E6" s="1856" t="s">
        <v>1211</v>
      </c>
      <c r="F6" s="1857">
        <f ca="1">INDIRECT("'数据-取费表'!u"&amp;$G$1)</f>
        <v>0</v>
      </c>
      <c r="G6" s="714"/>
      <c r="H6" s="1853" t="s">
        <v>947</v>
      </c>
      <c r="I6" s="3355" t="s">
        <v>1209</v>
      </c>
      <c r="J6" s="1927">
        <f ca="1">ROUND(M6*M8*M7*(1-M9),0)</f>
        <v>0</v>
      </c>
      <c r="K6" s="1997" t="s">
        <v>1386</v>
      </c>
      <c r="L6" s="1856" t="s">
        <v>1211</v>
      </c>
      <c r="M6" s="1857">
        <f ca="1">INDIRECT("'数据-取费表'!z"&amp;$G$1)</f>
        <v>0</v>
      </c>
    </row>
    <row r="7" spans="1:37" ht="18" customHeight="1">
      <c r="A7" s="1858"/>
      <c r="B7" s="3356"/>
      <c r="C7" s="1859"/>
      <c r="D7" s="1860"/>
      <c r="E7" s="1861" t="s">
        <v>1213</v>
      </c>
      <c r="F7" s="1857">
        <f ca="1">IF(INDIRECT("'数据-取费表'!ah"&amp;$G$1)="",INDIRECT("'数据-取费表'!k"&amp;$G$1),INDIRECT("'数据-取费表'!ah"&amp;$G$1))</f>
        <v>0</v>
      </c>
      <c r="G7" s="714"/>
      <c r="H7" s="1862"/>
      <c r="I7" s="3356"/>
      <c r="J7" s="1863"/>
      <c r="K7" s="1860"/>
      <c r="L7" s="1856" t="s">
        <v>1213</v>
      </c>
      <c r="M7" s="1857">
        <f ca="1">F7</f>
        <v>0</v>
      </c>
    </row>
    <row r="8" spans="1:37" ht="18" customHeight="1">
      <c r="A8" s="1862"/>
      <c r="B8" s="3356"/>
      <c r="C8" s="1863"/>
      <c r="D8" s="1860"/>
      <c r="E8" s="1856" t="s">
        <v>1214</v>
      </c>
      <c r="F8" s="1857">
        <f ca="1">INDIRECT("'数据-取费表'!ai"&amp;$G$1)</f>
        <v>0</v>
      </c>
      <c r="G8" s="714"/>
      <c r="H8" s="1862"/>
      <c r="I8" s="3356"/>
      <c r="J8" s="1863"/>
      <c r="K8" s="1860"/>
      <c r="L8" s="1856" t="s">
        <v>1214</v>
      </c>
      <c r="M8" s="1857">
        <f ca="1">INDIRECT("'数据-取费表'!ai"&amp;$G$1)</f>
        <v>0</v>
      </c>
    </row>
    <row r="9" spans="1:37" ht="18" customHeight="1">
      <c r="A9" s="1862"/>
      <c r="B9" s="3357"/>
      <c r="C9" s="1863"/>
      <c r="D9" s="1860"/>
      <c r="E9" s="1856" t="s">
        <v>1215</v>
      </c>
      <c r="F9" s="1864">
        <f ca="1">INDIRECT("'数据-取费表'!w"&amp;$G$1)</f>
        <v>0</v>
      </c>
      <c r="G9" s="714"/>
      <c r="H9" s="1862"/>
      <c r="I9" s="3357"/>
      <c r="J9" s="1863"/>
      <c r="K9" s="1860"/>
      <c r="L9" s="1867" t="s">
        <v>1215</v>
      </c>
      <c r="M9" s="1872">
        <f ca="1">INDIRECT("'数据-取费表'!ab"&amp;$G$1)</f>
        <v>0</v>
      </c>
    </row>
    <row r="10" spans="1:37" ht="18" customHeight="1">
      <c r="A10" s="1853" t="s">
        <v>951</v>
      </c>
      <c r="B10" s="1865" t="s">
        <v>1216</v>
      </c>
      <c r="C10" s="945">
        <f ca="1">ROUND(IF(F10="押一",C6/12*F11,IF(F10="押二",C6/12*2*F11,IF(F10="押三",C6/12*3*F11,C11*F11))),0)</f>
        <v>0</v>
      </c>
      <c r="D10" s="1866" t="s">
        <v>1217</v>
      </c>
      <c r="E10" s="1867" t="s">
        <v>1218</v>
      </c>
      <c r="F10" s="1868"/>
      <c r="G10" s="714"/>
      <c r="H10" s="1853" t="s">
        <v>951</v>
      </c>
      <c r="I10" s="1865" t="s">
        <v>1216</v>
      </c>
      <c r="J10" s="1927">
        <f ca="1">ROUND(IF(M10="押一",J6/12*M11,IF(M10="押二",J6/12*2*M11,IF(M10="押三",J6/12*3*M11,J11*M11))),0)</f>
        <v>0</v>
      </c>
      <c r="K10" s="1998" t="s">
        <v>1387</v>
      </c>
      <c r="L10" s="1867" t="s">
        <v>1218</v>
      </c>
      <c r="M10" s="1868"/>
    </row>
    <row r="11" spans="1:37" ht="18" customHeight="1">
      <c r="A11" s="1869"/>
      <c r="B11" s="1870" t="s">
        <v>1388</v>
      </c>
      <c r="C11" s="1871"/>
      <c r="D11" s="1860"/>
      <c r="E11" s="1867" t="s">
        <v>1221</v>
      </c>
      <c r="F11" s="1872">
        <f ca="1">'数据-取费表'!B39</f>
        <v>1.4999999999999999E-2</v>
      </c>
      <c r="G11" s="714"/>
      <c r="H11" s="1873"/>
      <c r="I11" s="1870" t="s">
        <v>1389</v>
      </c>
      <c r="J11" s="1871"/>
      <c r="K11" s="1999"/>
      <c r="L11" s="1867" t="s">
        <v>1221</v>
      </c>
      <c r="M11" s="2000">
        <f ca="1">'数据-取费表'!B39</f>
        <v>1.4999999999999999E-2</v>
      </c>
    </row>
    <row r="12" spans="1:37" ht="18" customHeight="1">
      <c r="A12" s="1874" t="s">
        <v>996</v>
      </c>
      <c r="B12" s="1875" t="s">
        <v>1222</v>
      </c>
      <c r="C12" s="1876"/>
      <c r="D12" s="1877"/>
      <c r="E12" s="1878"/>
      <c r="F12" s="1879"/>
      <c r="G12" s="714"/>
      <c r="H12" s="1874" t="s">
        <v>996</v>
      </c>
      <c r="I12" s="1875" t="s">
        <v>1222</v>
      </c>
      <c r="J12" s="1876"/>
      <c r="K12" s="2001"/>
      <c r="L12" s="1878"/>
      <c r="M12" s="2002"/>
    </row>
    <row r="13" spans="1:37" ht="18" customHeight="1">
      <c r="A13" s="1880">
        <v>2</v>
      </c>
      <c r="B13" s="1881" t="s">
        <v>1223</v>
      </c>
      <c r="C13" s="1882">
        <f ca="1">ROUND(C29*F13,0)</f>
        <v>0</v>
      </c>
      <c r="D13" s="1883" t="s">
        <v>1224</v>
      </c>
      <c r="E13" s="1883" t="s">
        <v>1225</v>
      </c>
      <c r="F13" s="1884">
        <f ca="1">INDIRECT("'数据-取费表'!y"&amp;$G$1)</f>
        <v>0</v>
      </c>
      <c r="G13" s="714"/>
      <c r="H13" s="1880">
        <v>2</v>
      </c>
      <c r="I13" s="1881" t="s">
        <v>1223</v>
      </c>
      <c r="J13" s="2003">
        <f ca="1">ROUND(J14*J15,0)</f>
        <v>0</v>
      </c>
      <c r="K13" s="1905" t="s">
        <v>1224</v>
      </c>
      <c r="L13" s="2004"/>
      <c r="M13" s="2005"/>
    </row>
    <row r="14" spans="1:37" ht="18" customHeight="1">
      <c r="A14" s="1885" t="s">
        <v>970</v>
      </c>
      <c r="B14" s="1856" t="s">
        <v>1226</v>
      </c>
      <c r="C14" s="1886">
        <f ca="1">ROUND(INDIRECT("'数据-取费表'!l"&amp;$G$1)*F43+'数据-取费表'!L14*INDIRECT("'数据-取费表'!S"&amp;$G$1),0)</f>
        <v>0</v>
      </c>
      <c r="D14" s="1887" t="s">
        <v>1227</v>
      </c>
      <c r="E14" s="1888"/>
      <c r="F14" s="1889"/>
      <c r="G14" s="714"/>
      <c r="H14" s="1885" t="s">
        <v>947</v>
      </c>
      <c r="I14" s="1856" t="s">
        <v>1228</v>
      </c>
      <c r="J14" s="946">
        <f ca="1">C29</f>
        <v>0</v>
      </c>
      <c r="K14" s="2006"/>
      <c r="L14" s="2007"/>
      <c r="M14" s="2008"/>
    </row>
    <row r="15" spans="1:37" s="1824" customFormat="1" ht="18" customHeight="1">
      <c r="A15" s="1885" t="s">
        <v>974</v>
      </c>
      <c r="B15" s="1856" t="s">
        <v>1156</v>
      </c>
      <c r="C15" s="946">
        <f ca="1">ROUND(C14*F15,0)</f>
        <v>0</v>
      </c>
      <c r="D15" s="1890" t="s">
        <v>1229</v>
      </c>
      <c r="E15" s="1890" t="s">
        <v>1230</v>
      </c>
      <c r="F15" s="1891">
        <f>'数据-取费表'!B33</f>
        <v>0.05</v>
      </c>
      <c r="G15" s="1892"/>
      <c r="H15" s="1893" t="s">
        <v>951</v>
      </c>
      <c r="I15" s="1878" t="s">
        <v>1225</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977</v>
      </c>
      <c r="B16" s="1856" t="s">
        <v>1159</v>
      </c>
      <c r="C16" s="946">
        <f ca="1">ROUND(INDIRECT("'数据-取费表'!l"&amp;$G$1)*F43*F16,0)</f>
        <v>0</v>
      </c>
      <c r="D16" s="1856" t="s">
        <v>1229</v>
      </c>
      <c r="E16" s="1856" t="s">
        <v>1230</v>
      </c>
      <c r="F16" s="1894">
        <f ca="1">IF(INDIRECT("'数据-取费表'!c"&amp;$G$1)="住宅",'数据-取费表'!B34,0)</f>
        <v>0</v>
      </c>
      <c r="G16" s="714"/>
      <c r="H16" s="1880" t="s">
        <v>1231</v>
      </c>
      <c r="I16" s="1881" t="s">
        <v>1232</v>
      </c>
      <c r="J16" s="1882">
        <f ca="1">ROUND(J17+J22+J23+J24,0)</f>
        <v>0</v>
      </c>
      <c r="K16" s="1905" t="s">
        <v>1233</v>
      </c>
      <c r="L16" s="1906"/>
      <c r="M16" s="1852"/>
    </row>
    <row r="17" spans="1:37" s="1824" customFormat="1" ht="18" customHeight="1">
      <c r="A17" s="1885" t="s">
        <v>1234</v>
      </c>
      <c r="B17" s="1856" t="s">
        <v>1235</v>
      </c>
      <c r="C17" s="946">
        <f ca="1">ROUND(F17*(F43+INDIRECT("'数据-取费表'!S"&amp;$G$1)),0)</f>
        <v>0</v>
      </c>
      <c r="D17" s="1856" t="s">
        <v>1236</v>
      </c>
      <c r="E17" s="1856" t="s">
        <v>1237</v>
      </c>
      <c r="F17" s="1895">
        <f>'数据-取费表'!B35</f>
        <v>150</v>
      </c>
      <c r="G17" s="1892"/>
      <c r="H17" s="1885" t="s">
        <v>947</v>
      </c>
      <c r="I17" s="1856" t="s">
        <v>1238</v>
      </c>
      <c r="J17" s="1908">
        <f ca="1">ROUND(IF(AND(项目基本情况!B11="自然人",项目基本情况!B10="北京市"),J6*M17/(1+'数据-取费表'!C42),J18+J19+J20),0)</f>
        <v>0</v>
      </c>
      <c r="K17" s="1887" t="s">
        <v>1239</v>
      </c>
      <c r="L17" s="1909" t="s">
        <v>1240</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1241</v>
      </c>
      <c r="B18" s="1856" t="s">
        <v>1165</v>
      </c>
      <c r="C18" s="946">
        <f ca="1">ROUND(C14*F18,0)</f>
        <v>0</v>
      </c>
      <c r="D18" s="1856" t="s">
        <v>1229</v>
      </c>
      <c r="E18" s="1856" t="s">
        <v>1230</v>
      </c>
      <c r="F18" s="1894">
        <f>'数据-取费表'!B36</f>
        <v>0.02</v>
      </c>
      <c r="G18" s="1892"/>
      <c r="H18" s="1885" t="s">
        <v>970</v>
      </c>
      <c r="I18" s="1856" t="s">
        <v>1242</v>
      </c>
      <c r="J18" s="946">
        <f ca="1">ROUND(J6*M18/(1+'数据-取费表'!C42),0)</f>
        <v>0</v>
      </c>
      <c r="K18" s="1909" t="s">
        <v>1243</v>
      </c>
      <c r="L18" s="1856" t="s">
        <v>1230</v>
      </c>
      <c r="M18" s="1894">
        <f>'数据-取费表'!B41</f>
        <v>5.5E-2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947</v>
      </c>
      <c r="B19" s="1856" t="s">
        <v>1244</v>
      </c>
      <c r="C19" s="946">
        <f ca="1">SUM(C14:C18)</f>
        <v>0</v>
      </c>
      <c r="D19" s="1896" t="s">
        <v>1245</v>
      </c>
      <c r="E19" s="948"/>
      <c r="F19" s="1895"/>
      <c r="G19" s="714"/>
      <c r="H19" s="1885" t="s">
        <v>974</v>
      </c>
      <c r="I19" s="1856" t="s">
        <v>1246</v>
      </c>
      <c r="J19" s="946">
        <f ca="1">IF(K19="按租金收入计税",ROUND(J6*M19/(1+'数据-取费表'!C42),0),ROUND(C29*M19*0.7,0))</f>
        <v>0</v>
      </c>
      <c r="K19" s="1912" t="s">
        <v>1247</v>
      </c>
      <c r="L19" s="1856" t="s">
        <v>1230</v>
      </c>
      <c r="M19" s="1894">
        <f>IF(K19="按租金收入计税",'数据-取费表'!B51,'数据-取费表'!B50)</f>
        <v>0.12</v>
      </c>
    </row>
    <row r="20" spans="1:37" s="1824" customFormat="1" ht="18" customHeight="1">
      <c r="A20" s="1885" t="s">
        <v>951</v>
      </c>
      <c r="B20" s="1856" t="s">
        <v>1248</v>
      </c>
      <c r="C20" s="946">
        <f ca="1">ROUND(C19*F20,0)</f>
        <v>0</v>
      </c>
      <c r="D20" s="1897" t="s">
        <v>1249</v>
      </c>
      <c r="E20" s="1856" t="s">
        <v>1230</v>
      </c>
      <c r="F20" s="1894">
        <f>'数据-取费表'!B37</f>
        <v>0.02</v>
      </c>
      <c r="G20" s="1892"/>
      <c r="H20" s="1885" t="s">
        <v>977</v>
      </c>
      <c r="I20" s="1855" t="s">
        <v>1250</v>
      </c>
      <c r="J20" s="1914">
        <f ca="1">ROUND(M20*M21,0)</f>
        <v>0</v>
      </c>
      <c r="K20" s="1915" t="s">
        <v>1251</v>
      </c>
      <c r="L20" s="1856" t="s">
        <v>1252</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996</v>
      </c>
      <c r="B21" s="1856" t="s">
        <v>1253</v>
      </c>
      <c r="C21" s="946" t="s">
        <v>124</v>
      </c>
      <c r="D21" s="1897" t="s">
        <v>1254</v>
      </c>
      <c r="E21" s="1856" t="s">
        <v>1255</v>
      </c>
      <c r="F21" s="1894">
        <f>'数据-取费表'!B38</f>
        <v>0.02</v>
      </c>
      <c r="G21" s="1892"/>
      <c r="H21" s="1898"/>
      <c r="I21" s="2012"/>
      <c r="J21" s="1918"/>
      <c r="K21" s="1919"/>
      <c r="L21" s="1856" t="s">
        <v>1256</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999</v>
      </c>
      <c r="B22" s="1856" t="s">
        <v>1257</v>
      </c>
      <c r="C22" s="946"/>
      <c r="D22" s="1896" t="str">
        <f>IF(F23&lt;=1,"单利计息。","复利计息。")&amp;"建造成本、管理费用、销售费用产生的利息。"</f>
        <v>单利计息。建造成本、管理费用、销售费用产生的利息。</v>
      </c>
      <c r="E22" s="948"/>
      <c r="F22" s="1895"/>
      <c r="G22" s="714"/>
      <c r="H22" s="1885" t="s">
        <v>951</v>
      </c>
      <c r="I22" s="1856" t="s">
        <v>1258</v>
      </c>
      <c r="J22" s="946">
        <f ca="1">ROUND(J14*M22,0)</f>
        <v>0</v>
      </c>
      <c r="K22" s="1909" t="s">
        <v>1259</v>
      </c>
      <c r="L22" s="1856" t="s">
        <v>1230</v>
      </c>
      <c r="M22" s="1921">
        <f ca="1">INDIRECT("'数据-取费表'!Ak"&amp;$G$1)</f>
        <v>0</v>
      </c>
    </row>
    <row r="23" spans="1:37" s="1824" customFormat="1" ht="18" customHeight="1">
      <c r="A23" s="1885" t="s">
        <v>970</v>
      </c>
      <c r="B23" s="1856" t="s">
        <v>1260</v>
      </c>
      <c r="C23" s="946">
        <f ca="1">IF('数据-取费表'!B22&lt;=1,ROUND(C19*F24*F23/2,0)+ROUND(C20*F24*F23/2,0),ROUND(C19*(POWER((1+F24),F23/2)-1),0)+ROUND(C20*(POWER((1+F24),F23/2)-1),0))</f>
        <v>0</v>
      </c>
      <c r="D23" s="895" t="str">
        <f>IF(F23&lt;=1,"(建造成本+管理费用)×利率×(建设周期÷2)","(建造成本+管理费用)×((1+利率)^(建设周期÷2)-1)")</f>
        <v>(建造成本+管理费用)×利率×(建设周期÷2)</v>
      </c>
      <c r="E23" s="1856" t="s">
        <v>1261</v>
      </c>
      <c r="F23" s="1899">
        <f>'数据-取费表'!B20</f>
        <v>1</v>
      </c>
      <c r="G23" s="1892"/>
      <c r="H23" s="1885" t="s">
        <v>996</v>
      </c>
      <c r="I23" s="1856" t="s">
        <v>1262</v>
      </c>
      <c r="J23" s="946">
        <f ca="1">ROUND(J13*M23,0)</f>
        <v>0</v>
      </c>
      <c r="K23" s="1909" t="s">
        <v>1263</v>
      </c>
      <c r="L23" s="1856" t="s">
        <v>1230</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974</v>
      </c>
      <c r="B24" s="1856" t="s">
        <v>1264</v>
      </c>
      <c r="C24" s="946">
        <f ca="1">ROUND(IF('数据-取费表'!B22&lt;=1,F21*F24*F23/2,F21*(POWER((1+F24),F23/2)-1)),4)</f>
        <v>2.9999999999999997E-4</v>
      </c>
      <c r="D24" s="895" t="str">
        <f>IF(F23&lt;=1,"销售费用×利率×(建设周期÷2)","销售费用×((1+利率)^(建设周期÷2)-1)")</f>
        <v>销售费用×利率×(建设周期÷2)</v>
      </c>
      <c r="E24" s="1856" t="s">
        <v>1265</v>
      </c>
      <c r="F24" s="1900">
        <f ca="1">'数据-取费表'!B40</f>
        <v>3.1E-2</v>
      </c>
      <c r="G24" s="1892"/>
      <c r="H24" s="1893" t="s">
        <v>999</v>
      </c>
      <c r="I24" s="1878" t="s">
        <v>1248</v>
      </c>
      <c r="J24" s="1901">
        <f ca="1">ROUND(J5*M24,0)</f>
        <v>0</v>
      </c>
      <c r="K24" s="1902" t="s">
        <v>1266</v>
      </c>
      <c r="L24" s="1878" t="s">
        <v>1230</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1003</v>
      </c>
      <c r="B25" s="1856" t="s">
        <v>1267</v>
      </c>
      <c r="C25" s="946"/>
      <c r="D25" s="1896" t="s">
        <v>1268</v>
      </c>
      <c r="E25" s="948"/>
      <c r="F25" s="1895"/>
      <c r="G25" s="714"/>
      <c r="H25" s="1880" t="s">
        <v>1269</v>
      </c>
      <c r="I25" s="1923" t="s">
        <v>1270</v>
      </c>
      <c r="J25" s="1882">
        <f ca="1">J5-J16</f>
        <v>0</v>
      </c>
      <c r="K25" s="1924" t="s">
        <v>1271</v>
      </c>
      <c r="L25" s="1925"/>
      <c r="M25" s="1926"/>
    </row>
    <row r="26" spans="1:37" ht="18" customHeight="1">
      <c r="A26" s="1885" t="s">
        <v>970</v>
      </c>
      <c r="B26" s="1856" t="s">
        <v>1272</v>
      </c>
      <c r="C26" s="946">
        <f ca="1">ROUND((C19+C20)*F26,0)</f>
        <v>0</v>
      </c>
      <c r="D26" s="1897" t="s">
        <v>1273</v>
      </c>
      <c r="E26" s="1867" t="s">
        <v>1274</v>
      </c>
      <c r="F26" s="1864">
        <f ca="1">INDIRECT("'数据-取费表'!q"&amp;$G$1)</f>
        <v>0</v>
      </c>
      <c r="G26" s="714"/>
      <c r="H26" s="1847" t="s">
        <v>1275</v>
      </c>
      <c r="I26" s="1848" t="s">
        <v>1276</v>
      </c>
      <c r="J26" s="1927">
        <f ca="1">IF(J5&lt;&gt;0,ROUND(J25*(1-((1+M28)/(1+M26))^M27)/(M26-M28),0),0)</f>
        <v>0</v>
      </c>
      <c r="K26" s="1915" t="s">
        <v>1277</v>
      </c>
      <c r="L26" s="1856" t="s">
        <v>1278</v>
      </c>
      <c r="M26" s="1864">
        <f ca="1">INDIRECT("'数据-取费表'!I"&amp;$G$1)</f>
        <v>0</v>
      </c>
    </row>
    <row r="27" spans="1:37" ht="18" customHeight="1">
      <c r="A27" s="1885" t="s">
        <v>974</v>
      </c>
      <c r="B27" s="1856" t="s">
        <v>1279</v>
      </c>
      <c r="C27" s="946">
        <f ca="1">ROUND(F21*F26,4)</f>
        <v>0</v>
      </c>
      <c r="D27" s="1897" t="s">
        <v>1280</v>
      </c>
      <c r="E27" s="1890"/>
      <c r="F27" s="1891"/>
      <c r="G27" s="714"/>
      <c r="H27" s="1862"/>
      <c r="I27" s="1929"/>
      <c r="J27" s="1863"/>
      <c r="K27" s="1930" t="s">
        <v>1281</v>
      </c>
      <c r="L27" s="1856" t="s">
        <v>1282</v>
      </c>
      <c r="M27" s="1931">
        <f ca="1">INDIRECT("'数据-取费表'!ag"&amp;$G$1)</f>
        <v>0</v>
      </c>
    </row>
    <row r="28" spans="1:37" s="1824" customFormat="1" ht="18" customHeight="1">
      <c r="A28" s="1885" t="s">
        <v>1004</v>
      </c>
      <c r="B28" s="1856" t="s">
        <v>1283</v>
      </c>
      <c r="C28" s="946">
        <f>ROUND(F28/(1+'数据-取费表'!C42),4)</f>
        <v>5.2400000000000002E-2</v>
      </c>
      <c r="D28" s="1897" t="s">
        <v>1284</v>
      </c>
      <c r="E28" s="1856" t="s">
        <v>1230</v>
      </c>
      <c r="F28" s="1894">
        <f>'数据-取费表'!B41</f>
        <v>5.5E-2</v>
      </c>
      <c r="G28" s="1892"/>
      <c r="H28" s="1869"/>
      <c r="I28" s="1932"/>
      <c r="J28" s="1882"/>
      <c r="K28" s="1919"/>
      <c r="L28" s="1856" t="s">
        <v>1285</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1190</v>
      </c>
      <c r="B29" s="1878" t="s">
        <v>1286</v>
      </c>
      <c r="C29" s="1901">
        <f ca="1">ROUND((C19+C20+C23+C26)/(1-F21-C24-C27-C28),0)</f>
        <v>0</v>
      </c>
      <c r="D29" s="1902"/>
      <c r="E29" s="1878"/>
      <c r="F29" s="1903"/>
      <c r="G29" s="1892"/>
      <c r="H29" s="1904" t="s">
        <v>1287</v>
      </c>
      <c r="I29" s="1933" t="s">
        <v>1288</v>
      </c>
      <c r="J29" s="1934">
        <f ca="1">ROUND(J26/(1+F40)^F41,0)</f>
        <v>0</v>
      </c>
      <c r="K29" s="1935" t="s">
        <v>1289</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1231</v>
      </c>
      <c r="B30" s="1881" t="s">
        <v>1232</v>
      </c>
      <c r="C30" s="1882">
        <f ca="1">ROUND(C31+C36+C37+C38,0)</f>
        <v>0</v>
      </c>
      <c r="D30" s="1905" t="s">
        <v>1233</v>
      </c>
      <c r="E30" s="1906"/>
      <c r="F30" s="1852"/>
      <c r="G30" s="714"/>
      <c r="H30" s="1907"/>
      <c r="I30" s="2013"/>
      <c r="J30" s="2014"/>
      <c r="K30" s="935"/>
      <c r="L30" s="2015"/>
      <c r="M30" s="2016"/>
    </row>
    <row r="31" spans="1:37" ht="18" customHeight="1">
      <c r="A31" s="1885" t="s">
        <v>947</v>
      </c>
      <c r="B31" s="1856" t="s">
        <v>1238</v>
      </c>
      <c r="C31" s="1908">
        <f ca="1">ROUND(IF(AND(项目基本情况!B11="自然人",项目基本情况!B10="北京市"),C6*F31/(1+'数据-取费表'!C42),C32+C33+C34),0)</f>
        <v>0</v>
      </c>
      <c r="D31" s="1887" t="s">
        <v>1239</v>
      </c>
      <c r="E31" s="1909" t="s">
        <v>1240</v>
      </c>
      <c r="F31" s="1910" t="str">
        <f>IF(项目基本情况!B11="企业","——",IF(M47="住宅",IF(F6*F7*F8/12/(1+'数据-取费表'!F30)&gt;100000,4%,2.5%),IF(F6*F7*F8/12/(1+'数据-取费表'!F30)&gt;100000,12%,7%)))</f>
        <v>——</v>
      </c>
      <c r="G31" s="714"/>
      <c r="H31" s="1911" t="s">
        <v>1290</v>
      </c>
      <c r="I31" s="2013"/>
      <c r="J31" s="2014"/>
      <c r="K31" s="935"/>
      <c r="L31" s="2015"/>
      <c r="M31" s="2016"/>
    </row>
    <row r="32" spans="1:37" ht="18" customHeight="1">
      <c r="A32" s="1885" t="s">
        <v>970</v>
      </c>
      <c r="B32" s="1856" t="s">
        <v>1242</v>
      </c>
      <c r="C32" s="946">
        <f ca="1">IF(项目基本情况!B11="自然人","——",ROUND(C6*F32/(1+'数据-取费表'!C42),0))</f>
        <v>0</v>
      </c>
      <c r="D32" s="1909" t="s">
        <v>1243</v>
      </c>
      <c r="E32" s="1856" t="s">
        <v>1230</v>
      </c>
      <c r="F32" s="1900">
        <f>'数据-取费表'!B41</f>
        <v>5.5E-2</v>
      </c>
      <c r="G32" s="714"/>
      <c r="H32" s="1907"/>
      <c r="I32" s="2013"/>
      <c r="J32" s="2014"/>
      <c r="K32" s="935"/>
      <c r="L32" s="2015"/>
      <c r="M32" s="2016"/>
    </row>
    <row r="33" spans="1:18" ht="18" customHeight="1">
      <c r="A33" s="1885" t="s">
        <v>974</v>
      </c>
      <c r="B33" s="1856" t="s">
        <v>1246</v>
      </c>
      <c r="C33" s="946">
        <f ca="1">IF(项目基本情况!B11="自然人","——",IF(D33="按租金收入计税",ROUND(C6*F33/(1+'数据-取费表'!C42),0),IF(D33="按房产原值计税",ROUND(C29*F33*0.7,0),INDIRECT("'数据-取费表'!Aj"&amp;$G$1))))</f>
        <v>0</v>
      </c>
      <c r="D33" s="1912" t="s">
        <v>1247</v>
      </c>
      <c r="E33" s="1856" t="s">
        <v>1230</v>
      </c>
      <c r="F33" s="1894">
        <f>IF(D33="按票据","——",IF(D33="按租金收入计税",'数据-取费表'!B51,'数据-取费表'!B50))</f>
        <v>0.12</v>
      </c>
      <c r="G33" s="714"/>
      <c r="H33" s="1913"/>
      <c r="I33" s="2013"/>
      <c r="J33" s="2014"/>
      <c r="K33" s="2017"/>
      <c r="L33" s="1913"/>
      <c r="M33" s="1913"/>
    </row>
    <row r="34" spans="1:18" ht="18" customHeight="1">
      <c r="A34" s="1853" t="s">
        <v>977</v>
      </c>
      <c r="B34" s="1855" t="s">
        <v>1250</v>
      </c>
      <c r="C34" s="1914">
        <f ca="1">IF(项目基本情况!B11="自然人","——",ROUND(F34*F35,0))</f>
        <v>0</v>
      </c>
      <c r="D34" s="1915" t="s">
        <v>1251</v>
      </c>
      <c r="E34" s="1856" t="s">
        <v>1252</v>
      </c>
      <c r="F34" s="1899">
        <f>'数据-取费表'!B52</f>
        <v>1.5</v>
      </c>
      <c r="G34" s="714"/>
      <c r="H34" s="1907"/>
      <c r="I34" s="2013"/>
      <c r="J34" s="2014"/>
      <c r="K34" s="2018"/>
      <c r="L34" s="2019"/>
      <c r="M34" s="2019"/>
    </row>
    <row r="35" spans="1:18" ht="18" customHeight="1">
      <c r="A35" s="1916"/>
      <c r="B35" s="1917"/>
      <c r="C35" s="1918"/>
      <c r="D35" s="1919"/>
      <c r="E35" s="1856" t="s">
        <v>1256</v>
      </c>
      <c r="F35" s="1857">
        <f ca="1">INDIRECT("'数据-取费表'!r"&amp;$G$1)</f>
        <v>0</v>
      </c>
      <c r="G35" s="714"/>
      <c r="H35" s="1907"/>
      <c r="I35" s="2013"/>
      <c r="J35" s="2014"/>
      <c r="K35" s="2017"/>
      <c r="L35" s="1913"/>
      <c r="M35" s="1913"/>
    </row>
    <row r="36" spans="1:18" ht="18" customHeight="1">
      <c r="A36" s="1920" t="s">
        <v>951</v>
      </c>
      <c r="B36" s="1856" t="s">
        <v>1258</v>
      </c>
      <c r="C36" s="946">
        <f ca="1">ROUND(C29*F36,0)</f>
        <v>0</v>
      </c>
      <c r="D36" s="1909" t="s">
        <v>1291</v>
      </c>
      <c r="E36" s="1856" t="s">
        <v>1230</v>
      </c>
      <c r="F36" s="1921">
        <f ca="1">INDIRECT("'数据-取费表'!Ak"&amp;$G$1)</f>
        <v>0</v>
      </c>
      <c r="G36" s="714"/>
      <c r="H36" s="1913"/>
      <c r="I36" s="2013"/>
      <c r="J36" s="2014"/>
      <c r="K36" s="2020"/>
      <c r="L36" s="1913"/>
      <c r="M36" s="1913"/>
    </row>
    <row r="37" spans="1:18" ht="18" customHeight="1">
      <c r="A37" s="1885" t="s">
        <v>996</v>
      </c>
      <c r="B37" s="1856" t="s">
        <v>1262</v>
      </c>
      <c r="C37" s="946">
        <f ca="1">ROUND(C13*F37,0)</f>
        <v>0</v>
      </c>
      <c r="D37" s="1909" t="s">
        <v>1263</v>
      </c>
      <c r="E37" s="1856" t="s">
        <v>1230</v>
      </c>
      <c r="F37" s="1922">
        <f ca="1">INDIRECT("'数据-取费表'!Al"&amp;$G$1)</f>
        <v>0</v>
      </c>
      <c r="G37" s="714"/>
      <c r="H37" s="1913"/>
      <c r="I37" s="2013"/>
      <c r="J37" s="2014"/>
      <c r="K37" s="2020"/>
      <c r="L37" s="1913"/>
      <c r="M37" s="1913"/>
    </row>
    <row r="38" spans="1:18" ht="18" customHeight="1">
      <c r="A38" s="1893" t="s">
        <v>999</v>
      </c>
      <c r="B38" s="1878" t="s">
        <v>1248</v>
      </c>
      <c r="C38" s="1901">
        <f ca="1">ROUND(C5*F38,0)</f>
        <v>0</v>
      </c>
      <c r="D38" s="1902" t="s">
        <v>1266</v>
      </c>
      <c r="E38" s="1878" t="s">
        <v>1230</v>
      </c>
      <c r="F38" s="1879">
        <f ca="1">INDIRECT("'数据-取费表'!Am"&amp;$G$1)</f>
        <v>0</v>
      </c>
      <c r="G38" s="714"/>
      <c r="H38" s="1913"/>
      <c r="I38" s="2013"/>
      <c r="J38" s="2014"/>
      <c r="K38" s="2015"/>
      <c r="L38" s="1913"/>
      <c r="M38" s="1913"/>
    </row>
    <row r="39" spans="1:18" ht="24.6" customHeight="1">
      <c r="A39" s="1880" t="s">
        <v>1269</v>
      </c>
      <c r="B39" s="1923" t="s">
        <v>1270</v>
      </c>
      <c r="C39" s="1882">
        <f ca="1">C5-C30</f>
        <v>0</v>
      </c>
      <c r="D39" s="1924" t="s">
        <v>1271</v>
      </c>
      <c r="E39" s="1925"/>
      <c r="F39" s="1926"/>
      <c r="G39" s="714"/>
      <c r="H39" s="1913"/>
      <c r="I39" s="2013"/>
      <c r="J39" s="2014"/>
      <c r="K39" s="2015"/>
      <c r="L39" s="1913"/>
      <c r="M39" s="1913"/>
    </row>
    <row r="40" spans="1:18" ht="18" customHeight="1">
      <c r="A40" s="1847" t="s">
        <v>1275</v>
      </c>
      <c r="B40" s="1848" t="s">
        <v>1292</v>
      </c>
      <c r="C40" s="1927" t="e">
        <f ca="1">ROUND(C39*(1-((1+F42)/(1+F40))^F41)/(F40-F42),0)</f>
        <v>#DIV/0!</v>
      </c>
      <c r="D40" s="1915" t="s">
        <v>1277</v>
      </c>
      <c r="E40" s="1856" t="s">
        <v>1278</v>
      </c>
      <c r="F40" s="1864">
        <f ca="1">INDIRECT("'数据-取费表'!I"&amp;$G$1)</f>
        <v>0</v>
      </c>
      <c r="G40" s="714"/>
      <c r="H40" s="1928"/>
      <c r="I40" s="2013"/>
      <c r="J40" s="2014"/>
      <c r="K40" s="2015"/>
      <c r="L40" s="1928"/>
      <c r="M40" s="1928"/>
    </row>
    <row r="41" spans="1:18" ht="18" customHeight="1">
      <c r="A41" s="1862"/>
      <c r="B41" s="1929"/>
      <c r="C41" s="1863"/>
      <c r="D41" s="1930" t="s">
        <v>1281</v>
      </c>
      <c r="E41" s="1856" t="s">
        <v>1282</v>
      </c>
      <c r="F41" s="1931">
        <f ca="1">IF(INDIRECT("'数据-取费表'!af"&amp;$G$1)=0,INDIRECT("'数据-取费表'!ae"&amp;$G$1),INDIRECT("'数据-取费表'!af"&amp;$G$1))</f>
        <v>0</v>
      </c>
      <c r="G41" s="714"/>
      <c r="H41" s="935"/>
      <c r="I41" s="2013"/>
      <c r="J41" s="2014"/>
      <c r="K41" s="2020"/>
      <c r="L41" s="935"/>
      <c r="M41" s="935"/>
    </row>
    <row r="42" spans="1:18" ht="18" customHeight="1">
      <c r="A42" s="1869"/>
      <c r="B42" s="1932"/>
      <c r="C42" s="1882"/>
      <c r="D42" s="1919"/>
      <c r="E42" s="1856" t="s">
        <v>1285</v>
      </c>
      <c r="F42" s="1864">
        <f ca="1">INDIRECT("'数据-取费表'!v"&amp;$G$1)</f>
        <v>0</v>
      </c>
      <c r="G42" s="714"/>
      <c r="H42" s="935"/>
      <c r="I42" s="2013"/>
      <c r="J42" s="2014"/>
      <c r="K42" s="2020"/>
      <c r="L42" s="935"/>
      <c r="M42" s="935"/>
    </row>
    <row r="43" spans="1:18" ht="18" customHeight="1">
      <c r="A43" s="1904" t="s">
        <v>1287</v>
      </c>
      <c r="B43" s="1933" t="s">
        <v>1293</v>
      </c>
      <c r="C43" s="1934" t="e">
        <f ca="1">ROUND(C40/F43,0)</f>
        <v>#DIV/0!</v>
      </c>
      <c r="D43" s="1935" t="s">
        <v>1294</v>
      </c>
      <c r="E43" s="1936" t="s">
        <v>1295</v>
      </c>
      <c r="F43" s="1937">
        <f ca="1">INDIRECT("'数据-取费表'!k"&amp;$G$1)</f>
        <v>0</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1390</v>
      </c>
      <c r="B45" s="1938"/>
      <c r="C45" s="1941" t="e">
        <f ca="1">ROUND((C68-C40)/10000,4)</f>
        <v>#DIV/0!</v>
      </c>
      <c r="D45" s="1942" t="s">
        <v>1391</v>
      </c>
      <c r="E45" s="1938"/>
      <c r="F45" s="1938"/>
      <c r="O45" s="2022" t="s">
        <v>1296</v>
      </c>
      <c r="P45" s="1928"/>
      <c r="Q45" s="1928"/>
      <c r="R45" s="1928"/>
    </row>
    <row r="46" spans="1:18" s="714" customFormat="1">
      <c r="A46" s="1943" t="s">
        <v>1297</v>
      </c>
      <c r="C46" s="1944" t="e">
        <f ca="1">ROUND(C45,0)</f>
        <v>#DIV/0!</v>
      </c>
      <c r="D46" s="1945" t="str">
        <f>C2</f>
        <v>万元</v>
      </c>
      <c r="I46" s="2023" t="s">
        <v>1298</v>
      </c>
      <c r="J46" s="2024"/>
      <c r="K46" s="2025"/>
      <c r="L46" s="2026" t="e">
        <f ca="1">IF(M47="住宅",0,IF(L48&gt;J51,L60,J60))</f>
        <v>#DIV/0!</v>
      </c>
      <c r="O46" s="2027" t="s">
        <v>618</v>
      </c>
      <c r="P46" s="2028" t="s">
        <v>1299</v>
      </c>
      <c r="Q46" s="2070" t="s">
        <v>1300</v>
      </c>
      <c r="R46" s="2070" t="s">
        <v>1301</v>
      </c>
    </row>
    <row r="47" spans="1:18" s="714" customFormat="1">
      <c r="A47" s="1946" t="s">
        <v>1202</v>
      </c>
      <c r="B47" s="1947" t="s">
        <v>1203</v>
      </c>
      <c r="C47" s="1947" t="s">
        <v>1204</v>
      </c>
      <c r="D47" s="1947" t="s">
        <v>1205</v>
      </c>
      <c r="E47" s="1948" t="s">
        <v>1206</v>
      </c>
      <c r="F47" s="939"/>
      <c r="G47" s="1949"/>
      <c r="I47" s="2029" t="s">
        <v>1302</v>
      </c>
      <c r="J47" s="2030"/>
      <c r="K47" s="2031" t="s">
        <v>1303</v>
      </c>
      <c r="L47" s="2032">
        <f ca="1">INDIRECT("'数据-取费表'!d"&amp;$G$1)</f>
        <v>0</v>
      </c>
      <c r="M47" s="2033" t="str">
        <f>IF(ISNUMBER(FIND("住宅",C1)),"住宅","非住宅")</f>
        <v>非住宅</v>
      </c>
      <c r="O47" s="2034" t="s">
        <v>1053</v>
      </c>
      <c r="P47" s="2035" t="s">
        <v>1304</v>
      </c>
      <c r="Q47" s="2071" t="e">
        <f ca="1">C40+J29</f>
        <v>#DIV/0!</v>
      </c>
      <c r="R47" s="2071" t="s">
        <v>1305</v>
      </c>
    </row>
    <row r="48" spans="1:18" s="714" customFormat="1" ht="27.75">
      <c r="A48" s="1950" t="s">
        <v>1306</v>
      </c>
      <c r="B48" s="1848" t="s">
        <v>1207</v>
      </c>
      <c r="C48" s="947">
        <f ca="1">C49+C53+C55</f>
        <v>0</v>
      </c>
      <c r="D48" s="1951"/>
      <c r="E48" s="1952"/>
      <c r="F48" s="1953"/>
      <c r="G48" s="1949"/>
      <c r="H48" s="1954"/>
      <c r="I48" s="2036" t="s">
        <v>1307</v>
      </c>
      <c r="J48" s="2037"/>
      <c r="K48" s="2038" t="s">
        <v>1309</v>
      </c>
      <c r="L48" s="2039">
        <f ca="1">INDIRECT("'数据-取费表'!f"&amp;$G$1)</f>
        <v>0</v>
      </c>
      <c r="O48" s="2034" t="s">
        <v>1057</v>
      </c>
      <c r="P48" s="2035" t="s">
        <v>1310</v>
      </c>
      <c r="Q48" s="2071" t="e">
        <f ca="1">J60</f>
        <v>#DIV/0!</v>
      </c>
      <c r="R48" s="2071" t="s">
        <v>1311</v>
      </c>
    </row>
    <row r="49" spans="1:18" s="714" customFormat="1">
      <c r="A49" s="1955" t="s">
        <v>1312</v>
      </c>
      <c r="B49" s="1956" t="s">
        <v>1313</v>
      </c>
      <c r="C49" s="1957">
        <f ca="1">ROUND(F49*F51*F50*(1-F52),0)</f>
        <v>0</v>
      </c>
      <c r="D49" s="1958" t="s">
        <v>1392</v>
      </c>
      <c r="E49" s="1959" t="s">
        <v>1314</v>
      </c>
      <c r="F49" s="1960"/>
      <c r="H49" s="1954"/>
      <c r="I49" s="2036" t="s">
        <v>1315</v>
      </c>
      <c r="J49" s="2040"/>
      <c r="K49" s="2038" t="s">
        <v>1316</v>
      </c>
      <c r="L49" s="2041"/>
      <c r="O49" s="2042" t="s">
        <v>1317</v>
      </c>
      <c r="P49" s="2035" t="s">
        <v>1318</v>
      </c>
      <c r="Q49" s="2071">
        <f ca="1">C29</f>
        <v>0</v>
      </c>
      <c r="R49" s="2071" t="s">
        <v>1305</v>
      </c>
    </row>
    <row r="50" spans="1:18" s="714" customFormat="1">
      <c r="A50" s="1961"/>
      <c r="B50" s="911"/>
      <c r="C50" s="1962"/>
      <c r="D50" s="1963"/>
      <c r="E50" s="1964" t="s">
        <v>1213</v>
      </c>
      <c r="F50" s="1965">
        <f ca="1">F7</f>
        <v>0</v>
      </c>
      <c r="H50" s="1954"/>
      <c r="I50" s="2036" t="s">
        <v>1319</v>
      </c>
      <c r="J50" s="2043">
        <f>SUMPRODUCT((I63:I65=J47)*(J62:L62=J48)*(J63:L65))</f>
        <v>0</v>
      </c>
      <c r="K50" s="2038" t="s">
        <v>1320</v>
      </c>
      <c r="L50" s="2041"/>
      <c r="M50" s="2044"/>
      <c r="O50" s="2042" t="s">
        <v>1321</v>
      </c>
      <c r="P50" s="2035" t="s">
        <v>1322</v>
      </c>
      <c r="Q50" s="2072" t="e">
        <f ca="1">J58</f>
        <v>#DIV/0!</v>
      </c>
      <c r="R50" s="2071"/>
    </row>
    <row r="51" spans="1:18" s="714" customFormat="1">
      <c r="A51" s="1966"/>
      <c r="B51" s="911"/>
      <c r="C51" s="1962"/>
      <c r="D51" s="1963"/>
      <c r="E51" s="1967" t="s">
        <v>1214</v>
      </c>
      <c r="F51" s="1857">
        <f ca="1">F8</f>
        <v>0</v>
      </c>
      <c r="I51" s="2045" t="s">
        <v>1323</v>
      </c>
      <c r="J51" s="2039">
        <f>IF(J49="",J50,J49+J50-YEAR('数据-取费表'!B2))</f>
        <v>0</v>
      </c>
      <c r="K51" s="2046" t="s">
        <v>1324</v>
      </c>
      <c r="L51" s="2047">
        <f ca="1">ROUND(-PV(INDIRECT("'数据-取费表'!h"&amp;$G$1),J51,(C39-C13*C76),0),0)</f>
        <v>0</v>
      </c>
      <c r="M51" s="2048"/>
      <c r="O51" s="2042" t="s">
        <v>1325</v>
      </c>
      <c r="P51" s="2035" t="s">
        <v>1326</v>
      </c>
      <c r="Q51" s="2072">
        <f>J52</f>
        <v>0</v>
      </c>
      <c r="R51" s="2071"/>
    </row>
    <row r="52" spans="1:18" s="714" customFormat="1">
      <c r="A52" s="1966"/>
      <c r="B52" s="911"/>
      <c r="C52" s="1962"/>
      <c r="D52" s="1963"/>
      <c r="E52" s="1967" t="s">
        <v>1215</v>
      </c>
      <c r="F52" s="1968"/>
      <c r="I52" s="2049" t="s">
        <v>1327</v>
      </c>
      <c r="J52" s="2050"/>
      <c r="K52" s="2049" t="s">
        <v>1328</v>
      </c>
      <c r="L52" s="2050"/>
      <c r="O52" s="2042" t="s">
        <v>1329</v>
      </c>
      <c r="P52" s="2035" t="s">
        <v>1330</v>
      </c>
      <c r="Q52" s="2071">
        <f ca="1">J53</f>
        <v>0</v>
      </c>
      <c r="R52" s="2071" t="s">
        <v>1331</v>
      </c>
    </row>
    <row r="53" spans="1:18" s="714" customFormat="1" ht="30.75" customHeight="1">
      <c r="A53" s="1969" t="s">
        <v>1332</v>
      </c>
      <c r="B53" s="1897" t="s">
        <v>1216</v>
      </c>
      <c r="C53" s="945">
        <f ca="1">ROUND(IF(F53="押一",C49/12*F11,IF(F53="押二",C49/12*2*F11,IF(F53="押三",C49/12*3*F11,C54*F11))),0)</f>
        <v>0</v>
      </c>
      <c r="D53" s="1866" t="s">
        <v>1393</v>
      </c>
      <c r="E53" s="1867" t="s">
        <v>1218</v>
      </c>
      <c r="F53" s="1868"/>
      <c r="I53" s="2051" t="s">
        <v>1333</v>
      </c>
      <c r="J53" s="2052">
        <f ca="1">IF(M47="住宅",IF(D1="——",MAX(J51,L48),MAX(J51,L48-'数据-取费表'!B24)),IF(D1="——",MIN(J51,L48),MIN(J51,L48-'数据-取费表'!B24)))</f>
        <v>0</v>
      </c>
      <c r="K53" s="3353" t="s">
        <v>1334</v>
      </c>
      <c r="L53" s="3354"/>
      <c r="O53" s="2034" t="s">
        <v>1158</v>
      </c>
      <c r="P53" s="2035" t="s">
        <v>1335</v>
      </c>
      <c r="Q53" s="2071" t="e">
        <f ca="1">Q47+Q48</f>
        <v>#DIV/0!</v>
      </c>
      <c r="R53" s="2071" t="s">
        <v>1336</v>
      </c>
    </row>
    <row r="54" spans="1:18" s="714" customFormat="1">
      <c r="A54" s="1955"/>
      <c r="B54" s="1970" t="s">
        <v>1389</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1337</v>
      </c>
      <c r="P54" s="1834"/>
      <c r="Q54" s="1834"/>
      <c r="R54" s="1834"/>
    </row>
    <row r="55" spans="1:18" s="714" customFormat="1">
      <c r="A55" s="1874" t="s">
        <v>996</v>
      </c>
      <c r="B55" s="1875" t="s">
        <v>1222</v>
      </c>
      <c r="C55" s="1876"/>
      <c r="D55" s="1866"/>
      <c r="E55" s="1971"/>
      <c r="F55" s="1972"/>
      <c r="I55" s="2055" t="s">
        <v>1338</v>
      </c>
      <c r="J55" s="2056" t="e">
        <f ca="1">ROUND(IF(J47="钢混",J57/J50,1-(1-2%)*(J50-J57)/J50),3)</f>
        <v>#DIV/0!</v>
      </c>
      <c r="K55" s="2057" t="s">
        <v>1339</v>
      </c>
      <c r="L55" s="2058"/>
      <c r="O55" s="2027" t="s">
        <v>618</v>
      </c>
      <c r="P55" s="2028" t="s">
        <v>1299</v>
      </c>
      <c r="Q55" s="2070" t="s">
        <v>1300</v>
      </c>
      <c r="R55" s="2070" t="s">
        <v>1301</v>
      </c>
    </row>
    <row r="56" spans="1:18" s="714" customFormat="1" ht="36" customHeight="1">
      <c r="A56" s="1973">
        <v>2</v>
      </c>
      <c r="B56" s="1974" t="s">
        <v>1223</v>
      </c>
      <c r="C56" s="378">
        <f ca="1">C13</f>
        <v>0</v>
      </c>
      <c r="D56" s="1975"/>
      <c r="E56" s="1976"/>
      <c r="F56" s="1972"/>
      <c r="I56" s="2059" t="s">
        <v>1340</v>
      </c>
      <c r="J56" s="2060"/>
      <c r="K56" s="2036" t="s">
        <v>1342</v>
      </c>
      <c r="L56" s="2039">
        <f ca="1">IF(L48&lt;J51,"——",L48-J51)</f>
        <v>0</v>
      </c>
      <c r="O56" s="2034" t="s">
        <v>1053</v>
      </c>
      <c r="P56" s="2035" t="s">
        <v>1304</v>
      </c>
      <c r="Q56" s="2071" t="e">
        <f ca="1">C40+J29</f>
        <v>#DIV/0!</v>
      </c>
      <c r="R56" s="2071" t="s">
        <v>1305</v>
      </c>
    </row>
    <row r="57" spans="1:18" s="714" customFormat="1" ht="24">
      <c r="A57" s="1977"/>
      <c r="B57" s="1978" t="s">
        <v>1286</v>
      </c>
      <c r="C57" s="388">
        <f ca="1">C29</f>
        <v>0</v>
      </c>
      <c r="D57" s="1979"/>
      <c r="E57" s="1980"/>
      <c r="F57" s="1981"/>
      <c r="I57" s="2061" t="s">
        <v>1343</v>
      </c>
      <c r="J57" s="2062">
        <f ca="1">IF(OR(M47="住宅",J51&lt;L48,J56="是"),"——",J51-L48)</f>
        <v>0</v>
      </c>
      <c r="K57" s="2036" t="s">
        <v>1394</v>
      </c>
      <c r="L57" s="2039">
        <f ca="1">IF(L48&lt;J51,"——",IF(L55="比较法",L49,IF(L55="基准地价",L50,L51)))</f>
        <v>0</v>
      </c>
      <c r="O57" s="2034" t="s">
        <v>1057</v>
      </c>
      <c r="P57" s="2035" t="s">
        <v>1345</v>
      </c>
      <c r="Q57" s="2071" t="e">
        <f ca="1">L60</f>
        <v>#DIV/0!</v>
      </c>
      <c r="R57" s="2071" t="s">
        <v>1346</v>
      </c>
    </row>
    <row r="58" spans="1:18" s="714" customFormat="1" ht="24">
      <c r="A58" s="1982" t="s">
        <v>1231</v>
      </c>
      <c r="B58" s="1974" t="s">
        <v>1232</v>
      </c>
      <c r="C58" s="945">
        <f ca="1">ROUND(C59+C64+C65+C66,0)</f>
        <v>0</v>
      </c>
      <c r="D58" s="1983" t="s">
        <v>1233</v>
      </c>
      <c r="E58" s="1984"/>
      <c r="F58" s="1953"/>
      <c r="I58" s="2061" t="s">
        <v>1347</v>
      </c>
      <c r="J58" s="2063" t="e">
        <f ca="1">IF(J55&lt;0.4,0.4,J55)</f>
        <v>#DIV/0!</v>
      </c>
      <c r="K58" s="2046" t="s">
        <v>1395</v>
      </c>
      <c r="L58" s="2039" t="e">
        <f ca="1">ROUND(POWER(1+L52,L47-L48)*(POWER(1+L52,L48)-1)/(POWER(1+L52,L47)-1),4)</f>
        <v>#DIV/0!</v>
      </c>
      <c r="O58" s="2042" t="s">
        <v>1317</v>
      </c>
      <c r="P58" s="2035" t="s">
        <v>1349</v>
      </c>
      <c r="Q58" s="2071">
        <f>IF(L55="比较法",L49,IF(L55="基准地价",L50,0))</f>
        <v>0</v>
      </c>
      <c r="R58" s="2071" t="s">
        <v>1305</v>
      </c>
    </row>
    <row r="59" spans="1:18" s="714" customFormat="1" ht="24">
      <c r="A59" s="1885" t="s">
        <v>947</v>
      </c>
      <c r="B59" s="1978" t="s">
        <v>1238</v>
      </c>
      <c r="C59" s="1908">
        <f ca="1">ROUND(IF(AND(项目基本情况!B11="自然人",项目基本情况!B10="北京市"),C49*F59/(1+'数据-取费表'!C42),C60+C61+C62),0)</f>
        <v>0</v>
      </c>
      <c r="D59" s="1985" t="s">
        <v>1239</v>
      </c>
      <c r="E59" s="1986" t="s">
        <v>1240</v>
      </c>
      <c r="F59" s="1910" t="str">
        <f>IF(项目基本情况!B11="企业","——",IF('数据-取费表'!B10="住宅",IF(F49*F50*F51/12/(1+'数据-取费表'!F30)&gt;100000,4%,2.5%),IF(F49*F50*F51/12/(1+'数据-取费表'!F30)&gt;100000,12%,7%)))</f>
        <v>——</v>
      </c>
      <c r="I59" s="2061" t="s">
        <v>1350</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1321</v>
      </c>
      <c r="P59" s="2035" t="s">
        <v>1351</v>
      </c>
      <c r="Q59" s="2072">
        <f>L52</f>
        <v>0</v>
      </c>
      <c r="R59" s="2071"/>
    </row>
    <row r="60" spans="1:18" s="714" customFormat="1" ht="15.75">
      <c r="A60" s="1885" t="s">
        <v>970</v>
      </c>
      <c r="B60" s="1978" t="s">
        <v>1242</v>
      </c>
      <c r="C60" s="946">
        <f ca="1">IF(项目基本情况!B11="自然人","——",ROUND(C48*F60/(1+'数据-取费表'!C42),0))</f>
        <v>0</v>
      </c>
      <c r="D60" s="1986" t="s">
        <v>1243</v>
      </c>
      <c r="E60" s="1978" t="s">
        <v>1230</v>
      </c>
      <c r="F60" s="1900">
        <f t="shared" ref="F60:F66" si="0">F32</f>
        <v>5.5E-2</v>
      </c>
      <c r="I60" s="2064" t="s">
        <v>1352</v>
      </c>
      <c r="J60" s="2065" t="e">
        <f ca="1">IF(OR(M47="住宅",J51&lt;L48,J56="是"),"0",ROUND(J59/(1+J52)^J53,0))</f>
        <v>#DIV/0!</v>
      </c>
      <c r="K60" s="2066" t="s">
        <v>1353</v>
      </c>
      <c r="L60" s="2065" t="e">
        <f ca="1">IF(OR(M47="住宅",L48&lt;J51),0,ROUND(L57*(L58/L59-1),0))</f>
        <v>#DIV/0!</v>
      </c>
      <c r="O60" s="2042" t="s">
        <v>1325</v>
      </c>
      <c r="P60" s="2035" t="s">
        <v>1354</v>
      </c>
      <c r="Q60" s="2071" t="e">
        <f ca="1">L58</f>
        <v>#DIV/0!</v>
      </c>
      <c r="R60" s="2071" t="s">
        <v>1355</v>
      </c>
    </row>
    <row r="61" spans="1:18" s="714" customFormat="1">
      <c r="A61" s="1885" t="s">
        <v>974</v>
      </c>
      <c r="B61" s="1978" t="s">
        <v>1246</v>
      </c>
      <c r="C61" s="946">
        <f ca="1">IF(项目基本情况!B11="自然人","——",IF(D61="按租金收入计税",ROUND(C49*F61/(1+'数据-取费表'!C42),0),IF(D61="按房产原值计税",ROUND(C57*F61*0.7,0),INDIRECT("'数据-取费表'!Aj"&amp;$G$1))))</f>
        <v>0</v>
      </c>
      <c r="D61" s="1912" t="s">
        <v>1247</v>
      </c>
      <c r="E61" s="1978" t="s">
        <v>1230</v>
      </c>
      <c r="F61" s="1894">
        <f t="shared" si="0"/>
        <v>0.12</v>
      </c>
      <c r="I61" s="1928"/>
      <c r="J61" s="1928"/>
      <c r="K61" s="1928"/>
      <c r="L61" s="1928"/>
      <c r="O61" s="2042" t="s">
        <v>1329</v>
      </c>
      <c r="P61" s="2035" t="str">
        <f>K59</f>
        <v>建筑物剩余耐用年限下的土地年期修正系数Kn</v>
      </c>
      <c r="Q61" s="2071" t="e">
        <f ca="1">L59</f>
        <v>#DIV/0!</v>
      </c>
      <c r="R61" s="2071" t="s">
        <v>1356</v>
      </c>
    </row>
    <row r="62" spans="1:18" s="714" customFormat="1">
      <c r="A62" s="1885" t="s">
        <v>977</v>
      </c>
      <c r="B62" s="1987" t="s">
        <v>1250</v>
      </c>
      <c r="C62" s="1914">
        <f ca="1">IF(项目基本情况!B11="自然人","——",ROUND(F62*F63,0))</f>
        <v>0</v>
      </c>
      <c r="D62" s="1988" t="s">
        <v>1251</v>
      </c>
      <c r="E62" s="1978" t="s">
        <v>1252</v>
      </c>
      <c r="F62" s="1899">
        <f t="shared" si="0"/>
        <v>1.5</v>
      </c>
      <c r="I62" s="2067" t="s">
        <v>1357</v>
      </c>
      <c r="J62" s="1137" t="s">
        <v>1358</v>
      </c>
      <c r="K62" s="1137" t="s">
        <v>1359</v>
      </c>
      <c r="L62" s="1137" t="s">
        <v>1360</v>
      </c>
      <c r="M62" s="2068" t="s">
        <v>1361</v>
      </c>
      <c r="O62" s="2034" t="s">
        <v>1158</v>
      </c>
      <c r="P62" s="2035" t="s">
        <v>1335</v>
      </c>
      <c r="Q62" s="2071" t="e">
        <f ca="1">Q56+Q57</f>
        <v>#DIV/0!</v>
      </c>
      <c r="R62" s="2071" t="s">
        <v>1336</v>
      </c>
    </row>
    <row r="63" spans="1:18" s="714" customFormat="1">
      <c r="A63" s="1898"/>
      <c r="B63" s="1989"/>
      <c r="C63" s="1918"/>
      <c r="D63" s="1990"/>
      <c r="E63" s="1978" t="s">
        <v>1256</v>
      </c>
      <c r="F63" s="1857">
        <f t="shared" ca="1" si="0"/>
        <v>0</v>
      </c>
      <c r="I63" s="2067" t="s">
        <v>1362</v>
      </c>
      <c r="J63" s="1137">
        <v>70</v>
      </c>
      <c r="K63" s="1137">
        <v>50</v>
      </c>
      <c r="L63" s="1137">
        <v>80</v>
      </c>
      <c r="M63" s="2069">
        <v>0.02</v>
      </c>
      <c r="O63" s="2022" t="s">
        <v>1363</v>
      </c>
      <c r="P63" s="1834"/>
      <c r="Q63" s="1834"/>
      <c r="R63" s="1834"/>
    </row>
    <row r="64" spans="1:18" s="714" customFormat="1">
      <c r="A64" s="1885" t="s">
        <v>951</v>
      </c>
      <c r="B64" s="1978" t="s">
        <v>1258</v>
      </c>
      <c r="C64" s="946">
        <f ca="1">ROUND(C57*F64,0)</f>
        <v>0</v>
      </c>
      <c r="D64" s="1986" t="s">
        <v>1291</v>
      </c>
      <c r="E64" s="1978" t="s">
        <v>1230</v>
      </c>
      <c r="F64" s="1921">
        <f t="shared" ca="1" si="0"/>
        <v>0</v>
      </c>
      <c r="I64" s="2067" t="s">
        <v>1364</v>
      </c>
      <c r="J64" s="1137">
        <v>50</v>
      </c>
      <c r="K64" s="1137">
        <v>35</v>
      </c>
      <c r="L64" s="1137">
        <v>60</v>
      </c>
      <c r="M64" s="2068">
        <v>0</v>
      </c>
      <c r="O64" s="2027" t="s">
        <v>618</v>
      </c>
      <c r="P64" s="2028" t="s">
        <v>1299</v>
      </c>
      <c r="Q64" s="2070" t="s">
        <v>1300</v>
      </c>
      <c r="R64" s="2070" t="s">
        <v>1301</v>
      </c>
    </row>
    <row r="65" spans="1:18" s="714" customFormat="1">
      <c r="A65" s="1885" t="s">
        <v>996</v>
      </c>
      <c r="B65" s="1978" t="s">
        <v>1262</v>
      </c>
      <c r="C65" s="946">
        <f ca="1">ROUND(C56*F65,0)</f>
        <v>0</v>
      </c>
      <c r="D65" s="1986" t="s">
        <v>1263</v>
      </c>
      <c r="E65" s="1978" t="s">
        <v>1230</v>
      </c>
      <c r="F65" s="1922">
        <f t="shared" ca="1" si="0"/>
        <v>0</v>
      </c>
      <c r="I65" s="2067" t="s">
        <v>1365</v>
      </c>
      <c r="J65" s="1137">
        <v>40</v>
      </c>
      <c r="K65" s="1137">
        <v>30</v>
      </c>
      <c r="L65" s="1137">
        <v>50</v>
      </c>
      <c r="M65" s="2069">
        <v>0.02</v>
      </c>
      <c r="O65" s="2034" t="s">
        <v>1053</v>
      </c>
      <c r="P65" s="2035" t="s">
        <v>1304</v>
      </c>
      <c r="Q65" s="2071" t="e">
        <f ca="1">C40+J29</f>
        <v>#DIV/0!</v>
      </c>
      <c r="R65" s="2071" t="s">
        <v>1305</v>
      </c>
    </row>
    <row r="66" spans="1:18" s="714" customFormat="1" ht="15.75">
      <c r="A66" s="1885" t="s">
        <v>999</v>
      </c>
      <c r="B66" s="1978" t="s">
        <v>1248</v>
      </c>
      <c r="C66" s="946">
        <f ca="1">ROUND(C48*F66,0)</f>
        <v>0</v>
      </c>
      <c r="D66" s="1986" t="s">
        <v>1266</v>
      </c>
      <c r="E66" s="1978" t="s">
        <v>1230</v>
      </c>
      <c r="F66" s="1864">
        <f t="shared" ca="1" si="0"/>
        <v>0</v>
      </c>
      <c r="O66" s="2034" t="s">
        <v>1057</v>
      </c>
      <c r="P66" s="2035" t="s">
        <v>1345</v>
      </c>
      <c r="Q66" s="2071" t="e">
        <f ca="1">L60</f>
        <v>#DIV/0!</v>
      </c>
      <c r="R66" s="2071" t="s">
        <v>1346</v>
      </c>
    </row>
    <row r="67" spans="1:18" s="714" customFormat="1" ht="15.75">
      <c r="A67" s="1973" t="s">
        <v>1269</v>
      </c>
      <c r="B67" s="2073" t="s">
        <v>1270</v>
      </c>
      <c r="C67" s="945">
        <f ca="1">C48-C58</f>
        <v>0</v>
      </c>
      <c r="D67" s="1985" t="s">
        <v>1271</v>
      </c>
      <c r="E67" s="2074"/>
      <c r="F67" s="2075"/>
      <c r="O67" s="2042" t="s">
        <v>1317</v>
      </c>
      <c r="P67" s="2035" t="s">
        <v>1349</v>
      </c>
      <c r="Q67" s="2095">
        <f ca="1">L51</f>
        <v>0</v>
      </c>
      <c r="R67" s="2071" t="s">
        <v>1366</v>
      </c>
    </row>
    <row r="68" spans="1:18" s="714" customFormat="1" ht="15.75">
      <c r="A68" s="2076" t="s">
        <v>1275</v>
      </c>
      <c r="B68" s="2077" t="s">
        <v>1292</v>
      </c>
      <c r="C68" s="1927" t="e">
        <f ca="1">ROUND(C67*(1-((1+F70)/(1+F68))^F69)/(F68-F70),0)</f>
        <v>#DIV/0!</v>
      </c>
      <c r="D68" s="1988" t="s">
        <v>1277</v>
      </c>
      <c r="E68" s="1978" t="s">
        <v>1278</v>
      </c>
      <c r="F68" s="1864">
        <f ca="1">F40</f>
        <v>0</v>
      </c>
      <c r="O68" s="2042" t="s">
        <v>1321</v>
      </c>
      <c r="P68" s="2094" t="s">
        <v>1367</v>
      </c>
      <c r="Q68" s="2071">
        <f ca="1">ROUND(Q69-Q70*Q71,0)</f>
        <v>0</v>
      </c>
      <c r="R68" s="2071" t="s">
        <v>1368</v>
      </c>
    </row>
    <row r="69" spans="1:18" s="714" customFormat="1">
      <c r="A69" s="2078"/>
      <c r="B69" s="2079"/>
      <c r="C69" s="1863"/>
      <c r="D69" s="2080" t="s">
        <v>1281</v>
      </c>
      <c r="E69" s="1978" t="s">
        <v>1282</v>
      </c>
      <c r="F69" s="1931">
        <f ca="1">F41</f>
        <v>0</v>
      </c>
      <c r="O69" s="2042" t="s">
        <v>1369</v>
      </c>
      <c r="P69" s="2094" t="s">
        <v>1370</v>
      </c>
      <c r="Q69" s="2071">
        <f ca="1">C39</f>
        <v>0</v>
      </c>
      <c r="R69" s="2071" t="s">
        <v>1305</v>
      </c>
    </row>
    <row r="70" spans="1:18" s="714" customFormat="1">
      <c r="A70" s="2081"/>
      <c r="B70" s="2082"/>
      <c r="C70" s="1882"/>
      <c r="D70" s="1990"/>
      <c r="E70" s="1978" t="s">
        <v>1285</v>
      </c>
      <c r="F70" s="1968"/>
      <c r="O70" s="2042" t="s">
        <v>1371</v>
      </c>
      <c r="P70" s="2094" t="s">
        <v>1372</v>
      </c>
      <c r="Q70" s="2071">
        <f ca="1">C13</f>
        <v>0</v>
      </c>
      <c r="R70" s="2071" t="s">
        <v>1305</v>
      </c>
    </row>
    <row r="71" spans="1:18" s="714" customFormat="1">
      <c r="A71" s="2083" t="s">
        <v>1287</v>
      </c>
      <c r="B71" s="2084" t="s">
        <v>1293</v>
      </c>
      <c r="C71" s="1934" t="e">
        <f ca="1">ROUND(C68/F71,0)</f>
        <v>#DIV/0!</v>
      </c>
      <c r="D71" s="2085" t="s">
        <v>1294</v>
      </c>
      <c r="E71" s="2086" t="s">
        <v>1295</v>
      </c>
      <c r="F71" s="1937">
        <f ca="1">F43</f>
        <v>0</v>
      </c>
      <c r="O71" s="2042" t="s">
        <v>1373</v>
      </c>
      <c r="P71" s="2094" t="s">
        <v>1374</v>
      </c>
      <c r="Q71" s="2072">
        <f ca="1">C76</f>
        <v>0</v>
      </c>
      <c r="R71" s="2071"/>
    </row>
    <row r="72" spans="1:18" s="714" customFormat="1">
      <c r="B72" s="976"/>
      <c r="C72" s="976"/>
      <c r="O72" s="2042" t="s">
        <v>1325</v>
      </c>
      <c r="P72" s="2035" t="s">
        <v>1351</v>
      </c>
      <c r="Q72" s="2072">
        <f>L52</f>
        <v>0</v>
      </c>
      <c r="R72" s="2071"/>
    </row>
    <row r="73" spans="1:18" ht="15.75">
      <c r="A73" s="714"/>
      <c r="B73" s="976"/>
      <c r="C73" s="976"/>
      <c r="D73" s="714"/>
      <c r="E73" s="714"/>
      <c r="F73" s="714"/>
      <c r="O73" s="2042" t="s">
        <v>1329</v>
      </c>
      <c r="P73" s="2035" t="s">
        <v>1354</v>
      </c>
      <c r="Q73" s="2071" t="e">
        <f ca="1">L58</f>
        <v>#DIV/0!</v>
      </c>
      <c r="R73" s="2071" t="s">
        <v>1355</v>
      </c>
    </row>
    <row r="74" spans="1:18">
      <c r="A74" s="714"/>
      <c r="B74" s="420" t="s">
        <v>1375</v>
      </c>
      <c r="C74" s="2087"/>
      <c r="D74" s="714"/>
      <c r="E74" s="714"/>
      <c r="F74" s="714"/>
      <c r="O74" s="2042" t="s">
        <v>1376</v>
      </c>
      <c r="P74" s="2035" t="str">
        <f>K59</f>
        <v>建筑物剩余耐用年限下的土地年期修正系数Kn</v>
      </c>
      <c r="Q74" s="2071" t="e">
        <f ca="1">L59</f>
        <v>#DIV/0!</v>
      </c>
      <c r="R74" s="2071" t="s">
        <v>1356</v>
      </c>
    </row>
    <row r="75" spans="1:18">
      <c r="A75" s="714"/>
      <c r="B75" s="2088" t="s">
        <v>1377</v>
      </c>
      <c r="C75" s="2089">
        <f ca="1">ROUND(C13*C76,0)</f>
        <v>0</v>
      </c>
      <c r="D75" s="714"/>
      <c r="E75" s="714"/>
      <c r="F75" s="714"/>
      <c r="K75" s="2021"/>
      <c r="L75" s="714"/>
      <c r="O75" s="2034" t="s">
        <v>1158</v>
      </c>
      <c r="P75" s="2035" t="s">
        <v>1335</v>
      </c>
      <c r="Q75" s="2071" t="e">
        <f ca="1">Q65+Q66</f>
        <v>#DIV/0!</v>
      </c>
      <c r="R75" s="2071" t="s">
        <v>1336</v>
      </c>
    </row>
    <row r="76" spans="1:18">
      <c r="B76" s="506" t="s">
        <v>1378</v>
      </c>
      <c r="C76" s="2090">
        <f ca="1">INDIRECT("'数据-取费表'!j"&amp;$G$1)</f>
        <v>0</v>
      </c>
      <c r="I76" s="714"/>
      <c r="J76" s="714"/>
      <c r="K76" s="2021"/>
      <c r="L76" s="714"/>
    </row>
    <row r="77" spans="1:18">
      <c r="B77" s="2091" t="s">
        <v>1379</v>
      </c>
      <c r="C77" s="2092"/>
      <c r="I77" s="714"/>
      <c r="J77" s="714"/>
      <c r="K77" s="2021"/>
      <c r="L77" s="714"/>
    </row>
    <row r="78" spans="1:18">
      <c r="B78" s="418" t="s">
        <v>1380</v>
      </c>
      <c r="C78" s="2093"/>
    </row>
    <row r="79" spans="1:18">
      <c r="B79" s="2088" t="s">
        <v>1381</v>
      </c>
      <c r="C79" s="421" t="e">
        <f ca="1">1-C80</f>
        <v>#DIV/0!</v>
      </c>
    </row>
    <row r="80" spans="1:18">
      <c r="B80" s="2088" t="s">
        <v>1382</v>
      </c>
      <c r="C80" s="421" t="e">
        <f ca="1">ROUND(C75/C39,3)</f>
        <v>#DIV/0!</v>
      </c>
    </row>
    <row r="81" spans="2:3">
      <c r="B81" s="418" t="s">
        <v>1383</v>
      </c>
      <c r="C81" s="388"/>
    </row>
    <row r="82" spans="2:3">
      <c r="B82" s="420" t="s">
        <v>1134</v>
      </c>
      <c r="C82" s="422" t="e">
        <f ca="1">1-C83</f>
        <v>#DIV/0!</v>
      </c>
    </row>
    <row r="83" spans="2:3">
      <c r="B83" s="420" t="s">
        <v>1135</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1396</v>
      </c>
      <c r="B1" s="1659"/>
      <c r="C1" s="1660"/>
      <c r="D1" s="1660"/>
      <c r="E1" s="1661"/>
      <c r="F1" s="1662"/>
      <c r="G1" s="1663"/>
      <c r="J1" s="1764" t="s">
        <v>1397</v>
      </c>
      <c r="K1" s="1765"/>
      <c r="L1" s="1765"/>
      <c r="M1" s="1765"/>
      <c r="N1" s="1765"/>
      <c r="O1" s="1765"/>
      <c r="P1" s="1765"/>
      <c r="Q1" s="1765"/>
      <c r="R1" s="1802"/>
      <c r="S1" s="1724"/>
      <c r="T1" s="1724"/>
      <c r="U1" s="1724"/>
    </row>
    <row r="2" spans="1:22" s="1652" customFormat="1" ht="13.15" customHeight="1">
      <c r="A2" s="1664" t="s">
        <v>1197</v>
      </c>
      <c r="B2" s="1665" t="e">
        <f>IF(D2="——",C40,C40+E2)</f>
        <v>#DIV/0!</v>
      </c>
      <c r="C2" s="1660" t="s">
        <v>1198</v>
      </c>
      <c r="D2" s="1666" t="s">
        <v>1398</v>
      </c>
      <c r="E2" s="1667"/>
      <c r="F2" s="1668"/>
      <c r="G2" s="1669"/>
      <c r="H2" s="1670"/>
      <c r="I2" s="1755"/>
      <c r="J2" s="3358" t="s">
        <v>1399</v>
      </c>
      <c r="K2" s="3359"/>
      <c r="L2" s="1766" t="s">
        <v>1400</v>
      </c>
      <c r="M2" s="1766" t="s">
        <v>1401</v>
      </c>
      <c r="N2" s="1766" t="s">
        <v>1402</v>
      </c>
      <c r="O2" s="1766" t="s">
        <v>1403</v>
      </c>
      <c r="P2" s="1766" t="s">
        <v>1404</v>
      </c>
      <c r="Q2" s="1803" t="s">
        <v>1405</v>
      </c>
      <c r="R2" s="1804" t="s">
        <v>1406</v>
      </c>
      <c r="S2" s="1724"/>
      <c r="T2" s="1724"/>
      <c r="U2" s="1724"/>
      <c r="V2" s="1755"/>
    </row>
    <row r="3" spans="1:22" s="1652" customFormat="1" ht="13.15" customHeight="1">
      <c r="A3" s="1671" t="s">
        <v>1199</v>
      </c>
      <c r="B3" s="1672" t="e">
        <f>ROUND(B2*10000/B4,0)</f>
        <v>#DIV/0!</v>
      </c>
      <c r="C3" s="1660" t="s">
        <v>1200</v>
      </c>
      <c r="D3" s="1660"/>
      <c r="E3" s="1673"/>
      <c r="F3" s="1668"/>
      <c r="G3" s="1669"/>
      <c r="H3" s="1670"/>
      <c r="I3" s="1755"/>
      <c r="J3" s="3360" t="s">
        <v>1407</v>
      </c>
      <c r="K3" s="3361"/>
      <c r="L3" s="1767"/>
      <c r="M3" s="1767"/>
      <c r="N3" s="1767"/>
      <c r="O3" s="1767"/>
      <c r="P3" s="1767"/>
      <c r="Q3" s="1805"/>
      <c r="R3" s="1806">
        <f>SUM(L3:Q3)</f>
        <v>0</v>
      </c>
      <c r="S3" s="1724"/>
      <c r="T3" s="1724"/>
      <c r="U3" s="1724"/>
      <c r="V3" s="1755"/>
    </row>
    <row r="4" spans="1:22" s="1652" customFormat="1" ht="13.15" customHeight="1">
      <c r="A4" s="1674" t="s">
        <v>643</v>
      </c>
      <c r="B4" s="1675"/>
      <c r="C4" s="1660"/>
      <c r="D4" s="1660"/>
      <c r="E4" s="1673"/>
      <c r="F4" s="1668"/>
      <c r="G4" s="1669"/>
      <c r="H4" s="1670"/>
      <c r="I4" s="1755"/>
      <c r="J4" s="3360" t="s">
        <v>1408</v>
      </c>
      <c r="K4" s="3361"/>
      <c r="L4" s="1768"/>
      <c r="M4" s="1768"/>
      <c r="N4" s="1768"/>
      <c r="O4" s="1768"/>
      <c r="P4" s="1768"/>
      <c r="Q4" s="1807"/>
      <c r="R4" s="1808">
        <f>SUM(L4:Q4)</f>
        <v>0</v>
      </c>
      <c r="S4" s="1724"/>
      <c r="T4" s="1724"/>
      <c r="U4" s="1724"/>
      <c r="V4" s="1755"/>
    </row>
    <row r="5" spans="1:22" s="1652" customFormat="1" ht="13.15" customHeight="1">
      <c r="A5" s="1676" t="s">
        <v>703</v>
      </c>
      <c r="B5" s="1677"/>
      <c r="C5" s="1660"/>
      <c r="D5" s="1678"/>
      <c r="E5" s="1668"/>
      <c r="F5" s="1668"/>
      <c r="G5" s="1669"/>
      <c r="H5" s="1670"/>
      <c r="I5" s="1755"/>
      <c r="J5" s="1769" t="s">
        <v>1409</v>
      </c>
      <c r="K5" s="1770"/>
      <c r="L5" s="1770"/>
      <c r="M5" s="1771"/>
      <c r="N5" s="1771"/>
      <c r="O5" s="1771"/>
      <c r="P5" s="1771"/>
      <c r="Q5" s="1771"/>
      <c r="R5" s="1804">
        <f>SUM(R14,R19,R24,R25,R27,R28)</f>
        <v>0</v>
      </c>
      <c r="S5" s="1724"/>
      <c r="T5" s="1724" t="s">
        <v>1410</v>
      </c>
      <c r="U5" s="1724" t="e">
        <f>ROUND(R5*10000/365/R3,1)</f>
        <v>#DIV/0!</v>
      </c>
      <c r="V5" s="1755"/>
    </row>
    <row r="6" spans="1:22" s="1652" customFormat="1" ht="13.15" customHeight="1">
      <c r="A6" s="3362" t="s">
        <v>1411</v>
      </c>
      <c r="B6" s="3363"/>
      <c r="C6" s="3364"/>
      <c r="D6" s="1679"/>
      <c r="E6" s="1680"/>
      <c r="F6" s="1681"/>
      <c r="G6" s="1682"/>
      <c r="H6" s="1670"/>
      <c r="I6" s="1755"/>
      <c r="J6" s="3371">
        <v>1</v>
      </c>
      <c r="K6" s="3374" t="s">
        <v>1412</v>
      </c>
      <c r="L6" s="1773" t="s">
        <v>1413</v>
      </c>
      <c r="M6" s="1774" t="s">
        <v>1414</v>
      </c>
      <c r="N6" s="1774" t="s">
        <v>1415</v>
      </c>
      <c r="O6" s="1774" t="s">
        <v>1416</v>
      </c>
      <c r="P6" s="1774" t="s">
        <v>1417</v>
      </c>
      <c r="Q6" s="1774" t="s">
        <v>1418</v>
      </c>
      <c r="R6" s="1806" t="s">
        <v>1419</v>
      </c>
      <c r="S6" s="1724"/>
      <c r="T6" s="1724" t="s">
        <v>1420</v>
      </c>
      <c r="U6" s="1724"/>
      <c r="V6" s="1755"/>
    </row>
    <row r="7" spans="1:22" s="1652" customFormat="1" ht="13.15" customHeight="1">
      <c r="A7" s="1683" t="s">
        <v>1421</v>
      </c>
      <c r="B7" s="1684"/>
      <c r="C7" s="1685"/>
      <c r="D7" s="1686">
        <f>SUM(D9,D10,D11,D17,0)</f>
        <v>0</v>
      </c>
      <c r="E7" s="1687" t="e">
        <f>E9+E10+E11+E17</f>
        <v>#DIV/0!</v>
      </c>
      <c r="F7" s="1688"/>
      <c r="G7" s="1689"/>
      <c r="H7" s="1670"/>
      <c r="I7" s="1755"/>
      <c r="J7" s="3371"/>
      <c r="K7" s="3375"/>
      <c r="L7" s="1775" t="s">
        <v>1422</v>
      </c>
      <c r="M7" s="1776"/>
      <c r="N7" s="1675"/>
      <c r="O7" s="1777"/>
      <c r="P7" s="1777"/>
      <c r="Q7" s="1708">
        <v>365</v>
      </c>
      <c r="R7" s="1809">
        <f>ROUND(M7*N7*O7*P7*Q7/10000,0)</f>
        <v>0</v>
      </c>
      <c r="S7" s="1724"/>
      <c r="T7" s="1724" t="s">
        <v>1423</v>
      </c>
      <c r="U7" s="1724"/>
      <c r="V7" s="1755"/>
    </row>
    <row r="8" spans="1:22" s="1652" customFormat="1" ht="13.15" customHeight="1">
      <c r="A8" s="1690" t="s">
        <v>1424</v>
      </c>
      <c r="B8" s="3365" t="s">
        <v>1425</v>
      </c>
      <c r="C8" s="3366"/>
      <c r="D8" s="1693" t="s">
        <v>1426</v>
      </c>
      <c r="E8" s="1694" t="s">
        <v>1427</v>
      </c>
      <c r="F8" s="1695" t="s">
        <v>1428</v>
      </c>
      <c r="G8" s="1696"/>
      <c r="H8" s="1670"/>
      <c r="I8" s="1755"/>
      <c r="J8" s="3371"/>
      <c r="K8" s="3375"/>
      <c r="L8" s="1775" t="s">
        <v>1429</v>
      </c>
      <c r="M8" s="1776"/>
      <c r="N8" s="1675"/>
      <c r="O8" s="1777"/>
      <c r="P8" s="1777"/>
      <c r="Q8" s="1708">
        <v>365</v>
      </c>
      <c r="R8" s="1809">
        <f t="shared" ref="R8:R13" si="0">ROUND(M8*N8*O8*P8*Q8/10000,0)</f>
        <v>0</v>
      </c>
      <c r="S8" s="1724"/>
      <c r="T8" s="1724" t="s">
        <v>1430</v>
      </c>
      <c r="U8" s="1724"/>
      <c r="V8" s="1755"/>
    </row>
    <row r="9" spans="1:22" s="1652" customFormat="1" ht="13.15" customHeight="1">
      <c r="A9" s="1690">
        <v>1</v>
      </c>
      <c r="B9" s="3365" t="s">
        <v>1431</v>
      </c>
      <c r="C9" s="3366"/>
      <c r="D9" s="1693">
        <f>ROUND(D6*E9,0)</f>
        <v>0</v>
      </c>
      <c r="E9" s="1697"/>
      <c r="F9" s="1698" t="s">
        <v>1432</v>
      </c>
      <c r="G9" s="1682"/>
      <c r="H9" s="1670"/>
      <c r="I9" s="1755"/>
      <c r="J9" s="3371"/>
      <c r="K9" s="3375"/>
      <c r="L9" s="1775" t="s">
        <v>1433</v>
      </c>
      <c r="M9" s="1776"/>
      <c r="N9" s="1675"/>
      <c r="O9" s="1777"/>
      <c r="P9" s="1777"/>
      <c r="Q9" s="1708">
        <v>365</v>
      </c>
      <c r="R9" s="1809">
        <f t="shared" si="0"/>
        <v>0</v>
      </c>
      <c r="S9" s="1724"/>
      <c r="T9" s="1724"/>
      <c r="U9" s="1724"/>
      <c r="V9" s="1755"/>
    </row>
    <row r="10" spans="1:22" s="1652" customFormat="1" ht="13.15" customHeight="1">
      <c r="A10" s="1690">
        <v>2</v>
      </c>
      <c r="B10" s="3365" t="s">
        <v>1434</v>
      </c>
      <c r="C10" s="3366"/>
      <c r="D10" s="1693">
        <f>ROUND(D6*E10,0)</f>
        <v>0</v>
      </c>
      <c r="E10" s="1697"/>
      <c r="F10" s="1698" t="s">
        <v>1435</v>
      </c>
      <c r="G10" s="1682"/>
      <c r="H10" s="1670"/>
      <c r="I10" s="1755"/>
      <c r="J10" s="3371"/>
      <c r="K10" s="3375"/>
      <c r="L10" s="1775" t="s">
        <v>1436</v>
      </c>
      <c r="M10" s="1776"/>
      <c r="N10" s="1675"/>
      <c r="O10" s="1777"/>
      <c r="P10" s="1777"/>
      <c r="Q10" s="1708">
        <v>365</v>
      </c>
      <c r="R10" s="1809">
        <f t="shared" si="0"/>
        <v>0</v>
      </c>
      <c r="S10" s="1724"/>
      <c r="T10" s="1724"/>
      <c r="U10" s="1724"/>
      <c r="V10" s="1755"/>
    </row>
    <row r="11" spans="1:22" s="1652" customFormat="1" ht="13.15" customHeight="1">
      <c r="A11" s="1690">
        <v>3</v>
      </c>
      <c r="B11" s="3365" t="s">
        <v>1437</v>
      </c>
      <c r="C11" s="3366"/>
      <c r="D11" s="1693">
        <f>D12+D14+D15+D16</f>
        <v>0</v>
      </c>
      <c r="E11" s="1699" t="e">
        <f>D11/D6</f>
        <v>#DIV/0!</v>
      </c>
      <c r="F11" s="1695"/>
      <c r="G11" s="1696"/>
      <c r="H11" s="1670"/>
      <c r="I11" s="1755"/>
      <c r="J11" s="3371"/>
      <c r="K11" s="3375"/>
      <c r="L11" s="1775" t="s">
        <v>1438</v>
      </c>
      <c r="M11" s="1776"/>
      <c r="N11" s="1675"/>
      <c r="O11" s="1777"/>
      <c r="P11" s="1777"/>
      <c r="Q11" s="1708">
        <v>365</v>
      </c>
      <c r="R11" s="1809">
        <f t="shared" si="0"/>
        <v>0</v>
      </c>
      <c r="S11" s="1724"/>
      <c r="T11" s="1724"/>
      <c r="U11" s="1724"/>
      <c r="V11" s="1755"/>
    </row>
    <row r="12" spans="1:22" s="1652" customFormat="1" ht="13.15" customHeight="1">
      <c r="A12" s="1700" t="s">
        <v>1439</v>
      </c>
      <c r="B12" s="3367" t="s">
        <v>1440</v>
      </c>
      <c r="C12" s="3368"/>
      <c r="D12" s="1703">
        <f>ROUND(D13*1.2%*(1-30%),0)</f>
        <v>0</v>
      </c>
      <c r="E12" s="1704">
        <v>1.2E-2</v>
      </c>
      <c r="F12" s="1695" t="s">
        <v>1441</v>
      </c>
      <c r="G12" s="1696"/>
      <c r="H12" s="1670"/>
      <c r="I12" s="1755"/>
      <c r="J12" s="3371"/>
      <c r="K12" s="3375"/>
      <c r="L12" s="1775" t="s">
        <v>1442</v>
      </c>
      <c r="M12" s="1776"/>
      <c r="N12" s="1675"/>
      <c r="O12" s="1777"/>
      <c r="P12" s="1777"/>
      <c r="Q12" s="1708">
        <v>365</v>
      </c>
      <c r="R12" s="1809">
        <f t="shared" si="0"/>
        <v>0</v>
      </c>
      <c r="S12" s="1724"/>
      <c r="T12" s="1724"/>
      <c r="U12" s="1724"/>
      <c r="V12" s="1755"/>
    </row>
    <row r="13" spans="1:22" s="1652" customFormat="1" ht="13.15" customHeight="1">
      <c r="A13" s="1700"/>
      <c r="B13" s="1701"/>
      <c r="C13" s="1705" t="s">
        <v>1443</v>
      </c>
      <c r="D13" s="1706"/>
      <c r="E13" s="1707"/>
      <c r="F13" s="1695"/>
      <c r="G13" s="1696"/>
      <c r="H13" s="1670"/>
      <c r="I13" s="1755"/>
      <c r="J13" s="3371"/>
      <c r="K13" s="3375"/>
      <c r="L13" s="1775" t="s">
        <v>1444</v>
      </c>
      <c r="M13" s="1776"/>
      <c r="N13" s="1675"/>
      <c r="O13" s="1777"/>
      <c r="P13" s="1777"/>
      <c r="Q13" s="1708">
        <v>365</v>
      </c>
      <c r="R13" s="1809">
        <f t="shared" si="0"/>
        <v>0</v>
      </c>
      <c r="S13" s="1724"/>
      <c r="T13" s="1724"/>
      <c r="U13" s="1724"/>
      <c r="V13" s="1755"/>
    </row>
    <row r="14" spans="1:22" s="1652" customFormat="1" ht="13.15" customHeight="1">
      <c r="A14" s="1700" t="s">
        <v>1445</v>
      </c>
      <c r="B14" s="3367" t="s">
        <v>1446</v>
      </c>
      <c r="C14" s="3368"/>
      <c r="D14" s="1703">
        <f>ROUND(E14*B5/10000,0)</f>
        <v>0</v>
      </c>
      <c r="E14" s="1708"/>
      <c r="F14" s="1695" t="s">
        <v>1447</v>
      </c>
      <c r="G14" s="1696"/>
      <c r="H14" s="1670"/>
      <c r="I14" s="1755"/>
      <c r="J14" s="3371"/>
      <c r="K14" s="3376"/>
      <c r="L14" s="1778" t="s">
        <v>1448</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1449</v>
      </c>
      <c r="B15" s="3367" t="s">
        <v>1450</v>
      </c>
      <c r="C15" s="3368"/>
      <c r="D15" s="1703">
        <f>ROUND(D6*E15,0)</f>
        <v>0</v>
      </c>
      <c r="E15" s="1704">
        <v>5.5E-2</v>
      </c>
      <c r="F15" s="1695" t="s">
        <v>1451</v>
      </c>
      <c r="G15" s="1682"/>
      <c r="H15" s="1670"/>
      <c r="I15" s="1755"/>
      <c r="J15" s="3371">
        <v>2</v>
      </c>
      <c r="K15" s="3374" t="s">
        <v>1452</v>
      </c>
      <c r="L15" s="1775" t="s">
        <v>1453</v>
      </c>
      <c r="M15" s="1776" t="s">
        <v>1454</v>
      </c>
      <c r="N15" s="1776" t="s">
        <v>1455</v>
      </c>
      <c r="O15" s="1777" t="s">
        <v>1456</v>
      </c>
      <c r="P15" s="1777" t="s">
        <v>1418</v>
      </c>
      <c r="Q15" s="1675" t="s">
        <v>124</v>
      </c>
      <c r="R15" s="1811" t="s">
        <v>1419</v>
      </c>
      <c r="S15" s="1724"/>
      <c r="T15" s="1724"/>
      <c r="U15" s="1724"/>
      <c r="V15" s="1755"/>
    </row>
    <row r="16" spans="1:22" s="1652" customFormat="1" ht="13.15" customHeight="1">
      <c r="A16" s="1700" t="s">
        <v>1457</v>
      </c>
      <c r="B16" s="3367" t="s">
        <v>1458</v>
      </c>
      <c r="C16" s="3368"/>
      <c r="D16" s="1709">
        <f>D6*E16</f>
        <v>0</v>
      </c>
      <c r="E16" s="1710"/>
      <c r="F16" s="1698" t="s">
        <v>1459</v>
      </c>
      <c r="G16" s="1682"/>
      <c r="H16" s="1670"/>
      <c r="I16" s="1755"/>
      <c r="J16" s="3371"/>
      <c r="K16" s="3375"/>
      <c r="L16" s="1775" t="s">
        <v>1460</v>
      </c>
      <c r="M16" s="1776"/>
      <c r="N16" s="1776"/>
      <c r="O16" s="1777"/>
      <c r="P16" s="1708">
        <v>365</v>
      </c>
      <c r="Q16" s="1675"/>
      <c r="R16" s="1811">
        <f>ROUND(M16*N16*O16*P16/10000,0)</f>
        <v>0</v>
      </c>
      <c r="S16" s="1724"/>
      <c r="T16" s="1724"/>
      <c r="U16" s="1724"/>
      <c r="V16" s="1755"/>
    </row>
    <row r="17" spans="1:22" s="1652" customFormat="1" ht="13.15" customHeight="1">
      <c r="A17" s="1711">
        <v>4</v>
      </c>
      <c r="B17" s="3369" t="s">
        <v>1461</v>
      </c>
      <c r="C17" s="3370"/>
      <c r="D17" s="1712">
        <f>ROUND(D6*E17,0)</f>
        <v>0</v>
      </c>
      <c r="E17" s="1713"/>
      <c r="F17" s="1714" t="s">
        <v>1462</v>
      </c>
      <c r="G17" s="1682"/>
      <c r="H17" s="1670"/>
      <c r="I17" s="1755"/>
      <c r="J17" s="3371"/>
      <c r="K17" s="3375"/>
      <c r="L17" s="1775" t="s">
        <v>1463</v>
      </c>
      <c r="M17" s="1776"/>
      <c r="N17" s="1776"/>
      <c r="O17" s="1777"/>
      <c r="P17" s="1708">
        <v>365</v>
      </c>
      <c r="Q17" s="1675"/>
      <c r="R17" s="1811">
        <f>ROUND(M17*N17*O17*P17/10000,0)</f>
        <v>0</v>
      </c>
      <c r="S17" s="1724"/>
      <c r="T17" s="1724"/>
      <c r="U17" s="1724"/>
      <c r="V17" s="1755"/>
    </row>
    <row r="18" spans="1:22" s="1652" customFormat="1" ht="13.15" customHeight="1">
      <c r="A18" s="1683" t="s">
        <v>1464</v>
      </c>
      <c r="B18" s="1684"/>
      <c r="C18" s="1684"/>
      <c r="D18" s="1715">
        <f>ROUND(D6*E18,0)</f>
        <v>0</v>
      </c>
      <c r="E18" s="1716"/>
      <c r="F18" s="1717" t="s">
        <v>1465</v>
      </c>
      <c r="G18" s="1682"/>
      <c r="H18" s="1670"/>
      <c r="I18" s="1755"/>
      <c r="J18" s="3371"/>
      <c r="K18" s="3375"/>
      <c r="L18" s="1775" t="s">
        <v>1466</v>
      </c>
      <c r="M18" s="1776"/>
      <c r="N18" s="1776"/>
      <c r="O18" s="1777"/>
      <c r="P18" s="1708">
        <v>365</v>
      </c>
      <c r="Q18" s="1675"/>
      <c r="R18" s="1811">
        <f>ROUND(M18*N18*O18*P18/10000,0)</f>
        <v>0</v>
      </c>
      <c r="S18" s="1724"/>
      <c r="T18" s="1724"/>
      <c r="U18" s="1724"/>
      <c r="V18" s="1755"/>
    </row>
    <row r="19" spans="1:22" s="1652" customFormat="1" ht="13.15" customHeight="1">
      <c r="A19" s="1718" t="s">
        <v>1467</v>
      </c>
      <c r="B19" s="1680"/>
      <c r="C19" s="1680"/>
      <c r="D19" s="1680"/>
      <c r="E19" s="1680"/>
      <c r="F19" s="1681"/>
      <c r="G19" s="1696"/>
      <c r="H19" s="1670"/>
      <c r="I19" s="1755"/>
      <c r="J19" s="3371"/>
      <c r="K19" s="3376"/>
      <c r="L19" s="1778" t="s">
        <v>1448</v>
      </c>
      <c r="M19" s="1779"/>
      <c r="N19" s="1779">
        <f>SUM(N16:N18)</f>
        <v>0</v>
      </c>
      <c r="O19" s="1780"/>
      <c r="P19" s="1781" t="s">
        <v>1468</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371">
        <v>3</v>
      </c>
      <c r="K20" s="3374" t="s">
        <v>1469</v>
      </c>
      <c r="L20" s="1775" t="s">
        <v>1470</v>
      </c>
      <c r="M20" s="1776" t="s">
        <v>1471</v>
      </c>
      <c r="N20" s="1782" t="s">
        <v>1472</v>
      </c>
      <c r="O20" s="1777" t="s">
        <v>1473</v>
      </c>
      <c r="P20" s="1708" t="s">
        <v>1418</v>
      </c>
      <c r="Q20" s="1675" t="s">
        <v>124</v>
      </c>
      <c r="R20" s="1811" t="s">
        <v>1419</v>
      </c>
      <c r="S20" s="1724"/>
      <c r="T20" s="1724"/>
      <c r="U20" s="1724"/>
      <c r="V20" s="1755"/>
    </row>
    <row r="21" spans="1:22" s="1652" customFormat="1" ht="13.15" customHeight="1">
      <c r="A21" s="1683"/>
      <c r="B21" s="1684"/>
      <c r="C21" s="1691" t="s">
        <v>1474</v>
      </c>
      <c r="D21" s="1720" t="s">
        <v>1475</v>
      </c>
      <c r="E21" s="1692" t="s">
        <v>1476</v>
      </c>
      <c r="F21" s="1719"/>
      <c r="G21" s="1696"/>
      <c r="H21" s="1670"/>
      <c r="I21" s="1755"/>
      <c r="J21" s="3371"/>
      <c r="K21" s="3375"/>
      <c r="L21" s="1775" t="s">
        <v>1477</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1478</v>
      </c>
      <c r="D22" s="1722" t="s">
        <v>1479</v>
      </c>
      <c r="E22" s="1723" t="s">
        <v>1480</v>
      </c>
      <c r="F22" s="1719"/>
      <c r="G22" s="1724"/>
      <c r="H22" s="1670"/>
      <c r="I22" s="1755"/>
      <c r="J22" s="3371"/>
      <c r="K22" s="3375"/>
      <c r="L22" s="1775" t="s">
        <v>1481</v>
      </c>
      <c r="M22" s="1776"/>
      <c r="N22" s="1776"/>
      <c r="O22" s="1777"/>
      <c r="P22" s="1708">
        <v>365</v>
      </c>
      <c r="Q22" s="1675"/>
      <c r="R22" s="1813">
        <f>ROUND(M22*N22*O22*P22/10000,0)</f>
        <v>0</v>
      </c>
      <c r="S22" s="1724"/>
      <c r="T22" s="1724"/>
      <c r="U22" s="1724"/>
      <c r="V22" s="1755"/>
    </row>
    <row r="23" spans="1:22" s="1652" customFormat="1" ht="13.15" customHeight="1">
      <c r="A23" s="1725">
        <v>1</v>
      </c>
      <c r="B23" s="1726" t="s">
        <v>1482</v>
      </c>
      <c r="C23" s="1727">
        <f>D6</f>
        <v>0</v>
      </c>
      <c r="D23" s="1728">
        <f>C23*(1+D24)</f>
        <v>0</v>
      </c>
      <c r="E23" s="1729">
        <f>D23*(1+E24)</f>
        <v>0</v>
      </c>
      <c r="F23" s="1730"/>
      <c r="G23" s="1731"/>
      <c r="H23" s="1670"/>
      <c r="I23" s="1755"/>
      <c r="J23" s="3371"/>
      <c r="K23" s="3375"/>
      <c r="L23" s="1775" t="s">
        <v>1483</v>
      </c>
      <c r="M23" s="1776"/>
      <c r="N23" s="1776"/>
      <c r="O23" s="1777"/>
      <c r="P23" s="1708">
        <v>365</v>
      </c>
      <c r="Q23" s="1675"/>
      <c r="R23" s="1813">
        <f>ROUND(M23*N23*O23*P23/10000,0)</f>
        <v>0</v>
      </c>
      <c r="S23" s="1724"/>
      <c r="T23" s="1724"/>
      <c r="U23" s="1724"/>
      <c r="V23" s="1755"/>
    </row>
    <row r="24" spans="1:22" s="1652" customFormat="1" ht="13.15" customHeight="1">
      <c r="A24" s="1732"/>
      <c r="B24" s="1733" t="s">
        <v>1484</v>
      </c>
      <c r="C24" s="1734"/>
      <c r="D24" s="1735"/>
      <c r="E24" s="1736"/>
      <c r="F24" s="1737"/>
      <c r="G24" s="1731"/>
      <c r="H24" s="1670"/>
      <c r="I24" s="1755"/>
      <c r="J24" s="3371"/>
      <c r="K24" s="3376"/>
      <c r="L24" s="1778" t="s">
        <v>1448</v>
      </c>
      <c r="M24" s="1779">
        <f>SUM(M21:M23)</f>
        <v>0</v>
      </c>
      <c r="N24" s="1779"/>
      <c r="O24" s="1780"/>
      <c r="P24" s="1781" t="s">
        <v>1468</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1485</v>
      </c>
      <c r="L25" s="1784"/>
      <c r="M25" s="1784"/>
      <c r="N25" s="1784"/>
      <c r="O25" s="1784"/>
      <c r="P25" s="1785"/>
      <c r="Q25" s="1814">
        <v>0</v>
      </c>
      <c r="R25" s="1812">
        <f>ROUND(R14*Q25,0)</f>
        <v>0</v>
      </c>
      <c r="S25" s="1724"/>
      <c r="T25" s="1724"/>
      <c r="U25" s="1724"/>
      <c r="V25" s="1791"/>
    </row>
    <row r="26" spans="1:22" s="1653" customFormat="1" ht="13.15" customHeight="1">
      <c r="A26" s="1725">
        <v>2</v>
      </c>
      <c r="B26" s="1726" t="s">
        <v>1486</v>
      </c>
      <c r="C26" s="1727">
        <f>D7</f>
        <v>0</v>
      </c>
      <c r="D26" s="1728">
        <f>D23*D27</f>
        <v>0</v>
      </c>
      <c r="E26" s="1729">
        <f>E23*E27</f>
        <v>0</v>
      </c>
      <c r="F26" s="1730"/>
      <c r="G26" s="1731"/>
      <c r="H26" s="1670"/>
      <c r="I26" s="1755"/>
      <c r="J26" s="3372">
        <v>5</v>
      </c>
      <c r="K26" s="1786" t="s">
        <v>1487</v>
      </c>
      <c r="L26" s="1787"/>
      <c r="M26" s="1788"/>
      <c r="N26" s="1789" t="s">
        <v>469</v>
      </c>
      <c r="O26" s="1789" t="s">
        <v>1488</v>
      </c>
      <c r="P26" s="1790" t="s">
        <v>1489</v>
      </c>
      <c r="Q26" s="1790" t="s">
        <v>1490</v>
      </c>
      <c r="R26" s="1806" t="s">
        <v>1419</v>
      </c>
      <c r="S26" s="1696"/>
      <c r="T26" s="1696"/>
      <c r="U26" s="1696"/>
      <c r="V26" s="1791"/>
    </row>
    <row r="27" spans="1:22" s="1652" customFormat="1" ht="13.15" customHeight="1">
      <c r="A27" s="1732"/>
      <c r="B27" s="1733" t="s">
        <v>1491</v>
      </c>
      <c r="C27" s="1738" t="e">
        <f>E7</f>
        <v>#DIV/0!</v>
      </c>
      <c r="D27" s="1735"/>
      <c r="E27" s="1736"/>
      <c r="F27" s="1737"/>
      <c r="G27" s="1731"/>
      <c r="H27" s="1739"/>
      <c r="I27" s="1791"/>
      <c r="J27" s="3373"/>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1492</v>
      </c>
      <c r="F28" s="1737"/>
      <c r="G28" s="1724"/>
      <c r="H28" s="1739"/>
      <c r="I28" s="1791"/>
      <c r="J28" s="1796">
        <v>6</v>
      </c>
      <c r="K28" s="1797" t="s">
        <v>1493</v>
      </c>
      <c r="L28" s="1798" t="s">
        <v>1494</v>
      </c>
      <c r="M28" s="1799"/>
      <c r="N28" s="1798" t="s">
        <v>1495</v>
      </c>
      <c r="O28" s="1800"/>
      <c r="P28" s="1798" t="s">
        <v>1496</v>
      </c>
      <c r="Q28" s="1816">
        <v>1.4999999999999999E-2</v>
      </c>
      <c r="R28" s="1817"/>
      <c r="S28" s="1724"/>
      <c r="T28" s="1724"/>
      <c r="U28" s="1724"/>
      <c r="V28" s="1791"/>
    </row>
    <row r="29" spans="1:22" s="1653" customFormat="1" ht="13.15" customHeight="1">
      <c r="A29" s="1725">
        <v>3</v>
      </c>
      <c r="B29" s="1726" t="s">
        <v>1497</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1491</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1498</v>
      </c>
      <c r="K31" s="1765"/>
      <c r="L31" s="1765"/>
      <c r="M31" s="1765"/>
      <c r="N31" s="1765"/>
      <c r="O31" s="1765"/>
      <c r="P31" s="1765"/>
      <c r="Q31" s="1765"/>
      <c r="R31" s="1802"/>
      <c r="S31" s="1724"/>
      <c r="T31" s="1724"/>
      <c r="U31" s="1724"/>
      <c r="V31" s="1791"/>
    </row>
    <row r="32" spans="1:22" s="1653" customFormat="1" ht="13.15" customHeight="1">
      <c r="A32" s="1725">
        <v>4</v>
      </c>
      <c r="B32" s="1726" t="s">
        <v>1499</v>
      </c>
      <c r="C32" s="1727">
        <f>C23-C26-C29</f>
        <v>0</v>
      </c>
      <c r="D32" s="1728">
        <f>D23-D26-D29</f>
        <v>0</v>
      </c>
      <c r="E32" s="1729">
        <f>E23-E26-E29</f>
        <v>0</v>
      </c>
      <c r="F32" s="1730"/>
      <c r="G32" s="1724"/>
      <c r="H32" s="1670"/>
      <c r="I32" s="1755"/>
      <c r="J32" s="3358" t="s">
        <v>1399</v>
      </c>
      <c r="K32" s="3359"/>
      <c r="L32" s="1766" t="s">
        <v>1400</v>
      </c>
      <c r="M32" s="1766" t="s">
        <v>1401</v>
      </c>
      <c r="N32" s="1766" t="s">
        <v>1402</v>
      </c>
      <c r="O32" s="1766" t="s">
        <v>1403</v>
      </c>
      <c r="P32" s="1766" t="s">
        <v>1404</v>
      </c>
      <c r="Q32" s="1803" t="s">
        <v>1405</v>
      </c>
      <c r="R32" s="1818" t="s">
        <v>1406</v>
      </c>
      <c r="S32" s="1724"/>
      <c r="T32" s="1724"/>
      <c r="U32" s="1724"/>
      <c r="V32" s="1791"/>
    </row>
    <row r="33" spans="1:23" s="1652" customFormat="1" ht="13.15" customHeight="1">
      <c r="A33" s="1725"/>
      <c r="B33" s="1726"/>
      <c r="C33" s="1727"/>
      <c r="D33" s="1742"/>
      <c r="E33" s="1702"/>
      <c r="F33" s="1730"/>
      <c r="G33" s="1724"/>
      <c r="H33" s="1739"/>
      <c r="I33" s="1791"/>
      <c r="J33" s="3360" t="s">
        <v>1407</v>
      </c>
      <c r="K33" s="3361"/>
      <c r="L33" s="1767"/>
      <c r="M33" s="1767"/>
      <c r="N33" s="1767"/>
      <c r="O33" s="1767"/>
      <c r="P33" s="1767"/>
      <c r="Q33" s="1805"/>
      <c r="R33" s="1819">
        <f>SUM(L33:Q33)</f>
        <v>0</v>
      </c>
      <c r="S33" s="1724"/>
      <c r="T33" s="1724"/>
      <c r="U33" s="1724"/>
      <c r="V33" s="1755"/>
    </row>
    <row r="34" spans="1:23" s="1652" customFormat="1" ht="13.15" customHeight="1">
      <c r="A34" s="1725">
        <v>5</v>
      </c>
      <c r="B34" s="1726" t="s">
        <v>1500</v>
      </c>
      <c r="C34" s="1743"/>
      <c r="D34" s="1744"/>
      <c r="E34" s="1745"/>
      <c r="F34" s="1730"/>
      <c r="G34" s="1724"/>
      <c r="H34" s="1739"/>
      <c r="I34" s="1791"/>
      <c r="J34" s="3360" t="s">
        <v>1408</v>
      </c>
      <c r="K34" s="3361"/>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1501</v>
      </c>
      <c r="C35" s="1746"/>
      <c r="D35" s="1747"/>
      <c r="E35" s="1748"/>
      <c r="F35" s="1730"/>
      <c r="G35" s="1749"/>
      <c r="H35" s="1670"/>
      <c r="I35" s="1791"/>
      <c r="J35" s="1769" t="s">
        <v>1409</v>
      </c>
      <c r="K35" s="1770"/>
      <c r="L35" s="1770"/>
      <c r="M35" s="1771"/>
      <c r="N35" s="1771"/>
      <c r="O35" s="1771"/>
      <c r="P35" s="1771"/>
      <c r="Q35" s="1771"/>
      <c r="R35" s="1821">
        <f>R40+R41+R43</f>
        <v>0</v>
      </c>
      <c r="S35" s="1724"/>
      <c r="T35" s="1724" t="s">
        <v>1410</v>
      </c>
      <c r="U35" s="1724"/>
      <c r="V35" s="1755"/>
    </row>
    <row r="36" spans="1:23" s="1652" customFormat="1" ht="13.15" customHeight="1">
      <c r="A36" s="1725">
        <v>7</v>
      </c>
      <c r="B36" s="1750" t="s">
        <v>1502</v>
      </c>
      <c r="C36" s="1751"/>
      <c r="D36" s="1752"/>
      <c r="E36" s="1753"/>
      <c r="F36" s="1754">
        <f>C36+D36+E36</f>
        <v>0</v>
      </c>
      <c r="G36" s="1724"/>
      <c r="H36" s="1670"/>
      <c r="I36" s="1755"/>
      <c r="J36" s="3371">
        <v>1</v>
      </c>
      <c r="K36" s="3374" t="s">
        <v>1503</v>
      </c>
      <c r="L36" s="1773"/>
      <c r="M36" s="1774"/>
      <c r="N36" s="1774"/>
      <c r="O36" s="1774"/>
      <c r="P36" s="1774"/>
      <c r="Q36" s="1774"/>
      <c r="R36" s="1806" t="s">
        <v>1419</v>
      </c>
      <c r="S36" s="1724"/>
      <c r="T36" s="1724" t="s">
        <v>1420</v>
      </c>
      <c r="U36" s="1724"/>
      <c r="V36" s="1755"/>
    </row>
    <row r="37" spans="1:23" s="1652" customFormat="1" ht="13.15" customHeight="1">
      <c r="A37" s="1725"/>
      <c r="B37" s="1726"/>
      <c r="C37" s="1726"/>
      <c r="D37" s="1726"/>
      <c r="E37" s="1726"/>
      <c r="F37" s="1730"/>
      <c r="G37" s="1724"/>
      <c r="H37" s="1670"/>
      <c r="I37" s="1755"/>
      <c r="J37" s="3371"/>
      <c r="K37" s="3375"/>
      <c r="L37" s="1775"/>
      <c r="M37" s="1776"/>
      <c r="N37" s="1675"/>
      <c r="O37" s="1777"/>
      <c r="P37" s="1777"/>
      <c r="Q37" s="1708"/>
      <c r="R37" s="1809"/>
      <c r="S37" s="1724"/>
      <c r="T37" s="1724" t="s">
        <v>1423</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371"/>
      <c r="K38" s="3375"/>
      <c r="L38" s="1775"/>
      <c r="M38" s="1776"/>
      <c r="N38" s="1675"/>
      <c r="O38" s="1777"/>
      <c r="P38" s="1777"/>
      <c r="Q38" s="1708"/>
      <c r="R38" s="1809"/>
      <c r="S38" s="1724"/>
      <c r="T38" s="1724" t="s">
        <v>1430</v>
      </c>
      <c r="U38" s="1724"/>
      <c r="V38" s="1755"/>
    </row>
    <row r="39" spans="1:23" s="1652" customFormat="1" ht="13.15" customHeight="1">
      <c r="A39" s="1725">
        <v>9</v>
      </c>
      <c r="B39" s="1726" t="s">
        <v>1504</v>
      </c>
      <c r="C39" s="1703" t="e">
        <f>C38</f>
        <v>#DIV/0!</v>
      </c>
      <c r="D39" s="1726">
        <f>D38/(1+D34)^C36</f>
        <v>0</v>
      </c>
      <c r="E39" s="1726">
        <f>E38/(1+E34)^(C36+D36)</f>
        <v>0</v>
      </c>
      <c r="F39" s="1730"/>
      <c r="G39" s="1755"/>
      <c r="H39" s="1670"/>
      <c r="I39" s="1755"/>
      <c r="J39" s="3371"/>
      <c r="K39" s="3375"/>
      <c r="L39" s="1775"/>
      <c r="M39" s="1776"/>
      <c r="N39" s="1675"/>
      <c r="O39" s="1777"/>
      <c r="P39" s="1777"/>
      <c r="Q39" s="1708"/>
      <c r="R39" s="1809"/>
      <c r="S39" s="1724"/>
      <c r="T39" s="1724"/>
      <c r="U39" s="1724"/>
      <c r="V39" s="1755"/>
    </row>
    <row r="40" spans="1:23" s="1652" customFormat="1" ht="13.15" customHeight="1">
      <c r="A40" s="1756">
        <v>10</v>
      </c>
      <c r="B40" s="1726" t="s">
        <v>1505</v>
      </c>
      <c r="C40" s="1757" t="e">
        <f>C39+D39+E39</f>
        <v>#DIV/0!</v>
      </c>
      <c r="D40" s="1758"/>
      <c r="E40" s="1758"/>
      <c r="F40" s="1759"/>
      <c r="G40" s="1724"/>
      <c r="H40" s="1670"/>
      <c r="I40" s="1755"/>
      <c r="J40" s="3371"/>
      <c r="K40" s="3376"/>
      <c r="L40" s="1778" t="s">
        <v>1448</v>
      </c>
      <c r="M40" s="1779"/>
      <c r="N40" s="1779"/>
      <c r="O40" s="1780"/>
      <c r="P40" s="1780"/>
      <c r="Q40" s="1810"/>
      <c r="R40" s="1804">
        <f>SUM(R37:R39)</f>
        <v>0</v>
      </c>
      <c r="S40" s="1724"/>
      <c r="T40" s="1724"/>
      <c r="U40" s="1724"/>
      <c r="V40" s="1755"/>
    </row>
    <row r="41" spans="1:23" s="1652" customFormat="1" ht="13.15" customHeight="1">
      <c r="A41" s="1760">
        <v>11</v>
      </c>
      <c r="B41" s="1761" t="s">
        <v>1506</v>
      </c>
      <c r="C41" s="1761" t="e">
        <f>ROUND(C40*10000/B4,0)</f>
        <v>#DIV/0!</v>
      </c>
      <c r="D41" s="1762"/>
      <c r="E41" s="1762"/>
      <c r="F41" s="1763"/>
      <c r="G41" s="1670"/>
      <c r="H41" s="1670"/>
      <c r="I41" s="1755"/>
      <c r="J41" s="1772">
        <v>2</v>
      </c>
      <c r="K41" s="1783" t="s">
        <v>1485</v>
      </c>
      <c r="L41" s="1784"/>
      <c r="M41" s="1784"/>
      <c r="N41" s="1784"/>
      <c r="O41" s="1784"/>
      <c r="P41" s="1785"/>
      <c r="Q41" s="1814"/>
      <c r="R41" s="1812">
        <f>ROUND(R40*Q41,0)</f>
        <v>0</v>
      </c>
      <c r="S41" s="1724"/>
      <c r="T41" s="1724"/>
      <c r="U41" s="1696"/>
      <c r="V41" s="1755"/>
    </row>
    <row r="42" spans="1:23" s="1652" customFormat="1" ht="13.15" customHeight="1">
      <c r="G42" s="1670"/>
      <c r="H42" s="1670"/>
      <c r="I42" s="1755"/>
      <c r="J42" s="3372">
        <v>3</v>
      </c>
      <c r="K42" s="1786" t="s">
        <v>1487</v>
      </c>
      <c r="L42" s="1787"/>
      <c r="M42" s="1788"/>
      <c r="N42" s="1789" t="s">
        <v>469</v>
      </c>
      <c r="O42" s="1789" t="s">
        <v>1488</v>
      </c>
      <c r="P42" s="1790" t="s">
        <v>1489</v>
      </c>
      <c r="Q42" s="1790" t="s">
        <v>1490</v>
      </c>
      <c r="R42" s="1806" t="s">
        <v>1419</v>
      </c>
      <c r="S42" s="1696"/>
      <c r="T42" s="1696"/>
      <c r="U42" s="1724"/>
      <c r="V42" s="1755"/>
    </row>
    <row r="43" spans="1:23" ht="13.15" customHeight="1">
      <c r="A43" s="1652"/>
      <c r="B43" s="1652"/>
      <c r="C43" s="1652"/>
      <c r="D43" s="1652"/>
      <c r="E43" s="1652"/>
      <c r="F43" s="1652"/>
      <c r="I43" s="1655"/>
      <c r="J43" s="3373"/>
      <c r="K43" s="1792"/>
      <c r="L43" s="1793"/>
      <c r="M43" s="1794"/>
      <c r="N43" s="1776"/>
      <c r="O43" s="1776"/>
      <c r="P43" s="1776"/>
      <c r="Q43" s="1814"/>
      <c r="R43" s="1812">
        <f>ROUND(O43*N43*P43*(1-Q43)/10000,0)</f>
        <v>0</v>
      </c>
      <c r="S43" s="1724"/>
      <c r="T43" s="1724"/>
      <c r="V43" s="1657"/>
      <c r="W43" s="1822"/>
    </row>
    <row r="44" spans="1:23" ht="13.15" customHeight="1">
      <c r="J44" s="1796">
        <v>6</v>
      </c>
      <c r="K44" s="1797" t="s">
        <v>1493</v>
      </c>
      <c r="L44" s="1801" t="s">
        <v>1494</v>
      </c>
      <c r="M44" s="1799"/>
      <c r="N44" s="1801" t="s">
        <v>1495</v>
      </c>
      <c r="O44" s="1799"/>
      <c r="P44" s="1801" t="s">
        <v>1496</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1507</v>
      </c>
      <c r="B1" s="681"/>
      <c r="C1" s="681"/>
      <c r="D1" s="681"/>
      <c r="E1" s="1634"/>
      <c r="F1" s="1635"/>
      <c r="G1" s="1505"/>
      <c r="H1" s="1505"/>
      <c r="I1" s="1505"/>
      <c r="J1" s="1505"/>
      <c r="K1" s="1505"/>
      <c r="L1" s="1505"/>
      <c r="M1" s="1505"/>
      <c r="N1" s="1505"/>
      <c r="O1" s="1505"/>
      <c r="P1" s="1505"/>
      <c r="Q1" s="1505"/>
      <c r="R1" s="1505"/>
      <c r="S1" s="1505"/>
    </row>
    <row r="2" spans="1:22" ht="15.75">
      <c r="A2" s="1636" t="s">
        <v>1037</v>
      </c>
      <c r="B2" s="709">
        <f ca="1">SUMIF(B6:B13,"&lt;&gt;#ref!",B6:B13)</f>
        <v>9610</v>
      </c>
      <c r="C2" s="1637" t="s">
        <v>1508</v>
      </c>
      <c r="D2" s="1638" t="s">
        <v>1509</v>
      </c>
      <c r="E2" s="1639">
        <f>SUM(E6:E13)</f>
        <v>12749.85</v>
      </c>
      <c r="F2" s="1635"/>
      <c r="G2" s="1505"/>
      <c r="H2" s="1505"/>
      <c r="I2" s="1505"/>
      <c r="J2" s="1505"/>
      <c r="K2" s="1505"/>
      <c r="L2" s="1505"/>
      <c r="M2" s="1505"/>
      <c r="N2" s="1505"/>
      <c r="O2" s="1505"/>
      <c r="P2" s="1505"/>
      <c r="Q2" s="1505"/>
      <c r="R2" s="1505"/>
      <c r="S2" s="1505"/>
    </row>
    <row r="3" spans="1:22" ht="15.75">
      <c r="A3" s="1636" t="s">
        <v>1039</v>
      </c>
      <c r="B3" s="1640">
        <f ca="1">ROUND(B2*10000/E2,0)</f>
        <v>7537</v>
      </c>
      <c r="C3" s="1637" t="s">
        <v>1510</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1511</v>
      </c>
      <c r="B5" s="3377" t="s">
        <v>1512</v>
      </c>
      <c r="C5" s="3378"/>
      <c r="D5" s="1645"/>
      <c r="E5" s="1644" t="s">
        <v>1513</v>
      </c>
      <c r="F5" s="1602" t="s">
        <v>1514</v>
      </c>
      <c r="G5" s="1505"/>
      <c r="H5" s="1505"/>
      <c r="I5" s="1505"/>
      <c r="J5" s="1505"/>
      <c r="K5" s="1505"/>
      <c r="L5" s="1505"/>
      <c r="M5" s="1505"/>
      <c r="N5" s="1505"/>
      <c r="O5" s="1505"/>
      <c r="P5" s="1505"/>
      <c r="Q5" s="1505"/>
      <c r="R5" s="1505"/>
      <c r="S5" s="1505"/>
    </row>
    <row r="6" spans="1:22">
      <c r="A6" s="1646" t="str">
        <f>'数据-取费表'!AN6</f>
        <v>收益法</v>
      </c>
      <c r="B6" s="880">
        <f ca="1">IF(F6="是",'数据-取费表'!AO6,0)</f>
        <v>9610</v>
      </c>
      <c r="C6" s="1637" t="s">
        <v>1508</v>
      </c>
      <c r="D6" s="1635"/>
      <c r="E6" s="1647">
        <f>IF(OR(A6=0,F6="否"),0,'数据-取费表'!K6+'数据-取费表'!S6)</f>
        <v>12749.85</v>
      </c>
      <c r="F6" s="1648" t="s">
        <v>1515</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1508</v>
      </c>
      <c r="D7" s="1635"/>
      <c r="E7" s="1647">
        <f>IF(OR(A7=0,F7="否"),0,'数据-取费表'!K7+'数据-取费表'!S7)</f>
        <v>0</v>
      </c>
      <c r="F7" s="1648" t="s">
        <v>1515</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1508</v>
      </c>
      <c r="D8" s="1635"/>
      <c r="E8" s="1647">
        <f>IF(OR(A8=0,F8="否"),0,'数据-取费表'!K8+'数据-取费表'!S8)</f>
        <v>0</v>
      </c>
      <c r="F8" s="1648" t="s">
        <v>1515</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1508</v>
      </c>
      <c r="D9" s="1635"/>
      <c r="E9" s="1647">
        <f>IF(OR(A9=0,F9="否"),0,'数据-取费表'!K9+'数据-取费表'!S9)</f>
        <v>0</v>
      </c>
      <c r="F9" s="1648" t="s">
        <v>1515</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1508</v>
      </c>
      <c r="D10" s="1635"/>
      <c r="E10" s="1647">
        <f>IF(OR(A10=0,F10="否"),0,'数据-取费表'!K10+'数据-取费表'!S10)</f>
        <v>0</v>
      </c>
      <c r="F10" s="1648" t="s">
        <v>1515</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1508</v>
      </c>
      <c r="D11" s="1635"/>
      <c r="E11" s="1647">
        <f>IF(OR(A11=0,F11="否"),0,'数据-取费表'!K11+'数据-取费表'!S11)</f>
        <v>0</v>
      </c>
      <c r="F11" s="1648" t="s">
        <v>1515</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1508</v>
      </c>
      <c r="D12" s="1635"/>
      <c r="E12" s="1647">
        <f>IF(OR(A12=0,F12="否"),0,'数据-取费表'!K12+'数据-取费表'!S12)</f>
        <v>0</v>
      </c>
      <c r="F12" s="1648" t="s">
        <v>1515</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1508</v>
      </c>
      <c r="D13" s="1651"/>
      <c r="E13" s="1647">
        <f>IF(OR(A13=0,F13="否"),0,'数据-取费表'!K13+'数据-取费表'!S13)</f>
        <v>0</v>
      </c>
      <c r="F13" s="1648" t="s">
        <v>1515</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1516</v>
      </c>
      <c r="B1" s="1536" t="s">
        <v>1517</v>
      </c>
      <c r="C1" s="1409" t="s">
        <v>1518</v>
      </c>
      <c r="D1" s="1368"/>
      <c r="E1" s="1537"/>
      <c r="F1" s="1370"/>
      <c r="G1" s="1371" t="s">
        <v>1519</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1037</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1038</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1039</v>
      </c>
      <c r="B3" s="1379">
        <f>IF(C2="——",C49,ROUND(B2*10000/D3,0))</f>
        <v>0</v>
      </c>
      <c r="C3" s="1378" t="s">
        <v>1520</v>
      </c>
      <c r="D3" s="1379">
        <f>IF(D1="",'数据-汇总表'!E3,SUMIF('数据-汇总表'!$C19:$C33,D1,'数据-汇总表'!$E19:$E33))</f>
        <v>12749.85</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1521</v>
      </c>
      <c r="B4" s="1024"/>
      <c r="C4" s="3379" t="s">
        <v>1522</v>
      </c>
      <c r="D4" s="3380"/>
      <c r="E4" s="3381" t="s">
        <v>1523</v>
      </c>
      <c r="F4" s="3382"/>
      <c r="G4" s="3379" t="s">
        <v>1524</v>
      </c>
      <c r="H4" s="3380"/>
      <c r="I4" s="3379" t="s">
        <v>1525</v>
      </c>
      <c r="J4" s="3380"/>
      <c r="K4" s="1571" t="s">
        <v>1526</v>
      </c>
      <c r="L4" s="1170"/>
      <c r="M4" s="1120"/>
      <c r="N4" s="1120"/>
      <c r="O4" s="1120"/>
      <c r="P4" s="3412" t="s">
        <v>1527</v>
      </c>
      <c r="Q4" s="3413"/>
      <c r="R4" s="3418" t="s">
        <v>1523</v>
      </c>
      <c r="S4" s="3419"/>
      <c r="T4" s="3418" t="s">
        <v>1524</v>
      </c>
      <c r="U4" s="3419"/>
      <c r="V4" s="3395" t="s">
        <v>1525</v>
      </c>
      <c r="W4" s="3395"/>
      <c r="X4" s="1218"/>
      <c r="Y4" s="3418" t="s">
        <v>1527</v>
      </c>
      <c r="Z4" s="3419"/>
      <c r="AA4" s="3409" t="s">
        <v>1523</v>
      </c>
      <c r="AB4" s="3409" t="s">
        <v>1524</v>
      </c>
      <c r="AC4" s="3409" t="s">
        <v>1525</v>
      </c>
    </row>
    <row r="5" spans="1:29" ht="15">
      <c r="A5" s="1027"/>
      <c r="B5" s="1028"/>
      <c r="C5" s="3383" t="s">
        <v>1528</v>
      </c>
      <c r="D5" s="3384"/>
      <c r="E5" s="3385" t="s">
        <v>1529</v>
      </c>
      <c r="F5" s="3386"/>
      <c r="G5" s="3383" t="s">
        <v>1530</v>
      </c>
      <c r="H5" s="3384"/>
      <c r="I5" s="3383" t="s">
        <v>1531</v>
      </c>
      <c r="J5" s="3384"/>
      <c r="K5" s="1572"/>
      <c r="L5" s="1170"/>
      <c r="M5" s="1120"/>
      <c r="N5" s="1120"/>
      <c r="O5" s="1120"/>
      <c r="P5" s="3414"/>
      <c r="Q5" s="3415"/>
      <c r="R5" s="3420"/>
      <c r="S5" s="3421"/>
      <c r="T5" s="3420"/>
      <c r="U5" s="3421"/>
      <c r="V5" s="3395"/>
      <c r="W5" s="3395"/>
      <c r="X5" s="1218"/>
      <c r="Y5" s="3420"/>
      <c r="Z5" s="3421"/>
      <c r="AA5" s="3410"/>
      <c r="AB5" s="3410"/>
      <c r="AC5" s="3410"/>
    </row>
    <row r="6" spans="1:29" ht="15">
      <c r="A6" s="1029"/>
      <c r="B6" s="1030"/>
      <c r="C6" s="3387" t="s">
        <v>1532</v>
      </c>
      <c r="D6" s="3388"/>
      <c r="E6" s="3389" t="s">
        <v>1532</v>
      </c>
      <c r="F6" s="3390"/>
      <c r="G6" s="3387" t="s">
        <v>1532</v>
      </c>
      <c r="H6" s="3388"/>
      <c r="I6" s="3387" t="s">
        <v>1532</v>
      </c>
      <c r="J6" s="3388"/>
      <c r="K6" s="1572" t="s">
        <v>1533</v>
      </c>
      <c r="L6" s="1170"/>
      <c r="M6" s="1120"/>
      <c r="N6" s="1120"/>
      <c r="O6" s="1120"/>
      <c r="P6" s="3416"/>
      <c r="Q6" s="3417"/>
      <c r="R6" s="3420"/>
      <c r="S6" s="3421"/>
      <c r="T6" s="3422"/>
      <c r="U6" s="3423"/>
      <c r="V6" s="3395"/>
      <c r="W6" s="3395"/>
      <c r="X6" s="1218"/>
      <c r="Y6" s="3422"/>
      <c r="Z6" s="3423"/>
      <c r="AA6" s="3411"/>
      <c r="AB6" s="3411"/>
      <c r="AC6" s="3411"/>
    </row>
    <row r="7" spans="1:29" s="1004" customFormat="1" ht="15">
      <c r="A7" s="1032" t="s">
        <v>1534</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391" t="s">
        <v>1535</v>
      </c>
      <c r="Q7" s="3392"/>
      <c r="R7" s="1219" t="s">
        <v>1536</v>
      </c>
      <c r="S7" s="1220">
        <f t="shared" ref="S7:S15" si="0">F7</f>
        <v>0</v>
      </c>
      <c r="T7" s="1219" t="s">
        <v>1536</v>
      </c>
      <c r="U7" s="1220">
        <f t="shared" ref="U7:U15" si="1">H7</f>
        <v>0</v>
      </c>
      <c r="V7" s="1219" t="s">
        <v>1536</v>
      </c>
      <c r="W7" s="1220">
        <f t="shared" ref="W7:W15" si="2">J7</f>
        <v>0</v>
      </c>
      <c r="X7" s="1221"/>
      <c r="Y7" s="3391" t="s">
        <v>1535</v>
      </c>
      <c r="Z7" s="3393"/>
      <c r="AA7" s="1231" t="e">
        <f>D7/F7</f>
        <v>#DIV/0!</v>
      </c>
      <c r="AB7" s="1231" t="e">
        <f>D7/H7</f>
        <v>#DIV/0!</v>
      </c>
      <c r="AC7" s="1231" t="e">
        <f>D7/J7</f>
        <v>#DIV/0!</v>
      </c>
    </row>
    <row r="8" spans="1:29" s="1004" customFormat="1" ht="15">
      <c r="A8" s="1032" t="s">
        <v>1537</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391" t="s">
        <v>1538</v>
      </c>
      <c r="Q8" s="3393"/>
      <c r="R8" s="1219" t="s">
        <v>1536</v>
      </c>
      <c r="S8" s="1220">
        <f t="shared" si="0"/>
        <v>100</v>
      </c>
      <c r="T8" s="1219" t="s">
        <v>1536</v>
      </c>
      <c r="U8" s="1220">
        <f t="shared" si="1"/>
        <v>100</v>
      </c>
      <c r="V8" s="1219" t="s">
        <v>1536</v>
      </c>
      <c r="W8" s="1220">
        <f t="shared" si="2"/>
        <v>100</v>
      </c>
      <c r="X8" s="1221"/>
      <c r="Y8" s="3391" t="s">
        <v>1538</v>
      </c>
      <c r="Z8" s="3393"/>
      <c r="AA8" s="1231">
        <f t="shared" ref="AA8:AA19" si="3">D8/F8</f>
        <v>1</v>
      </c>
      <c r="AB8" s="1231">
        <f t="shared" ref="AB8:AB19" si="4">D8/H8</f>
        <v>1</v>
      </c>
      <c r="AC8" s="1231">
        <f t="shared" ref="AC8:AC19" si="5">D8/J8</f>
        <v>1</v>
      </c>
    </row>
    <row r="9" spans="1:29" s="1004" customFormat="1">
      <c r="A9" s="1040" t="s">
        <v>1539</v>
      </c>
      <c r="B9" s="1041" t="s">
        <v>1540</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399" t="s">
        <v>1541</v>
      </c>
      <c r="Q9" s="790" t="str">
        <f t="shared" ref="Q9:Q15" si="6">B9</f>
        <v>用途</v>
      </c>
      <c r="R9" s="1219" t="s">
        <v>1536</v>
      </c>
      <c r="S9" s="1220">
        <f t="shared" si="0"/>
        <v>100</v>
      </c>
      <c r="T9" s="1219" t="s">
        <v>1536</v>
      </c>
      <c r="U9" s="1220">
        <f t="shared" si="1"/>
        <v>100</v>
      </c>
      <c r="V9" s="1219" t="s">
        <v>1536</v>
      </c>
      <c r="W9" s="1220">
        <f t="shared" si="2"/>
        <v>100</v>
      </c>
      <c r="X9" s="1221"/>
      <c r="Y9" s="3331" t="s">
        <v>1542</v>
      </c>
      <c r="Z9" s="1231" t="str">
        <f t="shared" ref="Z9:Z15" si="7">Q9</f>
        <v>用途</v>
      </c>
      <c r="AA9" s="1231">
        <f t="shared" si="3"/>
        <v>1</v>
      </c>
      <c r="AB9" s="1231">
        <f t="shared" si="4"/>
        <v>1</v>
      </c>
      <c r="AC9" s="1231">
        <f t="shared" si="5"/>
        <v>1</v>
      </c>
    </row>
    <row r="10" spans="1:29" s="1005" customFormat="1" ht="27">
      <c r="A10" s="1044"/>
      <c r="B10" s="1045" t="s">
        <v>1543</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399"/>
      <c r="Q10" s="790" t="str">
        <f t="shared" si="6"/>
        <v>土地使用年限（年）</v>
      </c>
      <c r="R10" s="1219" t="s">
        <v>1536</v>
      </c>
      <c r="S10" s="1220">
        <f t="shared" si="0"/>
        <v>100</v>
      </c>
      <c r="T10" s="1219" t="s">
        <v>1536</v>
      </c>
      <c r="U10" s="1220">
        <f t="shared" si="1"/>
        <v>100</v>
      </c>
      <c r="V10" s="1219" t="s">
        <v>1536</v>
      </c>
      <c r="W10" s="1220">
        <f t="shared" si="2"/>
        <v>100</v>
      </c>
      <c r="X10" s="1221"/>
      <c r="Y10" s="3331"/>
      <c r="Z10" s="1231" t="str">
        <f t="shared" si="7"/>
        <v>土地使用年限（年）</v>
      </c>
      <c r="AA10" s="1231">
        <f t="shared" si="3"/>
        <v>1</v>
      </c>
      <c r="AB10" s="1231">
        <f t="shared" si="4"/>
        <v>1</v>
      </c>
      <c r="AC10" s="1231">
        <f t="shared" si="5"/>
        <v>1</v>
      </c>
    </row>
    <row r="11" spans="1:29" ht="15">
      <c r="A11" s="1048"/>
      <c r="B11" s="1045" t="s">
        <v>1544</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399"/>
      <c r="Q11" s="790" t="str">
        <f t="shared" si="6"/>
        <v>容积率</v>
      </c>
      <c r="R11" s="1219" t="s">
        <v>1536</v>
      </c>
      <c r="S11" s="1220" t="e">
        <f t="shared" si="0"/>
        <v>#N/A</v>
      </c>
      <c r="T11" s="1219" t="s">
        <v>1536</v>
      </c>
      <c r="U11" s="1220" t="e">
        <f t="shared" si="1"/>
        <v>#N/A</v>
      </c>
      <c r="V11" s="1219" t="s">
        <v>1536</v>
      </c>
      <c r="W11" s="1220" t="e">
        <f t="shared" si="2"/>
        <v>#N/A</v>
      </c>
      <c r="X11" s="1221"/>
      <c r="Y11" s="333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399"/>
      <c r="Q12" s="790">
        <f t="shared" si="6"/>
        <v>111</v>
      </c>
      <c r="R12" s="1219" t="s">
        <v>1536</v>
      </c>
      <c r="S12" s="1220">
        <f t="shared" si="0"/>
        <v>100</v>
      </c>
      <c r="T12" s="1219" t="s">
        <v>1536</v>
      </c>
      <c r="U12" s="1220">
        <f t="shared" si="1"/>
        <v>100</v>
      </c>
      <c r="V12" s="1219" t="s">
        <v>1536</v>
      </c>
      <c r="W12" s="1220">
        <f t="shared" si="2"/>
        <v>100</v>
      </c>
      <c r="X12" s="1221"/>
      <c r="Y12" s="3331"/>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399"/>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399"/>
      <c r="Q14" s="790">
        <f t="shared" si="6"/>
        <v>111</v>
      </c>
      <c r="R14" s="1219" t="s">
        <v>1536</v>
      </c>
      <c r="S14" s="1220">
        <f t="shared" si="0"/>
        <v>100</v>
      </c>
      <c r="T14" s="1219" t="s">
        <v>1536</v>
      </c>
      <c r="U14" s="1220">
        <f t="shared" si="1"/>
        <v>100</v>
      </c>
      <c r="V14" s="1219" t="s">
        <v>1536</v>
      </c>
      <c r="W14" s="1220">
        <f t="shared" si="2"/>
        <v>100</v>
      </c>
      <c r="X14" s="1221"/>
      <c r="Y14" s="3331"/>
      <c r="Z14" s="1231">
        <f t="shared" si="7"/>
        <v>111</v>
      </c>
      <c r="AA14" s="1231">
        <f t="shared" si="3"/>
        <v>1</v>
      </c>
      <c r="AB14" s="1231">
        <f t="shared" si="4"/>
        <v>1</v>
      </c>
      <c r="AC14" s="1231">
        <f t="shared" si="5"/>
        <v>1</v>
      </c>
    </row>
    <row r="15" spans="1:29" ht="85.5">
      <c r="A15" s="1061" t="s">
        <v>1545</v>
      </c>
      <c r="B15" s="1337" t="s">
        <v>1546</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400" t="s">
        <v>1547</v>
      </c>
      <c r="Q15" s="621" t="str">
        <f t="shared" si="6"/>
        <v>居住社区成熟度</v>
      </c>
      <c r="R15" s="1223" t="s">
        <v>1536</v>
      </c>
      <c r="S15" s="1224">
        <f t="shared" si="0"/>
        <v>100</v>
      </c>
      <c r="T15" s="1223" t="s">
        <v>1536</v>
      </c>
      <c r="U15" s="1224">
        <f t="shared" si="1"/>
        <v>100</v>
      </c>
      <c r="V15" s="1223" t="s">
        <v>1536</v>
      </c>
      <c r="W15" s="1224">
        <f t="shared" si="2"/>
        <v>100</v>
      </c>
      <c r="X15" s="1218"/>
      <c r="Y15" s="3405" t="s">
        <v>1547</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401"/>
      <c r="Q16" s="621"/>
      <c r="R16" s="1223"/>
      <c r="S16" s="1224"/>
      <c r="T16" s="1223"/>
      <c r="U16" s="1224"/>
      <c r="V16" s="1223"/>
      <c r="W16" s="1224"/>
      <c r="X16" s="1218"/>
      <c r="Y16" s="3406"/>
      <c r="Z16" s="1207"/>
      <c r="AA16" s="1207">
        <v>1</v>
      </c>
      <c r="AB16" s="1207">
        <v>1</v>
      </c>
      <c r="AC16" s="1207">
        <v>1</v>
      </c>
    </row>
    <row r="17" spans="1:29" ht="71.25">
      <c r="A17" s="1048"/>
      <c r="B17" s="1339" t="s">
        <v>1548</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401"/>
      <c r="Q17" s="621" t="str">
        <f>B17</f>
        <v>交通便捷度</v>
      </c>
      <c r="R17" s="1223" t="s">
        <v>1536</v>
      </c>
      <c r="S17" s="1224">
        <f>F17</f>
        <v>100</v>
      </c>
      <c r="T17" s="1223" t="s">
        <v>1536</v>
      </c>
      <c r="U17" s="1224">
        <f>H17</f>
        <v>100</v>
      </c>
      <c r="V17" s="1223" t="s">
        <v>1536</v>
      </c>
      <c r="W17" s="1224">
        <f>J17</f>
        <v>100</v>
      </c>
      <c r="X17" s="1218"/>
      <c r="Y17" s="3406"/>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401"/>
      <c r="Q18" s="621"/>
      <c r="R18" s="1223"/>
      <c r="S18" s="1224"/>
      <c r="T18" s="1223"/>
      <c r="U18" s="1224"/>
      <c r="V18" s="1223"/>
      <c r="W18" s="1224"/>
      <c r="X18" s="1218"/>
      <c r="Y18" s="3406"/>
      <c r="Z18" s="1207"/>
      <c r="AA18" s="1207">
        <v>1</v>
      </c>
      <c r="AB18" s="1207">
        <v>1</v>
      </c>
      <c r="AC18" s="1207">
        <v>1</v>
      </c>
    </row>
    <row r="19" spans="1:29" ht="42.75">
      <c r="A19" s="1048"/>
      <c r="B19" s="1339" t="s">
        <v>1549</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401"/>
      <c r="Q19" s="621" t="str">
        <f>B19</f>
        <v>公共配套设施</v>
      </c>
      <c r="R19" s="1223" t="s">
        <v>1536</v>
      </c>
      <c r="S19" s="1224">
        <f>F19</f>
        <v>100</v>
      </c>
      <c r="T19" s="1223" t="s">
        <v>1536</v>
      </c>
      <c r="U19" s="1224">
        <f>H19</f>
        <v>100</v>
      </c>
      <c r="V19" s="1223" t="s">
        <v>1536</v>
      </c>
      <c r="W19" s="1224">
        <f>J19</f>
        <v>100</v>
      </c>
      <c r="X19" s="1218"/>
      <c r="Y19" s="3406"/>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401"/>
      <c r="Q20" s="621"/>
      <c r="R20" s="1223"/>
      <c r="S20" s="1224"/>
      <c r="T20" s="1223"/>
      <c r="U20" s="1224"/>
      <c r="V20" s="1223"/>
      <c r="W20" s="1224"/>
      <c r="X20" s="1218"/>
      <c r="Y20" s="3406"/>
      <c r="Z20" s="1207"/>
      <c r="AA20" s="1207">
        <v>1</v>
      </c>
      <c r="AB20" s="1207">
        <v>1</v>
      </c>
      <c r="AC20" s="1207">
        <v>1</v>
      </c>
    </row>
    <row r="21" spans="1:29" ht="28.5">
      <c r="A21" s="1048"/>
      <c r="B21" s="1343" t="s">
        <v>1550</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401"/>
      <c r="Q21" s="621" t="str">
        <f>B21</f>
        <v>基础设施水平</v>
      </c>
      <c r="R21" s="1223" t="s">
        <v>1536</v>
      </c>
      <c r="S21" s="1224">
        <f>F21</f>
        <v>100</v>
      </c>
      <c r="T21" s="1223" t="s">
        <v>1536</v>
      </c>
      <c r="U21" s="1224">
        <f>H21</f>
        <v>100</v>
      </c>
      <c r="V21" s="1223" t="s">
        <v>1536</v>
      </c>
      <c r="W21" s="1224">
        <f>J21</f>
        <v>100</v>
      </c>
      <c r="X21" s="1218"/>
      <c r="Y21" s="3406"/>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401"/>
      <c r="Q22" s="621"/>
      <c r="R22" s="1223"/>
      <c r="S22" s="1224"/>
      <c r="T22" s="1223"/>
      <c r="U22" s="1224"/>
      <c r="V22" s="1223"/>
      <c r="W22" s="1224"/>
      <c r="X22" s="1218"/>
      <c r="Y22" s="3406"/>
      <c r="Z22" s="1207"/>
      <c r="AA22" s="1207">
        <v>1</v>
      </c>
      <c r="AB22" s="1207">
        <v>1</v>
      </c>
      <c r="AC22" s="1207">
        <v>1</v>
      </c>
    </row>
    <row r="23" spans="1:29" ht="42.75">
      <c r="A23" s="1048"/>
      <c r="B23" s="1339" t="s">
        <v>1551</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401"/>
      <c r="Q23" s="621" t="str">
        <f>B23</f>
        <v>自然及人文环境</v>
      </c>
      <c r="R23" s="1223" t="s">
        <v>1536</v>
      </c>
      <c r="S23" s="1224">
        <f>F23</f>
        <v>100</v>
      </c>
      <c r="T23" s="1223" t="s">
        <v>1536</v>
      </c>
      <c r="U23" s="1224">
        <f>H23</f>
        <v>100</v>
      </c>
      <c r="V23" s="1223" t="s">
        <v>1536</v>
      </c>
      <c r="W23" s="1224">
        <f>J23</f>
        <v>100</v>
      </c>
      <c r="X23" s="1218"/>
      <c r="Y23" s="3406"/>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401"/>
      <c r="Q24" s="621"/>
      <c r="R24" s="1223"/>
      <c r="S24" s="1224"/>
      <c r="T24" s="1223"/>
      <c r="U24" s="1224"/>
      <c r="V24" s="1223"/>
      <c r="W24" s="1224"/>
      <c r="X24" s="1218"/>
      <c r="Y24" s="3406"/>
      <c r="Z24" s="1207"/>
      <c r="AA24" s="1207">
        <v>1</v>
      </c>
      <c r="AB24" s="1207">
        <v>1</v>
      </c>
      <c r="AC24" s="1207">
        <v>1</v>
      </c>
    </row>
    <row r="25" spans="1:29" ht="15">
      <c r="A25" s="1048"/>
      <c r="B25" s="1045" t="s">
        <v>1552</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401"/>
      <c r="Q25" s="621" t="str">
        <f t="shared" ref="Q25:Q46" si="11">B25</f>
        <v>楼层-1</v>
      </c>
      <c r="R25" s="1223" t="s">
        <v>1536</v>
      </c>
      <c r="S25" s="1224">
        <f t="shared" ref="S25:S46" si="12">F25</f>
        <v>100</v>
      </c>
      <c r="T25" s="1223" t="s">
        <v>1536</v>
      </c>
      <c r="U25" s="1224">
        <f t="shared" ref="U25:U46" si="13">H25</f>
        <v>100</v>
      </c>
      <c r="V25" s="1223" t="s">
        <v>1536</v>
      </c>
      <c r="W25" s="1224">
        <f t="shared" ref="W25:W46" si="14">J25</f>
        <v>100</v>
      </c>
      <c r="X25" s="1218"/>
      <c r="Y25" s="3406"/>
      <c r="Z25" s="1207" t="str">
        <f>Q25</f>
        <v>楼层-1</v>
      </c>
      <c r="AA25" s="1207">
        <f t="shared" ref="AA25:AA46" si="15">D25/F25</f>
        <v>1</v>
      </c>
      <c r="AB25" s="1207">
        <f t="shared" ref="AB25:AB46" si="16">D25/H25</f>
        <v>1</v>
      </c>
      <c r="AC25" s="1207">
        <f t="shared" ref="AC25:AC46" si="17">D25/J25</f>
        <v>1</v>
      </c>
    </row>
    <row r="26" spans="1:29" ht="15">
      <c r="A26" s="1048"/>
      <c r="B26" s="1045" t="s">
        <v>1553</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401"/>
      <c r="Q26" s="621" t="str">
        <f t="shared" si="11"/>
        <v>朝向</v>
      </c>
      <c r="R26" s="1223" t="s">
        <v>1536</v>
      </c>
      <c r="S26" s="1224">
        <f t="shared" si="12"/>
        <v>100</v>
      </c>
      <c r="T26" s="1223" t="s">
        <v>1536</v>
      </c>
      <c r="U26" s="1224">
        <f t="shared" si="13"/>
        <v>100</v>
      </c>
      <c r="V26" s="1223" t="s">
        <v>1536</v>
      </c>
      <c r="W26" s="1224">
        <f t="shared" si="14"/>
        <v>100</v>
      </c>
      <c r="X26" s="1218"/>
      <c r="Y26" s="3406"/>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401"/>
      <c r="Q27" s="790">
        <f t="shared" si="11"/>
        <v>111</v>
      </c>
      <c r="R27" s="1219" t="s">
        <v>1536</v>
      </c>
      <c r="S27" s="1220">
        <f t="shared" si="12"/>
        <v>100</v>
      </c>
      <c r="T27" s="1219" t="s">
        <v>1536</v>
      </c>
      <c r="U27" s="1220">
        <f t="shared" si="13"/>
        <v>100</v>
      </c>
      <c r="V27" s="1219" t="s">
        <v>1536</v>
      </c>
      <c r="W27" s="1220">
        <f t="shared" si="14"/>
        <v>100</v>
      </c>
      <c r="X27" s="1221"/>
      <c r="Y27" s="3406"/>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401"/>
      <c r="Q28" s="621">
        <f t="shared" si="11"/>
        <v>111</v>
      </c>
      <c r="R28" s="1223" t="s">
        <v>1536</v>
      </c>
      <c r="S28" s="1224">
        <f t="shared" si="12"/>
        <v>100</v>
      </c>
      <c r="T28" s="1223" t="s">
        <v>1536</v>
      </c>
      <c r="U28" s="1224">
        <f t="shared" si="13"/>
        <v>100</v>
      </c>
      <c r="V28" s="1223" t="s">
        <v>1536</v>
      </c>
      <c r="W28" s="1224">
        <f t="shared" si="14"/>
        <v>100</v>
      </c>
      <c r="X28" s="1218"/>
      <c r="Y28" s="3406"/>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401"/>
      <c r="Q29" s="621">
        <f t="shared" si="11"/>
        <v>111</v>
      </c>
      <c r="R29" s="1223" t="s">
        <v>1536</v>
      </c>
      <c r="S29" s="1224">
        <f t="shared" si="12"/>
        <v>100</v>
      </c>
      <c r="T29" s="1223" t="s">
        <v>1536</v>
      </c>
      <c r="U29" s="1224">
        <f t="shared" si="13"/>
        <v>100</v>
      </c>
      <c r="V29" s="1223" t="s">
        <v>1536</v>
      </c>
      <c r="W29" s="1224">
        <f t="shared" si="14"/>
        <v>100</v>
      </c>
      <c r="X29" s="1218"/>
      <c r="Y29" s="3406"/>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401"/>
      <c r="Q30" s="621">
        <f t="shared" si="11"/>
        <v>111</v>
      </c>
      <c r="R30" s="1223" t="s">
        <v>1536</v>
      </c>
      <c r="S30" s="1224">
        <f t="shared" si="12"/>
        <v>100</v>
      </c>
      <c r="T30" s="1223" t="s">
        <v>1536</v>
      </c>
      <c r="U30" s="1224">
        <f t="shared" si="13"/>
        <v>100</v>
      </c>
      <c r="V30" s="1223" t="s">
        <v>1536</v>
      </c>
      <c r="W30" s="1224">
        <f t="shared" si="14"/>
        <v>100</v>
      </c>
      <c r="X30" s="1218"/>
      <c r="Y30" s="3406"/>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401"/>
      <c r="Q31" s="621">
        <f t="shared" si="11"/>
        <v>111</v>
      </c>
      <c r="R31" s="1223" t="s">
        <v>1536</v>
      </c>
      <c r="S31" s="1224">
        <f t="shared" si="12"/>
        <v>100</v>
      </c>
      <c r="T31" s="1223" t="s">
        <v>1536</v>
      </c>
      <c r="U31" s="1224">
        <f t="shared" si="13"/>
        <v>100</v>
      </c>
      <c r="V31" s="1223" t="s">
        <v>1536</v>
      </c>
      <c r="W31" s="1224">
        <f t="shared" si="14"/>
        <v>100</v>
      </c>
      <c r="X31" s="1218"/>
      <c r="Y31" s="3406"/>
      <c r="Z31" s="1207">
        <f t="shared" si="18"/>
        <v>111</v>
      </c>
      <c r="AA31" s="1207">
        <f t="shared" si="15"/>
        <v>1</v>
      </c>
      <c r="AB31" s="1207">
        <f t="shared" si="16"/>
        <v>1</v>
      </c>
      <c r="AC31" s="1207">
        <f t="shared" si="17"/>
        <v>1</v>
      </c>
    </row>
    <row r="32" spans="1:29" ht="15">
      <c r="A32" s="1061" t="s">
        <v>1554</v>
      </c>
      <c r="B32" s="1041" t="s">
        <v>1555</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402" t="s">
        <v>1556</v>
      </c>
      <c r="Q32" s="621" t="str">
        <f t="shared" si="11"/>
        <v>建筑类型</v>
      </c>
      <c r="R32" s="1223" t="s">
        <v>1536</v>
      </c>
      <c r="S32" s="1224">
        <f t="shared" si="12"/>
        <v>100</v>
      </c>
      <c r="T32" s="1223" t="s">
        <v>1536</v>
      </c>
      <c r="U32" s="1224">
        <f t="shared" si="13"/>
        <v>100</v>
      </c>
      <c r="V32" s="1223" t="s">
        <v>1536</v>
      </c>
      <c r="W32" s="1224">
        <f t="shared" si="14"/>
        <v>100</v>
      </c>
      <c r="X32" s="1218"/>
      <c r="Y32" s="3407" t="s">
        <v>1556</v>
      </c>
      <c r="Z32" s="1207" t="str">
        <f t="shared" si="18"/>
        <v>建筑类型</v>
      </c>
      <c r="AA32" s="1207">
        <f t="shared" si="15"/>
        <v>1</v>
      </c>
      <c r="AB32" s="1207">
        <f t="shared" si="16"/>
        <v>1</v>
      </c>
      <c r="AC32" s="1207">
        <f t="shared" si="17"/>
        <v>1</v>
      </c>
    </row>
    <row r="33" spans="1:29" s="1006" customFormat="1" ht="15">
      <c r="A33" s="1101"/>
      <c r="B33" s="1045" t="s">
        <v>1557</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403"/>
      <c r="Q33" s="1413" t="str">
        <f t="shared" si="11"/>
        <v>项目建筑规模</v>
      </c>
      <c r="R33" s="1225" t="s">
        <v>1536</v>
      </c>
      <c r="S33" s="1226" t="e">
        <f t="shared" si="12"/>
        <v>#N/A</v>
      </c>
      <c r="T33" s="1225" t="s">
        <v>1536</v>
      </c>
      <c r="U33" s="1226" t="e">
        <f t="shared" si="13"/>
        <v>#N/A</v>
      </c>
      <c r="V33" s="1225" t="s">
        <v>1536</v>
      </c>
      <c r="W33" s="1226" t="e">
        <f t="shared" si="14"/>
        <v>#N/A</v>
      </c>
      <c r="X33" s="1227"/>
      <c r="Y33" s="3407"/>
      <c r="Z33" s="1232" t="str">
        <f t="shared" si="18"/>
        <v>项目建筑规模</v>
      </c>
      <c r="AA33" s="1207" t="e">
        <f t="shared" si="15"/>
        <v>#N/A</v>
      </c>
      <c r="AB33" s="1207" t="e">
        <f t="shared" si="16"/>
        <v>#N/A</v>
      </c>
      <c r="AC33" s="1207" t="e">
        <f t="shared" si="17"/>
        <v>#N/A</v>
      </c>
    </row>
    <row r="34" spans="1:29" ht="15">
      <c r="A34" s="1096"/>
      <c r="B34" s="1045" t="s">
        <v>1558</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403"/>
      <c r="Q34" s="621" t="str">
        <f t="shared" si="11"/>
        <v>建筑结构</v>
      </c>
      <c r="R34" s="1223" t="s">
        <v>1536</v>
      </c>
      <c r="S34" s="1224">
        <f t="shared" si="12"/>
        <v>100</v>
      </c>
      <c r="T34" s="1223" t="s">
        <v>1536</v>
      </c>
      <c r="U34" s="1224">
        <f t="shared" si="13"/>
        <v>100</v>
      </c>
      <c r="V34" s="1223" t="s">
        <v>1536</v>
      </c>
      <c r="W34" s="1224">
        <f t="shared" si="14"/>
        <v>100</v>
      </c>
      <c r="X34" s="1218"/>
      <c r="Y34" s="3407"/>
      <c r="Z34" s="1207" t="str">
        <f t="shared" si="18"/>
        <v>建筑结构</v>
      </c>
      <c r="AA34" s="1207">
        <f t="shared" si="15"/>
        <v>1</v>
      </c>
      <c r="AB34" s="1207">
        <f t="shared" si="16"/>
        <v>1</v>
      </c>
      <c r="AC34" s="1207">
        <f t="shared" si="17"/>
        <v>1</v>
      </c>
    </row>
    <row r="35" spans="1:29" ht="15">
      <c r="A35" s="1096"/>
      <c r="B35" s="1045" t="s">
        <v>1559</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403"/>
      <c r="Q35" s="621" t="str">
        <f t="shared" si="11"/>
        <v>建筑品质</v>
      </c>
      <c r="R35" s="1223" t="s">
        <v>1536</v>
      </c>
      <c r="S35" s="1224">
        <f t="shared" si="12"/>
        <v>100</v>
      </c>
      <c r="T35" s="1223" t="s">
        <v>1536</v>
      </c>
      <c r="U35" s="1224">
        <f t="shared" si="13"/>
        <v>100</v>
      </c>
      <c r="V35" s="1223" t="s">
        <v>1536</v>
      </c>
      <c r="W35" s="1224">
        <f t="shared" si="14"/>
        <v>100</v>
      </c>
      <c r="X35" s="1218"/>
      <c r="Y35" s="3407"/>
      <c r="Z35" s="1207" t="str">
        <f t="shared" si="18"/>
        <v>建筑品质</v>
      </c>
      <c r="AA35" s="1207">
        <f t="shared" si="15"/>
        <v>1</v>
      </c>
      <c r="AB35" s="1207">
        <f t="shared" si="16"/>
        <v>1</v>
      </c>
      <c r="AC35" s="1207">
        <f t="shared" si="17"/>
        <v>1</v>
      </c>
    </row>
    <row r="36" spans="1:29" ht="15">
      <c r="A36" s="1096"/>
      <c r="B36" s="1045" t="s">
        <v>1560</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403"/>
      <c r="Q36" s="621" t="str">
        <f t="shared" si="11"/>
        <v>公共部分装修</v>
      </c>
      <c r="R36" s="1223" t="s">
        <v>1536</v>
      </c>
      <c r="S36" s="1224">
        <f t="shared" si="12"/>
        <v>100</v>
      </c>
      <c r="T36" s="1223" t="s">
        <v>1536</v>
      </c>
      <c r="U36" s="1224">
        <f t="shared" si="13"/>
        <v>100</v>
      </c>
      <c r="V36" s="1223" t="s">
        <v>1536</v>
      </c>
      <c r="W36" s="1224">
        <f t="shared" si="14"/>
        <v>100</v>
      </c>
      <c r="X36" s="1218"/>
      <c r="Y36" s="3407"/>
      <c r="Z36" s="1207" t="str">
        <f t="shared" si="18"/>
        <v>公共部分装修</v>
      </c>
      <c r="AA36" s="1207">
        <f t="shared" si="15"/>
        <v>1</v>
      </c>
      <c r="AB36" s="1207">
        <f t="shared" si="16"/>
        <v>1</v>
      </c>
      <c r="AC36" s="1207">
        <f t="shared" si="17"/>
        <v>1</v>
      </c>
    </row>
    <row r="37" spans="1:29" s="1004" customFormat="1" ht="15">
      <c r="A37" s="1098"/>
      <c r="B37" s="1045" t="s">
        <v>682</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403"/>
      <c r="Q37" s="790" t="str">
        <f t="shared" si="11"/>
        <v>成新度</v>
      </c>
      <c r="R37" s="1219" t="s">
        <v>1536</v>
      </c>
      <c r="S37" s="1220" t="e">
        <f t="shared" si="12"/>
        <v>#N/A</v>
      </c>
      <c r="T37" s="1219" t="s">
        <v>1536</v>
      </c>
      <c r="U37" s="1220" t="e">
        <f t="shared" si="13"/>
        <v>#N/A</v>
      </c>
      <c r="V37" s="1219" t="s">
        <v>1536</v>
      </c>
      <c r="W37" s="1220" t="e">
        <f t="shared" si="14"/>
        <v>#N/A</v>
      </c>
      <c r="X37" s="1221"/>
      <c r="Y37" s="3407"/>
      <c r="Z37" s="1231" t="str">
        <f t="shared" si="18"/>
        <v>成新度</v>
      </c>
      <c r="AA37" s="1231" t="e">
        <f t="shared" si="15"/>
        <v>#N/A</v>
      </c>
      <c r="AB37" s="1231" t="e">
        <f t="shared" si="16"/>
        <v>#N/A</v>
      </c>
      <c r="AC37" s="1231" t="e">
        <f t="shared" si="17"/>
        <v>#N/A</v>
      </c>
    </row>
    <row r="38" spans="1:29" ht="15">
      <c r="A38" s="1096"/>
      <c r="B38" s="1045" t="s">
        <v>1561</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403" t="s">
        <v>1556</v>
      </c>
      <c r="Q38" s="621" t="str">
        <f t="shared" si="11"/>
        <v>物业管理</v>
      </c>
      <c r="R38" s="1223" t="s">
        <v>1536</v>
      </c>
      <c r="S38" s="1224">
        <f t="shared" si="12"/>
        <v>100</v>
      </c>
      <c r="T38" s="1223" t="s">
        <v>1536</v>
      </c>
      <c r="U38" s="1224">
        <f t="shared" si="13"/>
        <v>100</v>
      </c>
      <c r="V38" s="1223" t="s">
        <v>1536</v>
      </c>
      <c r="W38" s="1224">
        <f t="shared" si="14"/>
        <v>100</v>
      </c>
      <c r="X38" s="1218"/>
      <c r="Y38" s="3407" t="s">
        <v>1556</v>
      </c>
      <c r="Z38" s="1207" t="str">
        <f t="shared" si="18"/>
        <v>物业管理</v>
      </c>
      <c r="AA38" s="1207">
        <f t="shared" si="15"/>
        <v>1</v>
      </c>
      <c r="AB38" s="1207">
        <f t="shared" si="16"/>
        <v>1</v>
      </c>
      <c r="AC38" s="1207">
        <f t="shared" si="17"/>
        <v>1</v>
      </c>
    </row>
    <row r="39" spans="1:29" ht="15">
      <c r="A39" s="1096"/>
      <c r="B39" s="1045" t="s">
        <v>1562</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403"/>
      <c r="Q39" s="621" t="str">
        <f t="shared" si="11"/>
        <v>市政基础设施</v>
      </c>
      <c r="R39" s="1223" t="s">
        <v>1536</v>
      </c>
      <c r="S39" s="1224">
        <f t="shared" si="12"/>
        <v>100</v>
      </c>
      <c r="T39" s="1223" t="s">
        <v>1536</v>
      </c>
      <c r="U39" s="1224">
        <f t="shared" si="13"/>
        <v>100</v>
      </c>
      <c r="V39" s="1223" t="s">
        <v>1536</v>
      </c>
      <c r="W39" s="1224">
        <f t="shared" si="14"/>
        <v>100</v>
      </c>
      <c r="X39" s="1218"/>
      <c r="Y39" s="3407"/>
      <c r="Z39" s="1207" t="str">
        <f t="shared" si="18"/>
        <v>市政基础设施</v>
      </c>
      <c r="AA39" s="1207">
        <f t="shared" si="15"/>
        <v>1</v>
      </c>
      <c r="AB39" s="1207">
        <f t="shared" si="16"/>
        <v>1</v>
      </c>
      <c r="AC39" s="1207">
        <f t="shared" si="17"/>
        <v>1</v>
      </c>
    </row>
    <row r="40" spans="1:29" ht="15">
      <c r="A40" s="1096"/>
      <c r="B40" s="1045" t="s">
        <v>1563</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403"/>
      <c r="Q40" s="621" t="str">
        <f t="shared" si="11"/>
        <v>房型</v>
      </c>
      <c r="R40" s="1223" t="s">
        <v>1536</v>
      </c>
      <c r="S40" s="1224">
        <f t="shared" si="12"/>
        <v>100</v>
      </c>
      <c r="T40" s="1223" t="s">
        <v>1536</v>
      </c>
      <c r="U40" s="1224">
        <f t="shared" si="13"/>
        <v>100</v>
      </c>
      <c r="V40" s="1223" t="s">
        <v>1536</v>
      </c>
      <c r="W40" s="1224">
        <f t="shared" si="14"/>
        <v>100</v>
      </c>
      <c r="X40" s="1218"/>
      <c r="Y40" s="3407"/>
      <c r="Z40" s="1207" t="str">
        <f t="shared" si="18"/>
        <v>房型</v>
      </c>
      <c r="AA40" s="1207">
        <f t="shared" si="15"/>
        <v>1</v>
      </c>
      <c r="AB40" s="1207">
        <f t="shared" si="16"/>
        <v>1</v>
      </c>
      <c r="AC40" s="1207">
        <f t="shared" si="17"/>
        <v>1</v>
      </c>
    </row>
    <row r="41" spans="1:29" s="1006" customFormat="1" ht="28.5">
      <c r="A41" s="1101"/>
      <c r="B41" s="1045" t="s">
        <v>1564</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403"/>
      <c r="Q41" s="1413" t="str">
        <f t="shared" si="11"/>
        <v>单套/主力户型建筑面积</v>
      </c>
      <c r="R41" s="1225" t="s">
        <v>1536</v>
      </c>
      <c r="S41" s="1226">
        <f t="shared" si="12"/>
        <v>100</v>
      </c>
      <c r="T41" s="1225" t="s">
        <v>1536</v>
      </c>
      <c r="U41" s="1226">
        <f t="shared" si="13"/>
        <v>100</v>
      </c>
      <c r="V41" s="1225" t="s">
        <v>1536</v>
      </c>
      <c r="W41" s="1226">
        <f t="shared" si="14"/>
        <v>100</v>
      </c>
      <c r="X41" s="1227"/>
      <c r="Y41" s="3407"/>
      <c r="Z41" s="1232" t="str">
        <f t="shared" si="18"/>
        <v>单套/主力户型建筑面积</v>
      </c>
      <c r="AA41" s="1207">
        <f t="shared" si="15"/>
        <v>1</v>
      </c>
      <c r="AB41" s="1207">
        <f t="shared" si="16"/>
        <v>1</v>
      </c>
      <c r="AC41" s="1207">
        <f t="shared" si="17"/>
        <v>1</v>
      </c>
    </row>
    <row r="42" spans="1:29" ht="15">
      <c r="A42" s="1096"/>
      <c r="B42" s="1045" t="s">
        <v>1565</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403"/>
      <c r="Q42" s="621" t="str">
        <f t="shared" si="11"/>
        <v>内部装修</v>
      </c>
      <c r="R42" s="1223" t="s">
        <v>1536</v>
      </c>
      <c r="S42" s="1224">
        <f t="shared" si="12"/>
        <v>100</v>
      </c>
      <c r="T42" s="1223" t="s">
        <v>1536</v>
      </c>
      <c r="U42" s="1224">
        <f t="shared" si="13"/>
        <v>100</v>
      </c>
      <c r="V42" s="1223" t="s">
        <v>1536</v>
      </c>
      <c r="W42" s="1224">
        <f t="shared" si="14"/>
        <v>100</v>
      </c>
      <c r="X42" s="1218"/>
      <c r="Y42" s="3407"/>
      <c r="Z42" s="1207" t="str">
        <f t="shared" si="18"/>
        <v>内部装修</v>
      </c>
      <c r="AA42" s="1207">
        <f t="shared" si="15"/>
        <v>1</v>
      </c>
      <c r="AB42" s="1207">
        <f t="shared" si="16"/>
        <v>1</v>
      </c>
      <c r="AC42" s="1207">
        <f t="shared" si="17"/>
        <v>1</v>
      </c>
    </row>
    <row r="43" spans="1:29" ht="15">
      <c r="A43" s="1096"/>
      <c r="B43" s="1045" t="s">
        <v>1566</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403"/>
      <c r="Q43" s="621" t="str">
        <f t="shared" si="11"/>
        <v>内部装修维护情况</v>
      </c>
      <c r="R43" s="1223" t="s">
        <v>1536</v>
      </c>
      <c r="S43" s="1224">
        <f t="shared" si="12"/>
        <v>100</v>
      </c>
      <c r="T43" s="1223" t="s">
        <v>1536</v>
      </c>
      <c r="U43" s="1224">
        <f t="shared" si="13"/>
        <v>100</v>
      </c>
      <c r="V43" s="1223" t="s">
        <v>1536</v>
      </c>
      <c r="W43" s="1224">
        <f t="shared" si="14"/>
        <v>100</v>
      </c>
      <c r="X43" s="1218"/>
      <c r="Y43" s="3407"/>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403"/>
      <c r="Q44" s="790">
        <f t="shared" si="11"/>
        <v>111</v>
      </c>
      <c r="R44" s="1219" t="s">
        <v>1536</v>
      </c>
      <c r="S44" s="1220">
        <f t="shared" si="12"/>
        <v>100</v>
      </c>
      <c r="T44" s="1219" t="s">
        <v>1536</v>
      </c>
      <c r="U44" s="1220">
        <f t="shared" si="13"/>
        <v>100</v>
      </c>
      <c r="V44" s="1219" t="s">
        <v>1536</v>
      </c>
      <c r="W44" s="1220">
        <f t="shared" si="14"/>
        <v>100</v>
      </c>
      <c r="X44" s="1221"/>
      <c r="Y44" s="3407"/>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403"/>
      <c r="Q45" s="621">
        <f t="shared" si="11"/>
        <v>111</v>
      </c>
      <c r="R45" s="1223" t="s">
        <v>1536</v>
      </c>
      <c r="S45" s="1224">
        <f t="shared" si="12"/>
        <v>100</v>
      </c>
      <c r="T45" s="1223" t="s">
        <v>1536</v>
      </c>
      <c r="U45" s="1224">
        <f t="shared" si="13"/>
        <v>100</v>
      </c>
      <c r="V45" s="1223" t="s">
        <v>1536</v>
      </c>
      <c r="W45" s="1224">
        <f t="shared" si="14"/>
        <v>100</v>
      </c>
      <c r="X45" s="1218"/>
      <c r="Y45" s="3407"/>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404"/>
      <c r="Q46" s="621">
        <f t="shared" si="11"/>
        <v>111</v>
      </c>
      <c r="R46" s="1223" t="s">
        <v>1536</v>
      </c>
      <c r="S46" s="1224">
        <f t="shared" si="12"/>
        <v>100</v>
      </c>
      <c r="T46" s="1223" t="s">
        <v>1536</v>
      </c>
      <c r="U46" s="1224">
        <f t="shared" si="13"/>
        <v>100</v>
      </c>
      <c r="V46" s="1223" t="s">
        <v>1536</v>
      </c>
      <c r="W46" s="1224">
        <f t="shared" si="14"/>
        <v>100</v>
      </c>
      <c r="X46" s="1218"/>
      <c r="Y46" s="3408"/>
      <c r="Z46" s="1207">
        <f t="shared" si="18"/>
        <v>111</v>
      </c>
      <c r="AA46" s="1207">
        <f t="shared" si="15"/>
        <v>1</v>
      </c>
      <c r="AB46" s="1207">
        <f t="shared" si="16"/>
        <v>1</v>
      </c>
      <c r="AC46" s="1207">
        <f t="shared" si="17"/>
        <v>1</v>
      </c>
    </row>
    <row r="47" spans="1:29" ht="15">
      <c r="A47" s="1103" t="s">
        <v>1567</v>
      </c>
      <c r="B47" s="1396"/>
      <c r="C47" s="1397" t="s">
        <v>124</v>
      </c>
      <c r="D47" s="1106"/>
      <c r="E47" s="1107"/>
      <c r="F47" s="1108"/>
      <c r="G47" s="1109"/>
      <c r="H47" s="1110"/>
      <c r="I47" s="1107"/>
      <c r="J47" s="1110"/>
      <c r="K47" s="1579"/>
      <c r="L47" s="1199"/>
      <c r="M47" s="1120"/>
      <c r="N47" s="1120"/>
      <c r="O47" s="1120"/>
      <c r="P47" s="3394" t="str">
        <f>A47</f>
        <v>成交单价（元/平方米）</v>
      </c>
      <c r="Q47" s="3394"/>
      <c r="R47" s="3395">
        <f>E47</f>
        <v>0</v>
      </c>
      <c r="S47" s="3395"/>
      <c r="T47" s="3395">
        <f>G47</f>
        <v>0</v>
      </c>
      <c r="U47" s="3395"/>
      <c r="V47" s="3395">
        <f>I47</f>
        <v>0</v>
      </c>
      <c r="W47" s="3395"/>
      <c r="X47" s="1160"/>
      <c r="Y47" s="1233"/>
      <c r="Z47" s="1160"/>
      <c r="AA47" s="1160"/>
      <c r="AB47" s="1160"/>
      <c r="AC47" s="1160"/>
    </row>
    <row r="48" spans="1:29" ht="15">
      <c r="A48" s="1111" t="s">
        <v>1568</v>
      </c>
      <c r="B48" s="1398"/>
      <c r="C48" s="1399" t="e">
        <f>R49</f>
        <v>#DIV/0!</v>
      </c>
      <c r="D48" s="1114" t="s">
        <v>1569</v>
      </c>
      <c r="E48" s="1400" t="e">
        <f>R48</f>
        <v>#DIV/0!</v>
      </c>
      <c r="F48" s="1115"/>
      <c r="G48" s="1399" t="e">
        <f>T48</f>
        <v>#DIV/0!</v>
      </c>
      <c r="H48" s="1115"/>
      <c r="I48" s="1400" t="e">
        <f>V48</f>
        <v>#DIV/0!</v>
      </c>
      <c r="J48" s="1115"/>
      <c r="K48" s="1580">
        <f>F48+H48+J48</f>
        <v>0</v>
      </c>
      <c r="L48" s="1199"/>
      <c r="M48" s="1120"/>
      <c r="N48" s="1120"/>
      <c r="O48" s="1120"/>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160"/>
      <c r="Y48" s="1160"/>
      <c r="Z48" s="1160"/>
      <c r="AA48" s="1160"/>
      <c r="AB48" s="1160"/>
      <c r="AC48" s="1160"/>
    </row>
    <row r="49" spans="1:29" ht="15">
      <c r="A49" s="1117" t="s">
        <v>1570</v>
      </c>
      <c r="B49" s="1118"/>
      <c r="C49" s="1563" t="e">
        <f>R49</f>
        <v>#DIV/0!</v>
      </c>
      <c r="D49" s="1030"/>
      <c r="E49" s="1030"/>
      <c r="F49" s="1030"/>
      <c r="G49" s="1030"/>
      <c r="H49" s="1030"/>
      <c r="I49" s="1030"/>
      <c r="J49" s="1030"/>
      <c r="K49" s="1581"/>
      <c r="L49" s="1199"/>
      <c r="M49" s="1120"/>
      <c r="N49" s="1120"/>
      <c r="O49" s="1120"/>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1571</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1572</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1573</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1574</v>
      </c>
      <c r="B57" s="1160"/>
      <c r="C57" s="1161"/>
      <c r="D57" s="1161"/>
      <c r="E57" s="1161"/>
      <c r="F57" s="1162"/>
      <c r="G57" s="1162"/>
      <c r="H57" s="1161"/>
      <c r="I57" s="1161"/>
      <c r="J57" s="1161"/>
      <c r="K57" s="1360"/>
      <c r="L57" s="1361"/>
      <c r="M57" s="1215"/>
      <c r="N57" s="1215"/>
      <c r="O57" s="1215"/>
      <c r="P57" s="1583"/>
      <c r="Q57" s="1501"/>
    </row>
    <row r="58" spans="1:29" s="1009" customFormat="1" ht="15">
      <c r="A58" s="1402" t="s">
        <v>1534</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1575</v>
      </c>
      <c r="B60" s="1241"/>
      <c r="C60" s="1242"/>
      <c r="D60" s="1243"/>
      <c r="E60" s="1243"/>
      <c r="F60" s="1243"/>
      <c r="G60" s="1243"/>
      <c r="H60" s="1243"/>
      <c r="I60" s="1243"/>
      <c r="J60" s="1243"/>
      <c r="K60" s="1243"/>
      <c r="L60" s="1243"/>
      <c r="M60" s="1283"/>
      <c r="N60" s="1243"/>
      <c r="O60" s="1283"/>
      <c r="P60" s="1585"/>
      <c r="Q60" s="1501"/>
    </row>
    <row r="61" spans="1:29" s="1004" customFormat="1" ht="15">
      <c r="A61" s="1244" t="s">
        <v>1537</v>
      </c>
      <c r="B61" s="1245"/>
      <c r="C61" s="1246" t="s">
        <v>1576</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1577</v>
      </c>
      <c r="B63" s="1250" t="s">
        <v>1540</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1543</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1544</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1545</v>
      </c>
      <c r="B76" s="1250" t="s">
        <v>1546</v>
      </c>
      <c r="C76" s="1270" t="s">
        <v>1578</v>
      </c>
      <c r="D76" s="1270" t="s">
        <v>1579</v>
      </c>
      <c r="E76" s="1270" t="s">
        <v>1580</v>
      </c>
      <c r="F76" s="1270" t="s">
        <v>1581</v>
      </c>
      <c r="G76" s="1270" t="s">
        <v>1582</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1548</v>
      </c>
      <c r="C78" s="1271" t="s">
        <v>1578</v>
      </c>
      <c r="D78" s="1271" t="s">
        <v>1579</v>
      </c>
      <c r="E78" s="1271" t="s">
        <v>1580</v>
      </c>
      <c r="F78" s="1271" t="s">
        <v>1581</v>
      </c>
      <c r="G78" s="1271" t="s">
        <v>1582</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1549</v>
      </c>
      <c r="C80" s="1271" t="s">
        <v>1578</v>
      </c>
      <c r="D80" s="1271" t="s">
        <v>1579</v>
      </c>
      <c r="E80" s="1271" t="s">
        <v>1580</v>
      </c>
      <c r="F80" s="1271" t="s">
        <v>1581</v>
      </c>
      <c r="G80" s="1271" t="s">
        <v>1582</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1550</v>
      </c>
      <c r="C82" s="1254" t="s">
        <v>1583</v>
      </c>
      <c r="D82" s="1254" t="s">
        <v>1584</v>
      </c>
      <c r="E82" s="1254" t="s">
        <v>1585</v>
      </c>
      <c r="F82" s="1254" t="s">
        <v>1586</v>
      </c>
      <c r="G82" s="1254" t="s">
        <v>1587</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1551</v>
      </c>
      <c r="C84" s="1271" t="s">
        <v>1578</v>
      </c>
      <c r="D84" s="1271" t="s">
        <v>1579</v>
      </c>
      <c r="E84" s="1271" t="s">
        <v>1580</v>
      </c>
      <c r="F84" s="1271" t="s">
        <v>1581</v>
      </c>
      <c r="G84" s="1271" t="s">
        <v>1582</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1552</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1553</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1554</v>
      </c>
      <c r="B100" s="1250" t="s">
        <v>1555</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1557</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1558</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1559</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1560</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682</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1561</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1562</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1563</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1564</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1565</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1566</v>
      </c>
      <c r="C124" s="1271" t="s">
        <v>1578</v>
      </c>
      <c r="D124" s="1271" t="s">
        <v>1579</v>
      </c>
      <c r="E124" s="1271" t="s">
        <v>1580</v>
      </c>
      <c r="F124" s="1271" t="s">
        <v>1581</v>
      </c>
      <c r="G124" s="1271" t="s">
        <v>1582</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1588</v>
      </c>
    </row>
    <row r="137" spans="1:17" ht="15">
      <c r="B137" s="1597" t="s">
        <v>1589</v>
      </c>
      <c r="C137" s="1598"/>
      <c r="D137" s="1598"/>
      <c r="E137" s="1598"/>
      <c r="F137" s="1598"/>
      <c r="G137" s="1599"/>
      <c r="H137" s="1600"/>
      <c r="I137" s="1622" t="s">
        <v>1590</v>
      </c>
      <c r="J137" s="1598"/>
      <c r="K137" s="1623"/>
    </row>
    <row r="138" spans="1:17" ht="15">
      <c r="B138" s="1601"/>
      <c r="C138" s="1602" t="s">
        <v>1591</v>
      </c>
      <c r="D138" s="1602" t="s">
        <v>1592</v>
      </c>
      <c r="E138" s="1603" t="s">
        <v>1593</v>
      </c>
      <c r="F138" s="1604" t="s">
        <v>1594</v>
      </c>
      <c r="G138" s="1602" t="s">
        <v>1592</v>
      </c>
      <c r="H138" s="1605" t="s">
        <v>1593</v>
      </c>
      <c r="I138" s="1624"/>
      <c r="J138" s="1602" t="s">
        <v>1595</v>
      </c>
      <c r="K138" s="1605" t="s">
        <v>1596</v>
      </c>
    </row>
    <row r="139" spans="1:17" ht="15">
      <c r="B139" s="1606">
        <v>6</v>
      </c>
      <c r="C139" s="1607">
        <v>96</v>
      </c>
      <c r="D139" s="1608" t="s">
        <v>1597</v>
      </c>
      <c r="E139" s="1609">
        <v>100</v>
      </c>
      <c r="F139" s="1610">
        <v>102.5</v>
      </c>
      <c r="G139" s="1608" t="s">
        <v>1597</v>
      </c>
      <c r="H139" s="1611">
        <v>105</v>
      </c>
      <c r="I139" s="1625" t="s">
        <v>1598</v>
      </c>
      <c r="J139" s="1607">
        <v>20</v>
      </c>
      <c r="K139" s="1626">
        <f>C145/(J139-2)</f>
        <v>4.0555555555555596E-3</v>
      </c>
    </row>
    <row r="140" spans="1:17" ht="15">
      <c r="B140" s="1612">
        <v>5</v>
      </c>
      <c r="C140" s="1613">
        <v>100</v>
      </c>
      <c r="D140" s="1613"/>
      <c r="E140" s="1614"/>
      <c r="F140" s="1615">
        <v>102</v>
      </c>
      <c r="G140" s="1613"/>
      <c r="H140" s="1616"/>
      <c r="I140" s="1627" t="s">
        <v>1599</v>
      </c>
      <c r="J140" s="419">
        <f>ROUNDUP((J139-1)/2,0)</f>
        <v>10</v>
      </c>
      <c r="K140" s="1628">
        <v>100</v>
      </c>
    </row>
    <row r="141" spans="1:17" ht="15">
      <c r="B141" s="1612">
        <v>4</v>
      </c>
      <c r="C141" s="1613">
        <v>102</v>
      </c>
      <c r="D141" s="1613"/>
      <c r="E141" s="1614"/>
      <c r="F141" s="1615">
        <v>101.5</v>
      </c>
      <c r="G141" s="1613"/>
      <c r="H141" s="1616"/>
      <c r="I141" s="1627" t="s">
        <v>1600</v>
      </c>
      <c r="J141" s="419">
        <v>1</v>
      </c>
      <c r="K141" s="1629">
        <f>ROUND(100+(J141-J140)*K139*100,1)</f>
        <v>96.4</v>
      </c>
    </row>
    <row r="142" spans="1:17" ht="15">
      <c r="B142" s="1612">
        <v>3</v>
      </c>
      <c r="C142" s="1613">
        <v>103</v>
      </c>
      <c r="D142" s="1613"/>
      <c r="E142" s="1614"/>
      <c r="F142" s="1615">
        <v>101</v>
      </c>
      <c r="G142" s="1613"/>
      <c r="H142" s="1616"/>
      <c r="I142" s="1627" t="s">
        <v>1601</v>
      </c>
      <c r="J142" s="419">
        <f>J139</f>
        <v>20</v>
      </c>
      <c r="K142" s="1630">
        <v>95</v>
      </c>
    </row>
    <row r="143" spans="1:17" ht="15">
      <c r="B143" s="1612">
        <v>2</v>
      </c>
      <c r="C143" s="1613">
        <v>100</v>
      </c>
      <c r="D143" s="1613"/>
      <c r="E143" s="1614"/>
      <c r="F143" s="1615">
        <v>100.5</v>
      </c>
      <c r="G143" s="1613"/>
      <c r="H143" s="1616"/>
      <c r="I143" s="1627" t="s">
        <v>1602</v>
      </c>
      <c r="J143" s="1613">
        <v>15</v>
      </c>
      <c r="K143" s="1629">
        <f>ROUND(100+(J143-J140)*K139*100,1)</f>
        <v>102</v>
      </c>
    </row>
    <row r="144" spans="1:17" ht="15">
      <c r="B144" s="1612">
        <v>1</v>
      </c>
      <c r="C144" s="1613">
        <v>98</v>
      </c>
      <c r="D144" s="1617" t="s">
        <v>1603</v>
      </c>
      <c r="E144" s="1614">
        <v>102</v>
      </c>
      <c r="F144" s="1618">
        <v>100</v>
      </c>
      <c r="G144" s="1617" t="s">
        <v>1603</v>
      </c>
      <c r="H144" s="1616">
        <v>105</v>
      </c>
      <c r="I144" s="1627" t="s">
        <v>1602</v>
      </c>
      <c r="J144" s="1613">
        <v>18</v>
      </c>
      <c r="K144" s="1629">
        <f>ROUND(100+(J144-J140)*K139*100,1)</f>
        <v>103.2</v>
      </c>
    </row>
    <row r="145" spans="2:11" ht="15">
      <c r="B145" s="719" t="s">
        <v>1604</v>
      </c>
      <c r="C145" s="1619">
        <f>ROUND(MAX(C139:C144)/MIN(C139:C144)-1,3)</f>
        <v>7.2999999999999995E-2</v>
      </c>
      <c r="D145" s="1620"/>
      <c r="E145" s="1620"/>
      <c r="F145" s="1621" t="s">
        <v>1605</v>
      </c>
      <c r="G145" s="1527"/>
      <c r="H145" s="1530"/>
      <c r="I145" s="1631" t="s">
        <v>1602</v>
      </c>
      <c r="J145" s="1632">
        <v>8</v>
      </c>
      <c r="K145" s="1633">
        <f>ROUND(100+(J145-J140)*K139*100,1)</f>
        <v>99.2</v>
      </c>
    </row>
    <row r="147" spans="2:11">
      <c r="B147" s="1596" t="s">
        <v>1606</v>
      </c>
    </row>
    <row r="148" spans="2:11">
      <c r="B148" s="1596" t="s">
        <v>1607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1516</v>
      </c>
      <c r="B1" s="1536" t="s">
        <v>1608</v>
      </c>
      <c r="C1" s="1409" t="s">
        <v>1518</v>
      </c>
      <c r="D1" s="1368"/>
      <c r="E1" s="1537"/>
      <c r="F1" s="1370"/>
      <c r="G1" s="1371" t="s">
        <v>1519</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1037</v>
      </c>
      <c r="B2" s="1374"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1038</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1039</v>
      </c>
      <c r="B3" s="1021">
        <f>IF(C2="——",C49,ROUND(B2*10000/D3,0))</f>
        <v>0</v>
      </c>
      <c r="C3" s="1378" t="s">
        <v>1520</v>
      </c>
      <c r="D3" s="1379">
        <f>IF(D1="",'数据-汇总表'!E3,SUMIF('数据-汇总表'!$C19:$C33,D1,'数据-汇总表'!$E19:$E33))</f>
        <v>12749.85</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1521</v>
      </c>
      <c r="B4" s="1024"/>
      <c r="C4" s="3379" t="s">
        <v>1522</v>
      </c>
      <c r="D4" s="3380"/>
      <c r="E4" s="3381" t="s">
        <v>1523</v>
      </c>
      <c r="F4" s="3382"/>
      <c r="G4" s="3379" t="s">
        <v>1524</v>
      </c>
      <c r="H4" s="3380"/>
      <c r="I4" s="3379" t="s">
        <v>1525</v>
      </c>
      <c r="J4" s="3380"/>
      <c r="K4" s="1169" t="s">
        <v>1526</v>
      </c>
      <c r="L4" s="1170"/>
      <c r="M4" s="1120"/>
      <c r="N4" s="1120"/>
      <c r="O4" s="1120"/>
      <c r="P4" s="3412" t="s">
        <v>1527</v>
      </c>
      <c r="Q4" s="3413"/>
      <c r="R4" s="3418" t="s">
        <v>1523</v>
      </c>
      <c r="S4" s="3419"/>
      <c r="T4" s="3418" t="s">
        <v>1524</v>
      </c>
      <c r="U4" s="3419"/>
      <c r="V4" s="3395" t="s">
        <v>1525</v>
      </c>
      <c r="W4" s="3395"/>
      <c r="X4" s="1218"/>
      <c r="Y4" s="3418" t="s">
        <v>1527</v>
      </c>
      <c r="Z4" s="3419"/>
      <c r="AA4" s="3409" t="s">
        <v>1523</v>
      </c>
      <c r="AB4" s="3395" t="s">
        <v>1524</v>
      </c>
      <c r="AC4" s="3409" t="s">
        <v>1525</v>
      </c>
    </row>
    <row r="5" spans="1:29" ht="15">
      <c r="A5" s="1027"/>
      <c r="B5" s="1028"/>
      <c r="C5" s="3383" t="s">
        <v>1528</v>
      </c>
      <c r="D5" s="3384"/>
      <c r="E5" s="3385" t="s">
        <v>1529</v>
      </c>
      <c r="F5" s="3386"/>
      <c r="G5" s="3383" t="s">
        <v>1530</v>
      </c>
      <c r="H5" s="3384"/>
      <c r="I5" s="3383" t="s">
        <v>1531</v>
      </c>
      <c r="J5" s="3384"/>
      <c r="K5" s="1169"/>
      <c r="L5" s="1170"/>
      <c r="M5" s="1120"/>
      <c r="N5" s="1120"/>
      <c r="O5" s="1120"/>
      <c r="P5" s="3414"/>
      <c r="Q5" s="3415"/>
      <c r="R5" s="3420"/>
      <c r="S5" s="3421"/>
      <c r="T5" s="3420"/>
      <c r="U5" s="3421"/>
      <c r="V5" s="3395"/>
      <c r="W5" s="3395"/>
      <c r="X5" s="1218"/>
      <c r="Y5" s="3420"/>
      <c r="Z5" s="3421"/>
      <c r="AA5" s="3410"/>
      <c r="AB5" s="3395"/>
      <c r="AC5" s="3410"/>
    </row>
    <row r="6" spans="1:29" ht="15">
      <c r="A6" s="1029"/>
      <c r="B6" s="1030"/>
      <c r="C6" s="3387" t="s">
        <v>1532</v>
      </c>
      <c r="D6" s="3388"/>
      <c r="E6" s="3389" t="s">
        <v>1532</v>
      </c>
      <c r="F6" s="3390"/>
      <c r="G6" s="3387" t="s">
        <v>1532</v>
      </c>
      <c r="H6" s="3388"/>
      <c r="I6" s="3387" t="s">
        <v>1532</v>
      </c>
      <c r="J6" s="3388"/>
      <c r="K6" s="1169" t="s">
        <v>1533</v>
      </c>
      <c r="L6" s="1170"/>
      <c r="M6" s="1120"/>
      <c r="N6" s="1120"/>
      <c r="O6" s="1120"/>
      <c r="P6" s="3416"/>
      <c r="Q6" s="3417"/>
      <c r="R6" s="3420"/>
      <c r="S6" s="3421"/>
      <c r="T6" s="3422"/>
      <c r="U6" s="3423"/>
      <c r="V6" s="3395"/>
      <c r="W6" s="3395"/>
      <c r="X6" s="1218"/>
      <c r="Y6" s="3422"/>
      <c r="Z6" s="3423"/>
      <c r="AA6" s="3411"/>
      <c r="AB6" s="3395"/>
      <c r="AC6" s="3411"/>
    </row>
    <row r="7" spans="1:29" s="1004" customFormat="1" ht="15">
      <c r="A7" s="1032" t="s">
        <v>1534</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91" t="s">
        <v>1535</v>
      </c>
      <c r="Q7" s="3392"/>
      <c r="R7" s="1219" t="s">
        <v>1536</v>
      </c>
      <c r="S7" s="1220">
        <f t="shared" ref="S7:S15" si="0">F7</f>
        <v>0</v>
      </c>
      <c r="T7" s="1219" t="s">
        <v>1536</v>
      </c>
      <c r="U7" s="1220">
        <f t="shared" ref="U7:U15" si="1">H7</f>
        <v>0</v>
      </c>
      <c r="V7" s="1219" t="s">
        <v>1536</v>
      </c>
      <c r="W7" s="1220">
        <f t="shared" ref="W7:W15" si="2">J7</f>
        <v>0</v>
      </c>
      <c r="X7" s="1221"/>
      <c r="Y7" s="3391" t="s">
        <v>1535</v>
      </c>
      <c r="Z7" s="3393"/>
      <c r="AA7" s="1231" t="e">
        <f>D7/F7</f>
        <v>#DIV/0!</v>
      </c>
      <c r="AB7" s="1231" t="e">
        <f>D7/H7</f>
        <v>#DIV/0!</v>
      </c>
      <c r="AC7" s="1231" t="e">
        <f>D7/J7</f>
        <v>#DIV/0!</v>
      </c>
    </row>
    <row r="8" spans="1:29" s="1004" customFormat="1" ht="15">
      <c r="A8" s="1032" t="s">
        <v>1537</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91" t="s">
        <v>1538</v>
      </c>
      <c r="Q8" s="3393"/>
      <c r="R8" s="1219" t="s">
        <v>1536</v>
      </c>
      <c r="S8" s="1220">
        <f t="shared" si="0"/>
        <v>100</v>
      </c>
      <c r="T8" s="1219" t="s">
        <v>1536</v>
      </c>
      <c r="U8" s="1220">
        <f t="shared" si="1"/>
        <v>100</v>
      </c>
      <c r="V8" s="1219" t="s">
        <v>1536</v>
      </c>
      <c r="W8" s="1220">
        <f t="shared" si="2"/>
        <v>100</v>
      </c>
      <c r="X8" s="1221"/>
      <c r="Y8" s="3391" t="s">
        <v>1538</v>
      </c>
      <c r="Z8" s="3393"/>
      <c r="AA8" s="1231">
        <f t="shared" ref="AA8:AA46" si="3">D8/F8</f>
        <v>1</v>
      </c>
      <c r="AB8" s="1231">
        <f t="shared" ref="AB8:AB46" si="4">D8/H8</f>
        <v>1</v>
      </c>
      <c r="AC8" s="1231">
        <f t="shared" ref="AC8:AC46" si="5">D8/J8</f>
        <v>1</v>
      </c>
    </row>
    <row r="9" spans="1:29" s="1004" customFormat="1">
      <c r="A9" s="1040" t="s">
        <v>1539</v>
      </c>
      <c r="B9" s="1041" t="s">
        <v>1540</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399" t="s">
        <v>1541</v>
      </c>
      <c r="Q9" s="790" t="str">
        <f t="shared" ref="Q9:Q15" si="6">B9</f>
        <v>用途</v>
      </c>
      <c r="R9" s="1219" t="s">
        <v>1536</v>
      </c>
      <c r="S9" s="1220">
        <f t="shared" si="0"/>
        <v>100</v>
      </c>
      <c r="T9" s="1219" t="s">
        <v>1536</v>
      </c>
      <c r="U9" s="1220">
        <f t="shared" si="1"/>
        <v>100</v>
      </c>
      <c r="V9" s="1219" t="s">
        <v>1536</v>
      </c>
      <c r="W9" s="1220">
        <f t="shared" si="2"/>
        <v>100</v>
      </c>
      <c r="X9" s="1221"/>
      <c r="Y9" s="3331" t="s">
        <v>1542</v>
      </c>
      <c r="Z9" s="1231" t="str">
        <f t="shared" ref="Z9:Z15" si="7">Q9</f>
        <v>用途</v>
      </c>
      <c r="AA9" s="1231">
        <f t="shared" si="3"/>
        <v>1</v>
      </c>
      <c r="AB9" s="1231">
        <f t="shared" si="4"/>
        <v>1</v>
      </c>
      <c r="AC9" s="1231">
        <f t="shared" si="5"/>
        <v>1</v>
      </c>
    </row>
    <row r="10" spans="1:29" s="1005" customFormat="1" ht="27">
      <c r="A10" s="1044"/>
      <c r="B10" s="1045" t="s">
        <v>1543</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399"/>
      <c r="Q10" s="790" t="str">
        <f t="shared" si="6"/>
        <v>土地使用年限（年）</v>
      </c>
      <c r="R10" s="1219" t="s">
        <v>1536</v>
      </c>
      <c r="S10" s="1220">
        <f t="shared" si="0"/>
        <v>100</v>
      </c>
      <c r="T10" s="1219" t="s">
        <v>1536</v>
      </c>
      <c r="U10" s="1220">
        <f t="shared" si="1"/>
        <v>100</v>
      </c>
      <c r="V10" s="1219" t="s">
        <v>1536</v>
      </c>
      <c r="W10" s="1220">
        <f t="shared" si="2"/>
        <v>100</v>
      </c>
      <c r="X10" s="1221"/>
      <c r="Y10" s="3331"/>
      <c r="Z10" s="1231" t="str">
        <f t="shared" si="7"/>
        <v>土地使用年限（年）</v>
      </c>
      <c r="AA10" s="1231">
        <f t="shared" si="3"/>
        <v>1</v>
      </c>
      <c r="AB10" s="1231">
        <f t="shared" si="4"/>
        <v>1</v>
      </c>
      <c r="AC10" s="1231">
        <f t="shared" si="5"/>
        <v>1</v>
      </c>
    </row>
    <row r="11" spans="1:29" ht="15">
      <c r="A11" s="1048"/>
      <c r="B11" s="1045" t="s">
        <v>1544</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399"/>
      <c r="Q11" s="790" t="str">
        <f t="shared" si="6"/>
        <v>容积率</v>
      </c>
      <c r="R11" s="1219" t="s">
        <v>1536</v>
      </c>
      <c r="S11" s="1220" t="e">
        <f t="shared" si="0"/>
        <v>#N/A</v>
      </c>
      <c r="T11" s="1219" t="s">
        <v>1536</v>
      </c>
      <c r="U11" s="1220" t="e">
        <f t="shared" si="1"/>
        <v>#N/A</v>
      </c>
      <c r="V11" s="1219" t="s">
        <v>1536</v>
      </c>
      <c r="W11" s="1220" t="e">
        <f t="shared" si="2"/>
        <v>#N/A</v>
      </c>
      <c r="X11" s="1221"/>
      <c r="Y11" s="333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99"/>
      <c r="Q12" s="790">
        <f t="shared" si="6"/>
        <v>111</v>
      </c>
      <c r="R12" s="1219" t="s">
        <v>1536</v>
      </c>
      <c r="S12" s="1220">
        <f t="shared" si="0"/>
        <v>100</v>
      </c>
      <c r="T12" s="1219" t="s">
        <v>1536</v>
      </c>
      <c r="U12" s="1220">
        <f t="shared" si="1"/>
        <v>100</v>
      </c>
      <c r="V12" s="1219" t="s">
        <v>1536</v>
      </c>
      <c r="W12" s="1220">
        <f t="shared" si="2"/>
        <v>100</v>
      </c>
      <c r="X12" s="1221"/>
      <c r="Y12" s="3331"/>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399"/>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99"/>
      <c r="Q14" s="790">
        <f t="shared" si="6"/>
        <v>111</v>
      </c>
      <c r="R14" s="1219" t="s">
        <v>1536</v>
      </c>
      <c r="S14" s="1220">
        <f t="shared" si="0"/>
        <v>100</v>
      </c>
      <c r="T14" s="1219" t="s">
        <v>1536</v>
      </c>
      <c r="U14" s="1220">
        <f t="shared" si="1"/>
        <v>100</v>
      </c>
      <c r="V14" s="1219" t="s">
        <v>1536</v>
      </c>
      <c r="W14" s="1220">
        <f t="shared" si="2"/>
        <v>100</v>
      </c>
      <c r="X14" s="1221"/>
      <c r="Y14" s="3331"/>
      <c r="Z14" s="1231">
        <f t="shared" si="7"/>
        <v>111</v>
      </c>
      <c r="AA14" s="1231">
        <f t="shared" si="3"/>
        <v>1</v>
      </c>
      <c r="AB14" s="1231">
        <f t="shared" si="4"/>
        <v>1</v>
      </c>
      <c r="AC14" s="1231">
        <f t="shared" si="5"/>
        <v>1</v>
      </c>
    </row>
    <row r="15" spans="1:29" ht="71.25">
      <c r="A15" s="1061" t="s">
        <v>1545</v>
      </c>
      <c r="B15" s="1337" t="s">
        <v>1609</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400" t="s">
        <v>1547</v>
      </c>
      <c r="Q15" s="621" t="str">
        <f t="shared" si="6"/>
        <v>商业繁华度</v>
      </c>
      <c r="R15" s="1223" t="s">
        <v>1536</v>
      </c>
      <c r="S15" s="1224">
        <f t="shared" si="0"/>
        <v>100</v>
      </c>
      <c r="T15" s="1223" t="s">
        <v>1536</v>
      </c>
      <c r="U15" s="1224">
        <f t="shared" si="1"/>
        <v>100</v>
      </c>
      <c r="V15" s="1223" t="s">
        <v>1536</v>
      </c>
      <c r="W15" s="1224">
        <f t="shared" si="2"/>
        <v>100</v>
      </c>
      <c r="X15" s="1218"/>
      <c r="Y15" s="3405" t="s">
        <v>1547</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401"/>
      <c r="Q16" s="621"/>
      <c r="R16" s="1223"/>
      <c r="S16" s="1224"/>
      <c r="T16" s="1223"/>
      <c r="U16" s="1224"/>
      <c r="V16" s="1223"/>
      <c r="W16" s="1224"/>
      <c r="X16" s="1218"/>
      <c r="Y16" s="3406"/>
      <c r="Z16" s="1207"/>
      <c r="AA16" s="1207">
        <v>1</v>
      </c>
      <c r="AB16" s="1207">
        <v>1</v>
      </c>
      <c r="AC16" s="1207">
        <v>1</v>
      </c>
    </row>
    <row r="17" spans="1:29" ht="85.5">
      <c r="A17" s="1048"/>
      <c r="B17" s="1339" t="s">
        <v>1548</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401"/>
      <c r="Q17" s="621" t="str">
        <f>B17</f>
        <v>交通便捷度</v>
      </c>
      <c r="R17" s="1223" t="s">
        <v>1536</v>
      </c>
      <c r="S17" s="1224">
        <f>F17</f>
        <v>100</v>
      </c>
      <c r="T17" s="1223" t="s">
        <v>1536</v>
      </c>
      <c r="U17" s="1224">
        <f>H17</f>
        <v>100</v>
      </c>
      <c r="V17" s="1223" t="s">
        <v>1536</v>
      </c>
      <c r="W17" s="1224">
        <f>J17</f>
        <v>100</v>
      </c>
      <c r="X17" s="1218"/>
      <c r="Y17" s="3406"/>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401"/>
      <c r="Q18" s="621"/>
      <c r="R18" s="1223"/>
      <c r="S18" s="1224"/>
      <c r="T18" s="1223"/>
      <c r="U18" s="1224"/>
      <c r="V18" s="1223"/>
      <c r="W18" s="1224"/>
      <c r="X18" s="1218"/>
      <c r="Y18" s="3406"/>
      <c r="Z18" s="1207"/>
      <c r="AA18" s="1207">
        <v>1</v>
      </c>
      <c r="AB18" s="1207">
        <v>1</v>
      </c>
      <c r="AC18" s="1207">
        <v>1</v>
      </c>
    </row>
    <row r="19" spans="1:29" ht="42.75">
      <c r="A19" s="1048"/>
      <c r="B19" s="1339" t="s">
        <v>1549</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401"/>
      <c r="Q19" s="621" t="str">
        <f>B19</f>
        <v>公共配套设施</v>
      </c>
      <c r="R19" s="1223" t="s">
        <v>1536</v>
      </c>
      <c r="S19" s="1224">
        <f>F19</f>
        <v>100</v>
      </c>
      <c r="T19" s="1223" t="s">
        <v>1536</v>
      </c>
      <c r="U19" s="1224">
        <f>H19</f>
        <v>100</v>
      </c>
      <c r="V19" s="1223" t="s">
        <v>1536</v>
      </c>
      <c r="W19" s="1224">
        <f>J19</f>
        <v>100</v>
      </c>
      <c r="X19" s="1218"/>
      <c r="Y19" s="3406"/>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401"/>
      <c r="Q20" s="621"/>
      <c r="R20" s="1223"/>
      <c r="S20" s="1224"/>
      <c r="T20" s="1223"/>
      <c r="U20" s="1224"/>
      <c r="V20" s="1223"/>
      <c r="W20" s="1224"/>
      <c r="X20" s="1218"/>
      <c r="Y20" s="3406"/>
      <c r="Z20" s="1207"/>
      <c r="AA20" s="1207">
        <v>1</v>
      </c>
      <c r="AB20" s="1207">
        <v>1</v>
      </c>
      <c r="AC20" s="1207">
        <v>1</v>
      </c>
    </row>
    <row r="21" spans="1:29" ht="28.5">
      <c r="A21" s="1048"/>
      <c r="B21" s="1343" t="s">
        <v>1550</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401"/>
      <c r="Q21" s="621" t="str">
        <f>B21</f>
        <v>基础设施水平</v>
      </c>
      <c r="R21" s="1223" t="s">
        <v>1536</v>
      </c>
      <c r="S21" s="1224">
        <f>F21</f>
        <v>100</v>
      </c>
      <c r="T21" s="1223" t="s">
        <v>1536</v>
      </c>
      <c r="U21" s="1224">
        <f>H21</f>
        <v>100</v>
      </c>
      <c r="V21" s="1223" t="s">
        <v>1536</v>
      </c>
      <c r="W21" s="1224">
        <f>J21</f>
        <v>100</v>
      </c>
      <c r="X21" s="1218"/>
      <c r="Y21" s="3406"/>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401"/>
      <c r="Q22" s="621"/>
      <c r="R22" s="1223"/>
      <c r="S22" s="1224"/>
      <c r="T22" s="1223"/>
      <c r="U22" s="1224"/>
      <c r="V22" s="1223"/>
      <c r="W22" s="1224"/>
      <c r="X22" s="1218"/>
      <c r="Y22" s="3406"/>
      <c r="Z22" s="1207"/>
      <c r="AA22" s="1207">
        <v>1</v>
      </c>
      <c r="AB22" s="1207">
        <v>1</v>
      </c>
      <c r="AC22" s="1207">
        <v>1</v>
      </c>
    </row>
    <row r="23" spans="1:29" ht="57">
      <c r="A23" s="1048"/>
      <c r="B23" s="1339" t="s">
        <v>1551</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401"/>
      <c r="Q23" s="621" t="str">
        <f>B23</f>
        <v>自然及人文环境</v>
      </c>
      <c r="R23" s="1223" t="s">
        <v>1536</v>
      </c>
      <c r="S23" s="1224">
        <f>F23</f>
        <v>100</v>
      </c>
      <c r="T23" s="1223" t="s">
        <v>1536</v>
      </c>
      <c r="U23" s="1224">
        <f>H23</f>
        <v>100</v>
      </c>
      <c r="V23" s="1223" t="s">
        <v>1536</v>
      </c>
      <c r="W23" s="1224">
        <f>J23</f>
        <v>100</v>
      </c>
      <c r="X23" s="1218"/>
      <c r="Y23" s="3406"/>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401"/>
      <c r="Q24" s="621"/>
      <c r="R24" s="1223"/>
      <c r="S24" s="1224"/>
      <c r="T24" s="1223"/>
      <c r="U24" s="1224"/>
      <c r="V24" s="1223"/>
      <c r="W24" s="1224"/>
      <c r="X24" s="1218"/>
      <c r="Y24" s="3406"/>
      <c r="Z24" s="1207"/>
      <c r="AA24" s="1207">
        <v>1</v>
      </c>
      <c r="AB24" s="1207">
        <v>1</v>
      </c>
      <c r="AC24" s="1207">
        <v>1</v>
      </c>
    </row>
    <row r="25" spans="1:29" ht="15">
      <c r="A25" s="1048"/>
      <c r="B25" s="1045" t="s">
        <v>1610</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01"/>
      <c r="Q25" s="621" t="str">
        <f t="shared" ref="Q25:Q46" si="11">B25</f>
        <v>临街状况</v>
      </c>
      <c r="R25" s="1223" t="s">
        <v>1536</v>
      </c>
      <c r="S25" s="1224">
        <f>F25</f>
        <v>100</v>
      </c>
      <c r="T25" s="1223" t="s">
        <v>1536</v>
      </c>
      <c r="U25" s="1224">
        <f>H25</f>
        <v>100</v>
      </c>
      <c r="V25" s="1223" t="s">
        <v>1536</v>
      </c>
      <c r="W25" s="1224">
        <f>J25</f>
        <v>100</v>
      </c>
      <c r="X25" s="1218"/>
      <c r="Y25" s="3406"/>
      <c r="Z25" s="1207" t="str">
        <f>Q25</f>
        <v>临街状况</v>
      </c>
      <c r="AA25" s="1207">
        <f t="shared" si="3"/>
        <v>1</v>
      </c>
      <c r="AB25" s="1207">
        <f t="shared" si="4"/>
        <v>1</v>
      </c>
      <c r="AC25" s="1207">
        <f t="shared" si="5"/>
        <v>1</v>
      </c>
    </row>
    <row r="26" spans="1:29" ht="15">
      <c r="A26" s="1048"/>
      <c r="B26" s="1282" t="s">
        <v>1611</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01"/>
      <c r="Q26" s="621" t="str">
        <f t="shared" si="11"/>
        <v>平面位置/可视性</v>
      </c>
      <c r="R26" s="1223" t="s">
        <v>1536</v>
      </c>
      <c r="S26" s="1224">
        <f>F26</f>
        <v>100</v>
      </c>
      <c r="T26" s="1223" t="s">
        <v>1536</v>
      </c>
      <c r="U26" s="1224">
        <f>H26</f>
        <v>100</v>
      </c>
      <c r="V26" s="1223" t="s">
        <v>1536</v>
      </c>
      <c r="W26" s="1224">
        <f>J26</f>
        <v>100</v>
      </c>
      <c r="X26" s="1218"/>
      <c r="Y26" s="3406"/>
      <c r="Z26" s="1207" t="str">
        <f>Q26</f>
        <v>平面位置/可视性</v>
      </c>
      <c r="AA26" s="1207">
        <f t="shared" si="3"/>
        <v>1</v>
      </c>
      <c r="AB26" s="1207">
        <f t="shared" si="4"/>
        <v>1</v>
      </c>
      <c r="AC26" s="1207">
        <f t="shared" si="5"/>
        <v>1</v>
      </c>
    </row>
    <row r="27" spans="1:29" s="1004" customFormat="1" ht="15">
      <c r="A27" s="1051"/>
      <c r="B27" s="1339" t="s">
        <v>1612</v>
      </c>
      <c r="C27" s="1523"/>
      <c r="D27" s="1075">
        <v>100</v>
      </c>
      <c r="E27" s="1523"/>
      <c r="F27" s="1094">
        <f>SUMIF(90:90,E27,91:91)-SUMIF(90:90,C27,91:91)+100</f>
        <v>100</v>
      </c>
      <c r="G27" s="1523"/>
      <c r="H27" s="1075">
        <f>SUMIF(90:90,G27,91:91)-SUMIF(90:90,C27,91:91)+100</f>
        <v>100</v>
      </c>
      <c r="I27" s="1523"/>
      <c r="J27" s="1075">
        <f>SUMIF(90:90,I27,91:91)-SUMIF(90:90,C27,91:91)+100</f>
        <v>100</v>
      </c>
      <c r="K27" s="1193"/>
      <c r="L27" s="1175"/>
      <c r="M27" s="1176"/>
      <c r="N27" s="1176"/>
      <c r="O27" s="1176"/>
      <c r="P27" s="3401"/>
      <c r="Q27" s="790" t="str">
        <f t="shared" si="11"/>
        <v>人流量</v>
      </c>
      <c r="R27" s="1219" t="s">
        <v>1536</v>
      </c>
      <c r="S27" s="1220">
        <f>F27</f>
        <v>100</v>
      </c>
      <c r="T27" s="1219" t="s">
        <v>1536</v>
      </c>
      <c r="U27" s="1220">
        <f>H27</f>
        <v>100</v>
      </c>
      <c r="V27" s="1219" t="s">
        <v>1536</v>
      </c>
      <c r="W27" s="1220">
        <f>J27</f>
        <v>100</v>
      </c>
      <c r="X27" s="1221"/>
      <c r="Y27" s="3406"/>
      <c r="Z27" s="1231" t="str">
        <f>Q27</f>
        <v>人流量</v>
      </c>
      <c r="AA27" s="1207">
        <f t="shared" si="3"/>
        <v>1</v>
      </c>
      <c r="AB27" s="1207">
        <f t="shared" si="4"/>
        <v>1</v>
      </c>
      <c r="AC27" s="1207">
        <f t="shared" si="5"/>
        <v>1</v>
      </c>
    </row>
    <row r="28" spans="1:29" ht="15">
      <c r="A28" s="1048"/>
      <c r="B28" s="1045" t="s">
        <v>1613</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01"/>
      <c r="Q28" s="621" t="str">
        <f t="shared" si="11"/>
        <v>楼层</v>
      </c>
      <c r="R28" s="1223" t="s">
        <v>1536</v>
      </c>
      <c r="S28" s="1224">
        <f t="shared" ref="S28:S46" si="12">F28</f>
        <v>100</v>
      </c>
      <c r="T28" s="1223" t="s">
        <v>1536</v>
      </c>
      <c r="U28" s="1224">
        <f t="shared" ref="U28:U46" si="13">H28</f>
        <v>100</v>
      </c>
      <c r="V28" s="1223" t="s">
        <v>1536</v>
      </c>
      <c r="W28" s="1224">
        <f t="shared" ref="W28:W46" si="14">J28</f>
        <v>100</v>
      </c>
      <c r="X28" s="1218"/>
      <c r="Y28" s="3406"/>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01"/>
      <c r="Q29" s="621">
        <f t="shared" si="11"/>
        <v>111</v>
      </c>
      <c r="R29" s="1223" t="s">
        <v>1536</v>
      </c>
      <c r="S29" s="1224">
        <f t="shared" si="12"/>
        <v>100</v>
      </c>
      <c r="T29" s="1223" t="s">
        <v>1536</v>
      </c>
      <c r="U29" s="1224">
        <f t="shared" si="13"/>
        <v>100</v>
      </c>
      <c r="V29" s="1223" t="s">
        <v>1536</v>
      </c>
      <c r="W29" s="1224">
        <f t="shared" si="14"/>
        <v>100</v>
      </c>
      <c r="X29" s="1218"/>
      <c r="Y29" s="3406"/>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01"/>
      <c r="Q30" s="621">
        <f t="shared" si="11"/>
        <v>111</v>
      </c>
      <c r="R30" s="1223" t="s">
        <v>1536</v>
      </c>
      <c r="S30" s="1224">
        <f t="shared" si="12"/>
        <v>100</v>
      </c>
      <c r="T30" s="1223" t="s">
        <v>1536</v>
      </c>
      <c r="U30" s="1224">
        <f t="shared" si="13"/>
        <v>100</v>
      </c>
      <c r="V30" s="1223" t="s">
        <v>1536</v>
      </c>
      <c r="W30" s="1224">
        <f t="shared" si="14"/>
        <v>100</v>
      </c>
      <c r="X30" s="1218"/>
      <c r="Y30" s="3406"/>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401"/>
      <c r="Q31" s="621">
        <f t="shared" si="11"/>
        <v>111</v>
      </c>
      <c r="R31" s="1223" t="s">
        <v>1536</v>
      </c>
      <c r="S31" s="1224">
        <f t="shared" si="12"/>
        <v>100</v>
      </c>
      <c r="T31" s="1223" t="s">
        <v>1536</v>
      </c>
      <c r="U31" s="1224">
        <f t="shared" si="13"/>
        <v>100</v>
      </c>
      <c r="V31" s="1223" t="s">
        <v>1536</v>
      </c>
      <c r="W31" s="1224">
        <f t="shared" si="14"/>
        <v>100</v>
      </c>
      <c r="X31" s="1218"/>
      <c r="Y31" s="3406"/>
      <c r="Z31" s="1207">
        <f t="shared" si="15"/>
        <v>111</v>
      </c>
      <c r="AA31" s="1207">
        <f t="shared" si="3"/>
        <v>1</v>
      </c>
      <c r="AB31" s="1207">
        <f t="shared" si="4"/>
        <v>1</v>
      </c>
      <c r="AC31" s="1207">
        <f t="shared" si="5"/>
        <v>1</v>
      </c>
    </row>
    <row r="32" spans="1:29" ht="15">
      <c r="A32" s="1061" t="s">
        <v>1554</v>
      </c>
      <c r="B32" s="1041" t="s">
        <v>1614</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402" t="s">
        <v>1556</v>
      </c>
      <c r="Q32" s="621" t="str">
        <f t="shared" si="11"/>
        <v>商业类型</v>
      </c>
      <c r="R32" s="1223" t="s">
        <v>1536</v>
      </c>
      <c r="S32" s="1224">
        <f t="shared" si="12"/>
        <v>100</v>
      </c>
      <c r="T32" s="1223" t="s">
        <v>1536</v>
      </c>
      <c r="U32" s="1224">
        <f t="shared" si="13"/>
        <v>100</v>
      </c>
      <c r="V32" s="1223" t="s">
        <v>1536</v>
      </c>
      <c r="W32" s="1224">
        <f t="shared" si="14"/>
        <v>100</v>
      </c>
      <c r="X32" s="1218"/>
      <c r="Y32" s="3407" t="s">
        <v>1556</v>
      </c>
      <c r="Z32" s="1207" t="str">
        <f t="shared" si="15"/>
        <v>商业类型</v>
      </c>
      <c r="AA32" s="1207">
        <f t="shared" si="3"/>
        <v>1</v>
      </c>
      <c r="AB32" s="1207">
        <f t="shared" si="4"/>
        <v>1</v>
      </c>
      <c r="AC32" s="1207">
        <f t="shared" si="5"/>
        <v>1</v>
      </c>
    </row>
    <row r="33" spans="1:29" s="1006" customFormat="1" ht="15">
      <c r="A33" s="1101"/>
      <c r="B33" s="1045" t="s">
        <v>1557</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03"/>
      <c r="Q33" s="1413" t="str">
        <f t="shared" si="11"/>
        <v>项目建筑规模</v>
      </c>
      <c r="R33" s="1225" t="s">
        <v>1536</v>
      </c>
      <c r="S33" s="1226" t="e">
        <f t="shared" si="12"/>
        <v>#N/A</v>
      </c>
      <c r="T33" s="1225" t="s">
        <v>1536</v>
      </c>
      <c r="U33" s="1226" t="e">
        <f t="shared" si="13"/>
        <v>#N/A</v>
      </c>
      <c r="V33" s="1225" t="s">
        <v>1536</v>
      </c>
      <c r="W33" s="1226" t="e">
        <f t="shared" si="14"/>
        <v>#N/A</v>
      </c>
      <c r="X33" s="1227"/>
      <c r="Y33" s="3407"/>
      <c r="Z33" s="1232" t="str">
        <f t="shared" si="15"/>
        <v>项目建筑规模</v>
      </c>
      <c r="AA33" s="1207" t="e">
        <f t="shared" si="3"/>
        <v>#N/A</v>
      </c>
      <c r="AB33" s="1207" t="e">
        <f t="shared" si="4"/>
        <v>#N/A</v>
      </c>
      <c r="AC33" s="1207" t="e">
        <f t="shared" si="5"/>
        <v>#N/A</v>
      </c>
    </row>
    <row r="34" spans="1:29" ht="15">
      <c r="A34" s="1096"/>
      <c r="B34" s="1045" t="s">
        <v>1558</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403"/>
      <c r="Q34" s="621" t="str">
        <f t="shared" si="11"/>
        <v>建筑结构</v>
      </c>
      <c r="R34" s="1223" t="s">
        <v>1536</v>
      </c>
      <c r="S34" s="1224">
        <f t="shared" si="12"/>
        <v>100</v>
      </c>
      <c r="T34" s="1223" t="s">
        <v>1536</v>
      </c>
      <c r="U34" s="1224">
        <f t="shared" si="13"/>
        <v>100</v>
      </c>
      <c r="V34" s="1223" t="s">
        <v>1536</v>
      </c>
      <c r="W34" s="1224">
        <f t="shared" si="14"/>
        <v>100</v>
      </c>
      <c r="X34" s="1218"/>
      <c r="Y34" s="3407"/>
      <c r="Z34" s="1207" t="str">
        <f t="shared" si="15"/>
        <v>建筑结构</v>
      </c>
      <c r="AA34" s="1207">
        <f t="shared" si="3"/>
        <v>1</v>
      </c>
      <c r="AB34" s="1207">
        <f t="shared" si="4"/>
        <v>1</v>
      </c>
      <c r="AC34" s="1207">
        <f t="shared" si="5"/>
        <v>1</v>
      </c>
    </row>
    <row r="35" spans="1:29" ht="15">
      <c r="A35" s="1096"/>
      <c r="B35" s="1045" t="s">
        <v>1560</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03"/>
      <c r="Q35" s="621" t="str">
        <f t="shared" si="11"/>
        <v>公共部分装修</v>
      </c>
      <c r="R35" s="1223" t="s">
        <v>1536</v>
      </c>
      <c r="S35" s="1224">
        <f t="shared" si="12"/>
        <v>100</v>
      </c>
      <c r="T35" s="1223" t="s">
        <v>1536</v>
      </c>
      <c r="U35" s="1224">
        <f t="shared" si="13"/>
        <v>100</v>
      </c>
      <c r="V35" s="1223" t="s">
        <v>1536</v>
      </c>
      <c r="W35" s="1224">
        <f t="shared" si="14"/>
        <v>100</v>
      </c>
      <c r="X35" s="1218"/>
      <c r="Y35" s="3407"/>
      <c r="Z35" s="1207" t="str">
        <f t="shared" si="15"/>
        <v>公共部分装修</v>
      </c>
      <c r="AA35" s="1207">
        <f t="shared" si="3"/>
        <v>1</v>
      </c>
      <c r="AB35" s="1207">
        <f t="shared" si="4"/>
        <v>1</v>
      </c>
      <c r="AC35" s="1207">
        <f t="shared" si="5"/>
        <v>1</v>
      </c>
    </row>
    <row r="36" spans="1:29" ht="15">
      <c r="A36" s="1096"/>
      <c r="B36" s="1045" t="s">
        <v>682</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403"/>
      <c r="Q36" s="621" t="str">
        <f t="shared" si="11"/>
        <v>成新度</v>
      </c>
      <c r="R36" s="1223" t="s">
        <v>1536</v>
      </c>
      <c r="S36" s="1224" t="e">
        <f t="shared" si="12"/>
        <v>#N/A</v>
      </c>
      <c r="T36" s="1223" t="s">
        <v>1536</v>
      </c>
      <c r="U36" s="1224" t="e">
        <f t="shared" si="13"/>
        <v>#N/A</v>
      </c>
      <c r="V36" s="1223" t="s">
        <v>1536</v>
      </c>
      <c r="W36" s="1224" t="e">
        <f t="shared" si="14"/>
        <v>#N/A</v>
      </c>
      <c r="X36" s="1218"/>
      <c r="Y36" s="3407"/>
      <c r="Z36" s="1207" t="str">
        <f t="shared" si="15"/>
        <v>成新度</v>
      </c>
      <c r="AA36" s="1207" t="e">
        <f t="shared" si="3"/>
        <v>#N/A</v>
      </c>
      <c r="AB36" s="1207" t="e">
        <f t="shared" si="4"/>
        <v>#N/A</v>
      </c>
      <c r="AC36" s="1207" t="e">
        <f t="shared" si="5"/>
        <v>#N/A</v>
      </c>
    </row>
    <row r="37" spans="1:29" s="1004" customFormat="1" ht="15">
      <c r="A37" s="1098"/>
      <c r="B37" s="1045" t="s">
        <v>1562</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03"/>
      <c r="Q37" s="790" t="str">
        <f t="shared" si="11"/>
        <v>市政基础设施</v>
      </c>
      <c r="R37" s="1219" t="s">
        <v>1536</v>
      </c>
      <c r="S37" s="1220">
        <f t="shared" si="12"/>
        <v>100</v>
      </c>
      <c r="T37" s="1219" t="s">
        <v>1536</v>
      </c>
      <c r="U37" s="1220">
        <f t="shared" si="13"/>
        <v>100</v>
      </c>
      <c r="V37" s="1219" t="s">
        <v>1536</v>
      </c>
      <c r="W37" s="1220">
        <f t="shared" si="14"/>
        <v>100</v>
      </c>
      <c r="X37" s="1221"/>
      <c r="Y37" s="3407"/>
      <c r="Z37" s="1231" t="str">
        <f t="shared" si="15"/>
        <v>市政基础设施</v>
      </c>
      <c r="AA37" s="1231">
        <f t="shared" si="3"/>
        <v>1</v>
      </c>
      <c r="AB37" s="1231">
        <f t="shared" si="4"/>
        <v>1</v>
      </c>
      <c r="AC37" s="1231">
        <f t="shared" si="5"/>
        <v>1</v>
      </c>
    </row>
    <row r="38" spans="1:29" ht="15">
      <c r="A38" s="1096"/>
      <c r="B38" s="1045" t="s">
        <v>1615</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03" t="s">
        <v>1556</v>
      </c>
      <c r="Q38" s="621" t="str">
        <f t="shared" si="11"/>
        <v>业态</v>
      </c>
      <c r="R38" s="1223" t="s">
        <v>1536</v>
      </c>
      <c r="S38" s="1224">
        <f t="shared" si="12"/>
        <v>100</v>
      </c>
      <c r="T38" s="1223" t="s">
        <v>1536</v>
      </c>
      <c r="U38" s="1224">
        <f t="shared" si="13"/>
        <v>100</v>
      </c>
      <c r="V38" s="1223" t="s">
        <v>1536</v>
      </c>
      <c r="W38" s="1224">
        <f t="shared" si="14"/>
        <v>100</v>
      </c>
      <c r="X38" s="1218"/>
      <c r="Y38" s="3407" t="s">
        <v>1556</v>
      </c>
      <c r="Z38" s="1207" t="str">
        <f t="shared" si="15"/>
        <v>业态</v>
      </c>
      <c r="AA38" s="1207">
        <f t="shared" si="3"/>
        <v>1</v>
      </c>
      <c r="AB38" s="1207">
        <f t="shared" si="4"/>
        <v>1</v>
      </c>
      <c r="AC38" s="1207">
        <f t="shared" si="5"/>
        <v>1</v>
      </c>
    </row>
    <row r="39" spans="1:29" ht="15">
      <c r="A39" s="1096"/>
      <c r="B39" s="1045" t="s">
        <v>1616</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03"/>
      <c r="Q39" s="621" t="str">
        <f t="shared" si="11"/>
        <v>层高</v>
      </c>
      <c r="R39" s="1223" t="s">
        <v>1536</v>
      </c>
      <c r="S39" s="1224">
        <f t="shared" si="12"/>
        <v>100</v>
      </c>
      <c r="T39" s="1223" t="s">
        <v>1536</v>
      </c>
      <c r="U39" s="1224">
        <f t="shared" si="13"/>
        <v>100</v>
      </c>
      <c r="V39" s="1223" t="s">
        <v>1536</v>
      </c>
      <c r="W39" s="1224">
        <f t="shared" si="14"/>
        <v>100</v>
      </c>
      <c r="X39" s="1218"/>
      <c r="Y39" s="3407"/>
      <c r="Z39" s="1207" t="str">
        <f t="shared" si="15"/>
        <v>层高</v>
      </c>
      <c r="AA39" s="1207">
        <f t="shared" si="3"/>
        <v>1</v>
      </c>
      <c r="AB39" s="1207">
        <f t="shared" si="4"/>
        <v>1</v>
      </c>
      <c r="AC39" s="1207">
        <f t="shared" si="5"/>
        <v>1</v>
      </c>
    </row>
    <row r="40" spans="1:29" ht="15">
      <c r="A40" s="1096"/>
      <c r="B40" s="1045" t="s">
        <v>1617</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403"/>
      <c r="Q40" s="621" t="str">
        <f t="shared" si="11"/>
        <v>单套建筑面积</v>
      </c>
      <c r="R40" s="1223" t="s">
        <v>1536</v>
      </c>
      <c r="S40" s="1224">
        <f t="shared" si="12"/>
        <v>100</v>
      </c>
      <c r="T40" s="1223" t="s">
        <v>1536</v>
      </c>
      <c r="U40" s="1224">
        <f t="shared" si="13"/>
        <v>100</v>
      </c>
      <c r="V40" s="1223" t="s">
        <v>1536</v>
      </c>
      <c r="W40" s="1224">
        <f t="shared" si="14"/>
        <v>100</v>
      </c>
      <c r="X40" s="1218"/>
      <c r="Y40" s="3407"/>
      <c r="Z40" s="1207" t="str">
        <f t="shared" si="15"/>
        <v>单套建筑面积</v>
      </c>
      <c r="AA40" s="1207">
        <f t="shared" si="3"/>
        <v>1</v>
      </c>
      <c r="AB40" s="1207">
        <f t="shared" si="4"/>
        <v>1</v>
      </c>
      <c r="AC40" s="1207">
        <f t="shared" si="5"/>
        <v>1</v>
      </c>
    </row>
    <row r="41" spans="1:29" s="1006" customFormat="1" ht="15">
      <c r="A41" s="1101"/>
      <c r="B41" s="1202" t="s">
        <v>1618</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03"/>
      <c r="Q41" s="1413" t="str">
        <f t="shared" si="11"/>
        <v>进深比</v>
      </c>
      <c r="R41" s="1225" t="s">
        <v>1536</v>
      </c>
      <c r="S41" s="1226">
        <f t="shared" si="12"/>
        <v>100</v>
      </c>
      <c r="T41" s="1225" t="s">
        <v>1536</v>
      </c>
      <c r="U41" s="1226">
        <f t="shared" si="13"/>
        <v>100</v>
      </c>
      <c r="V41" s="1225" t="s">
        <v>1536</v>
      </c>
      <c r="W41" s="1226">
        <f t="shared" si="14"/>
        <v>100</v>
      </c>
      <c r="X41" s="1227"/>
      <c r="Y41" s="3407"/>
      <c r="Z41" s="1232" t="str">
        <f t="shared" si="15"/>
        <v>进深比</v>
      </c>
      <c r="AA41" s="1207">
        <f t="shared" si="3"/>
        <v>1</v>
      </c>
      <c r="AB41" s="1207">
        <f t="shared" si="4"/>
        <v>1</v>
      </c>
      <c r="AC41" s="1207">
        <f t="shared" si="5"/>
        <v>1</v>
      </c>
    </row>
    <row r="42" spans="1:29" ht="15">
      <c r="A42" s="1096"/>
      <c r="B42" s="1045" t="s">
        <v>1565</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03"/>
      <c r="Q42" s="621" t="str">
        <f t="shared" si="11"/>
        <v>内部装修</v>
      </c>
      <c r="R42" s="1223" t="s">
        <v>1536</v>
      </c>
      <c r="S42" s="1224">
        <f t="shared" si="12"/>
        <v>100</v>
      </c>
      <c r="T42" s="1223" t="s">
        <v>1536</v>
      </c>
      <c r="U42" s="1224">
        <f t="shared" si="13"/>
        <v>100</v>
      </c>
      <c r="V42" s="1223" t="s">
        <v>1536</v>
      </c>
      <c r="W42" s="1224">
        <f t="shared" si="14"/>
        <v>100</v>
      </c>
      <c r="X42" s="1218"/>
      <c r="Y42" s="3407"/>
      <c r="Z42" s="1207" t="str">
        <f t="shared" si="15"/>
        <v>内部装修</v>
      </c>
      <c r="AA42" s="1207">
        <f t="shared" si="3"/>
        <v>1</v>
      </c>
      <c r="AB42" s="1207">
        <f t="shared" si="4"/>
        <v>1</v>
      </c>
      <c r="AC42" s="1207">
        <f t="shared" si="5"/>
        <v>1</v>
      </c>
    </row>
    <row r="43" spans="1:29" ht="15">
      <c r="A43" s="1096"/>
      <c r="B43" s="1045" t="s">
        <v>1566</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03"/>
      <c r="Q43" s="621" t="str">
        <f t="shared" si="11"/>
        <v>内部装修维护情况</v>
      </c>
      <c r="R43" s="1223" t="s">
        <v>1536</v>
      </c>
      <c r="S43" s="1224">
        <f t="shared" si="12"/>
        <v>100</v>
      </c>
      <c r="T43" s="1223" t="s">
        <v>1536</v>
      </c>
      <c r="U43" s="1224">
        <f t="shared" si="13"/>
        <v>100</v>
      </c>
      <c r="V43" s="1223" t="s">
        <v>1536</v>
      </c>
      <c r="W43" s="1224">
        <f t="shared" si="14"/>
        <v>100</v>
      </c>
      <c r="X43" s="1218"/>
      <c r="Y43" s="3407"/>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03"/>
      <c r="Q44" s="790">
        <f t="shared" si="11"/>
        <v>111</v>
      </c>
      <c r="R44" s="1219" t="s">
        <v>1536</v>
      </c>
      <c r="S44" s="1220">
        <f t="shared" si="12"/>
        <v>100</v>
      </c>
      <c r="T44" s="1219" t="s">
        <v>1536</v>
      </c>
      <c r="U44" s="1220">
        <f t="shared" si="13"/>
        <v>100</v>
      </c>
      <c r="V44" s="1219" t="s">
        <v>1536</v>
      </c>
      <c r="W44" s="1220">
        <f t="shared" si="14"/>
        <v>100</v>
      </c>
      <c r="X44" s="1221"/>
      <c r="Y44" s="3407"/>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03"/>
      <c r="Q45" s="621">
        <f t="shared" si="11"/>
        <v>111</v>
      </c>
      <c r="R45" s="1223" t="s">
        <v>1536</v>
      </c>
      <c r="S45" s="1224">
        <f t="shared" si="12"/>
        <v>100</v>
      </c>
      <c r="T45" s="1223" t="s">
        <v>1536</v>
      </c>
      <c r="U45" s="1224">
        <f t="shared" si="13"/>
        <v>100</v>
      </c>
      <c r="V45" s="1223" t="s">
        <v>1536</v>
      </c>
      <c r="W45" s="1224">
        <f t="shared" si="14"/>
        <v>100</v>
      </c>
      <c r="X45" s="1218"/>
      <c r="Y45" s="3407"/>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04"/>
      <c r="Q46" s="621">
        <f t="shared" si="11"/>
        <v>111</v>
      </c>
      <c r="R46" s="1223" t="s">
        <v>1536</v>
      </c>
      <c r="S46" s="1224">
        <f t="shared" si="12"/>
        <v>100</v>
      </c>
      <c r="T46" s="1223" t="s">
        <v>1536</v>
      </c>
      <c r="U46" s="1224">
        <f t="shared" si="13"/>
        <v>100</v>
      </c>
      <c r="V46" s="1223" t="s">
        <v>1536</v>
      </c>
      <c r="W46" s="1224">
        <f t="shared" si="14"/>
        <v>100</v>
      </c>
      <c r="X46" s="1218"/>
      <c r="Y46" s="3408"/>
      <c r="Z46" s="1207">
        <f t="shared" si="15"/>
        <v>111</v>
      </c>
      <c r="AA46" s="1207">
        <f t="shared" si="3"/>
        <v>1</v>
      </c>
      <c r="AB46" s="1207">
        <f t="shared" si="4"/>
        <v>1</v>
      </c>
      <c r="AC46" s="1207">
        <f t="shared" si="5"/>
        <v>1</v>
      </c>
    </row>
    <row r="47" spans="1:29" ht="15">
      <c r="A47" s="1103" t="s">
        <v>1567</v>
      </c>
      <c r="B47" s="1396"/>
      <c r="C47" s="1397" t="s">
        <v>124</v>
      </c>
      <c r="D47" s="1106"/>
      <c r="E47" s="1107"/>
      <c r="F47" s="1108"/>
      <c r="G47" s="1109"/>
      <c r="H47" s="1110"/>
      <c r="I47" s="1107"/>
      <c r="J47" s="1110"/>
      <c r="K47" s="1198"/>
      <c r="L47" s="1199"/>
      <c r="M47" s="1120"/>
      <c r="N47" s="1120"/>
      <c r="O47" s="1120"/>
      <c r="P47" s="3394" t="str">
        <f>A47</f>
        <v>成交单价（元/平方米）</v>
      </c>
      <c r="Q47" s="3394"/>
      <c r="R47" s="3395">
        <f>E47</f>
        <v>0</v>
      </c>
      <c r="S47" s="3395"/>
      <c r="T47" s="3395">
        <f>G47</f>
        <v>0</v>
      </c>
      <c r="U47" s="3395"/>
      <c r="V47" s="3395">
        <f>I47</f>
        <v>0</v>
      </c>
      <c r="W47" s="3395"/>
      <c r="X47" s="1160"/>
      <c r="Y47" s="1233"/>
      <c r="Z47" s="1160"/>
      <c r="AA47" s="1160"/>
      <c r="AB47" s="1160"/>
      <c r="AC47" s="1160"/>
    </row>
    <row r="48" spans="1:29" ht="15">
      <c r="A48" s="1111" t="s">
        <v>1568</v>
      </c>
      <c r="B48" s="1398"/>
      <c r="C48" s="1399" t="e">
        <f>R49</f>
        <v>#DIV/0!</v>
      </c>
      <c r="D48" s="1114" t="s">
        <v>1569</v>
      </c>
      <c r="E48" s="1400" t="e">
        <f>R48</f>
        <v>#DIV/0!</v>
      </c>
      <c r="F48" s="1115"/>
      <c r="G48" s="1399" t="e">
        <f>T48</f>
        <v>#DIV/0!</v>
      </c>
      <c r="H48" s="1115"/>
      <c r="I48" s="1400" t="e">
        <f>V48</f>
        <v>#DIV/0!</v>
      </c>
      <c r="J48" s="1115"/>
      <c r="K48" s="1200">
        <f>F48+H48+J48</f>
        <v>0</v>
      </c>
      <c r="L48" s="1199"/>
      <c r="M48" s="1120"/>
      <c r="N48" s="1120"/>
      <c r="O48" s="1120"/>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160"/>
      <c r="Y48" s="1160"/>
      <c r="Z48" s="1160"/>
      <c r="AA48" s="1160"/>
      <c r="AB48" s="1160"/>
      <c r="AC48" s="1160"/>
    </row>
    <row r="49" spans="1:29" ht="15">
      <c r="A49" s="1117" t="s">
        <v>1570</v>
      </c>
      <c r="B49" s="1118"/>
      <c r="C49" s="1030" t="e">
        <f>R49</f>
        <v>#DIV/0!</v>
      </c>
      <c r="D49" s="1030"/>
      <c r="E49" s="1030"/>
      <c r="F49" s="1030"/>
      <c r="G49" s="1030"/>
      <c r="H49" s="1030"/>
      <c r="I49" s="1030"/>
      <c r="J49" s="1030"/>
      <c r="K49" s="1201"/>
      <c r="L49" s="1199"/>
      <c r="M49" s="1120"/>
      <c r="N49" s="1120"/>
      <c r="O49" s="1120"/>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1571</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1572</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1573</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1574</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1534</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1575</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1537</v>
      </c>
      <c r="B61" s="1245"/>
      <c r="C61" s="1246" t="s">
        <v>1576</v>
      </c>
      <c r="D61" s="1247"/>
      <c r="E61" s="1247"/>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c r="E62" s="1249"/>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1577</v>
      </c>
      <c r="B63" s="1250" t="s">
        <v>1540</v>
      </c>
      <c r="C63" s="617">
        <f>C9</f>
        <v>0</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1543</v>
      </c>
      <c r="C65" s="1275"/>
      <c r="D65" s="1275"/>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1544</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1545</v>
      </c>
      <c r="B76" s="1250" t="s">
        <v>1546</v>
      </c>
      <c r="C76" s="1270" t="s">
        <v>1578</v>
      </c>
      <c r="D76" s="1270" t="s">
        <v>1579</v>
      </c>
      <c r="E76" s="1270" t="s">
        <v>1580</v>
      </c>
      <c r="F76" s="1270" t="s">
        <v>1581</v>
      </c>
      <c r="G76" s="1270" t="s">
        <v>1582</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1548</v>
      </c>
      <c r="C78" s="1271" t="s">
        <v>1578</v>
      </c>
      <c r="D78" s="1271" t="s">
        <v>1579</v>
      </c>
      <c r="E78" s="1271" t="s">
        <v>1580</v>
      </c>
      <c r="F78" s="1271" t="s">
        <v>1581</v>
      </c>
      <c r="G78" s="1271" t="s">
        <v>1582</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1549</v>
      </c>
      <c r="C80" s="1271" t="s">
        <v>1578</v>
      </c>
      <c r="D80" s="1271" t="s">
        <v>1579</v>
      </c>
      <c r="E80" s="1271" t="s">
        <v>1580</v>
      </c>
      <c r="F80" s="1271" t="s">
        <v>1581</v>
      </c>
      <c r="G80" s="1271" t="s">
        <v>1582</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1550</v>
      </c>
      <c r="C82" s="1188" t="s">
        <v>1583</v>
      </c>
      <c r="D82" s="1188" t="s">
        <v>1584</v>
      </c>
      <c r="E82" s="1188" t="s">
        <v>1585</v>
      </c>
      <c r="F82" s="1188" t="s">
        <v>1586</v>
      </c>
      <c r="G82" s="1188" t="s">
        <v>1587</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1551</v>
      </c>
      <c r="C84" s="1271" t="s">
        <v>1578</v>
      </c>
      <c r="D84" s="1271" t="s">
        <v>1579</v>
      </c>
      <c r="E84" s="1271" t="s">
        <v>1580</v>
      </c>
      <c r="F84" s="1271" t="s">
        <v>1581</v>
      </c>
      <c r="G84" s="1271" t="s">
        <v>1582</v>
      </c>
      <c r="H84" s="1254"/>
      <c r="I84" s="1254"/>
      <c r="J84" s="1254"/>
      <c r="K84" s="1295"/>
      <c r="L84" s="1296"/>
      <c r="M84" s="1297"/>
      <c r="N84" s="1292"/>
      <c r="O84" s="1292"/>
      <c r="P84" s="1548"/>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48"/>
      <c r="Q85" s="1228"/>
      <c r="R85" s="1120"/>
      <c r="S85" s="1120"/>
      <c r="T85" s="1120"/>
      <c r="U85" s="1120"/>
      <c r="V85" s="1120"/>
      <c r="W85" s="1120"/>
      <c r="X85" s="1120"/>
      <c r="Y85" s="1120"/>
      <c r="Z85" s="1120"/>
      <c r="AA85" s="1120"/>
      <c r="AB85" s="1120"/>
      <c r="AC85" s="1120"/>
    </row>
    <row r="86" spans="1:29" s="1004" customFormat="1" ht="15">
      <c r="A86" s="1051"/>
      <c r="B86" s="1253" t="s">
        <v>1610</v>
      </c>
      <c r="C86" s="1261"/>
      <c r="D86" s="1261"/>
      <c r="E86" s="1261"/>
      <c r="F86" s="1261"/>
      <c r="G86" s="1261"/>
      <c r="H86" s="1261"/>
      <c r="I86" s="1261"/>
      <c r="J86" s="1261"/>
      <c r="K86" s="1261"/>
      <c r="L86" s="1418"/>
      <c r="M86" s="1419"/>
      <c r="N86" s="1287"/>
      <c r="O86" s="1287"/>
      <c r="P86" s="1548"/>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48"/>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1"/>
      <c r="G88" s="1261"/>
      <c r="H88" s="1261"/>
      <c r="I88" s="1261"/>
      <c r="J88" s="1261"/>
      <c r="K88" s="1261"/>
      <c r="L88" s="1261"/>
      <c r="M88" s="1419"/>
      <c r="N88" s="1287"/>
      <c r="O88" s="1287"/>
      <c r="P88" s="1548"/>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48"/>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52"/>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2"/>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48"/>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48"/>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28"/>
      <c r="R99" s="1120"/>
      <c r="S99" s="1120"/>
      <c r="T99" s="1120"/>
      <c r="U99" s="1120"/>
      <c r="V99" s="1120"/>
      <c r="W99" s="1120"/>
      <c r="X99" s="1120"/>
      <c r="Y99" s="1120"/>
      <c r="Z99" s="1120"/>
      <c r="AA99" s="1120"/>
      <c r="AB99" s="1120"/>
      <c r="AC99" s="1120"/>
    </row>
    <row r="100" spans="1:29">
      <c r="A100" s="1061" t="s">
        <v>1554</v>
      </c>
      <c r="B100" s="1250" t="s">
        <v>1614</v>
      </c>
      <c r="C100" s="1196"/>
      <c r="D100" s="1196"/>
      <c r="E100" s="1196"/>
      <c r="F100" s="1196"/>
      <c r="G100" s="1196"/>
      <c r="H100" s="1196"/>
      <c r="I100" s="1196"/>
      <c r="J100" s="1196"/>
      <c r="K100" s="1289"/>
      <c r="L100" s="1290"/>
      <c r="M100" s="1291"/>
      <c r="N100" s="1292"/>
      <c r="O100" s="1292"/>
      <c r="P100" s="1548"/>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48"/>
      <c r="Q101" s="1228"/>
      <c r="R101" s="1120"/>
      <c r="S101" s="1120"/>
      <c r="T101" s="1120"/>
      <c r="U101" s="1120"/>
      <c r="V101" s="1120"/>
      <c r="W101" s="1120"/>
      <c r="X101" s="1120"/>
      <c r="Y101" s="1120"/>
      <c r="Z101" s="1120"/>
      <c r="AA101" s="1120"/>
      <c r="AB101" s="1120"/>
      <c r="AC101" s="1120"/>
    </row>
    <row r="102" spans="1:29" ht="15">
      <c r="A102" s="1048"/>
      <c r="B102" s="1253" t="s">
        <v>1557</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48"/>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52"/>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52"/>
      <c r="Q104" s="1332"/>
      <c r="R104" s="1194"/>
      <c r="S104" s="1194"/>
      <c r="T104" s="1194"/>
      <c r="U104" s="1194"/>
      <c r="V104" s="1194"/>
      <c r="W104" s="1194"/>
      <c r="X104" s="1194"/>
      <c r="Y104" s="1194"/>
      <c r="Z104" s="1194"/>
      <c r="AA104" s="1194"/>
      <c r="AB104" s="1194"/>
      <c r="AC104" s="1194"/>
    </row>
    <row r="105" spans="1:29">
      <c r="A105" s="1096"/>
      <c r="B105" s="1253" t="s">
        <v>1558</v>
      </c>
      <c r="C105" s="1261"/>
      <c r="D105" s="1261"/>
      <c r="E105" s="1275"/>
      <c r="F105" s="1275"/>
      <c r="G105" s="1275"/>
      <c r="H105" s="1275"/>
      <c r="I105" s="1275"/>
      <c r="J105" s="1275"/>
      <c r="K105" s="1320"/>
      <c r="L105" s="1321"/>
      <c r="M105" s="1322"/>
      <c r="N105" s="1292"/>
      <c r="O105" s="1292"/>
      <c r="P105" s="1548"/>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48"/>
      <c r="Q106" s="1228"/>
      <c r="R106" s="1120"/>
      <c r="S106" s="1120"/>
      <c r="T106" s="1120"/>
      <c r="U106" s="1120"/>
      <c r="V106" s="1120"/>
      <c r="W106" s="1120"/>
      <c r="X106" s="1120"/>
      <c r="Y106" s="1120"/>
      <c r="Z106" s="1120"/>
      <c r="AA106" s="1120"/>
      <c r="AB106" s="1120"/>
      <c r="AC106" s="1120"/>
    </row>
    <row r="107" spans="1:29">
      <c r="A107" s="1096"/>
      <c r="B107" s="1253" t="s">
        <v>1560</v>
      </c>
      <c r="C107" s="1261"/>
      <c r="D107" s="1261"/>
      <c r="E107" s="1261"/>
      <c r="F107" s="1275"/>
      <c r="G107" s="1275"/>
      <c r="H107" s="1275"/>
      <c r="I107" s="1275"/>
      <c r="J107" s="1275"/>
      <c r="K107" s="1320"/>
      <c r="L107" s="1321"/>
      <c r="M107" s="1322"/>
      <c r="N107" s="1292"/>
      <c r="O107" s="1292"/>
      <c r="P107" s="1548"/>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682</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1562</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1615</v>
      </c>
      <c r="C114" s="1261"/>
      <c r="D114" s="1261"/>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1616</v>
      </c>
      <c r="C116" s="1261"/>
      <c r="D116" s="1261"/>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1617</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1619</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1565</v>
      </c>
      <c r="C122" s="1261"/>
      <c r="D122" s="1261"/>
      <c r="E122" s="1261"/>
      <c r="F122" s="1275"/>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1566</v>
      </c>
      <c r="C124" s="1271" t="s">
        <v>1578</v>
      </c>
      <c r="D124" s="1271" t="s">
        <v>1579</v>
      </c>
      <c r="E124" s="1271" t="s">
        <v>1580</v>
      </c>
      <c r="F124" s="1271" t="s">
        <v>1581</v>
      </c>
      <c r="G124" s="1271" t="s">
        <v>1582</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1516</v>
      </c>
      <c r="B1" s="1481" t="s">
        <v>1620</v>
      </c>
      <c r="C1" s="1367" t="s">
        <v>1518</v>
      </c>
      <c r="D1" s="1368"/>
      <c r="E1" s="1369"/>
      <c r="F1" s="1370"/>
      <c r="G1" s="1371" t="s">
        <v>1519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1037</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1038</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1039</v>
      </c>
      <c r="B3" s="1021">
        <f>IF(C2="——",C50,ROUND(B2*10000/D3,0))</f>
        <v>0</v>
      </c>
      <c r="C3" s="1378" t="s">
        <v>1520</v>
      </c>
      <c r="D3" s="1379">
        <f>IF(D1="",'数据-汇总表'!E3,SUMIF('数据-汇总表'!$C19:$C33,D1,'数据-汇总表'!$E19:$E33))</f>
        <v>12749.85</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1521</v>
      </c>
      <c r="B4" s="1024"/>
      <c r="C4" s="3379" t="s">
        <v>1522</v>
      </c>
      <c r="D4" s="3380"/>
      <c r="E4" s="3381" t="s">
        <v>1523</v>
      </c>
      <c r="F4" s="3382"/>
      <c r="G4" s="3379" t="s">
        <v>1524</v>
      </c>
      <c r="H4" s="3380"/>
      <c r="I4" s="3379" t="s">
        <v>1525</v>
      </c>
      <c r="J4" s="3380"/>
      <c r="K4" s="1169" t="s">
        <v>1526</v>
      </c>
      <c r="L4" s="1170"/>
      <c r="M4" s="1120"/>
      <c r="N4" s="1120"/>
      <c r="O4" s="1120"/>
      <c r="P4" s="3432" t="s">
        <v>1527</v>
      </c>
      <c r="Q4" s="3433"/>
      <c r="R4" s="3436" t="s">
        <v>1523</v>
      </c>
      <c r="S4" s="3437"/>
      <c r="T4" s="3436" t="s">
        <v>1524</v>
      </c>
      <c r="U4" s="3437"/>
      <c r="V4" s="3438" t="s">
        <v>1525</v>
      </c>
      <c r="W4" s="3438"/>
      <c r="X4" s="1526"/>
      <c r="Y4" s="3436" t="s">
        <v>1527</v>
      </c>
      <c r="Z4" s="3437"/>
      <c r="AA4" s="3428" t="s">
        <v>1523</v>
      </c>
      <c r="AB4" s="3428" t="s">
        <v>1524</v>
      </c>
      <c r="AC4" s="3429" t="s">
        <v>1525</v>
      </c>
    </row>
    <row r="5" spans="1:29" ht="15">
      <c r="A5" s="1027"/>
      <c r="B5" s="1028"/>
      <c r="C5" s="3383" t="s">
        <v>1528</v>
      </c>
      <c r="D5" s="3384"/>
      <c r="E5" s="3385" t="s">
        <v>1529</v>
      </c>
      <c r="F5" s="3386"/>
      <c r="G5" s="3383" t="s">
        <v>1530</v>
      </c>
      <c r="H5" s="3384"/>
      <c r="I5" s="3383" t="s">
        <v>1531</v>
      </c>
      <c r="J5" s="3384"/>
      <c r="K5" s="1169"/>
      <c r="L5" s="1170"/>
      <c r="M5" s="1120"/>
      <c r="N5" s="1120"/>
      <c r="O5" s="1120"/>
      <c r="P5" s="3434"/>
      <c r="Q5" s="3415"/>
      <c r="R5" s="3420"/>
      <c r="S5" s="3421"/>
      <c r="T5" s="3420"/>
      <c r="U5" s="3421"/>
      <c r="V5" s="3395"/>
      <c r="W5" s="3395"/>
      <c r="X5" s="1218"/>
      <c r="Y5" s="3420"/>
      <c r="Z5" s="3421"/>
      <c r="AA5" s="3410"/>
      <c r="AB5" s="3410"/>
      <c r="AC5" s="3430"/>
    </row>
    <row r="6" spans="1:29" ht="15">
      <c r="A6" s="1029"/>
      <c r="B6" s="1030"/>
      <c r="C6" s="3387" t="s">
        <v>1532</v>
      </c>
      <c r="D6" s="3388"/>
      <c r="E6" s="3389" t="s">
        <v>1532</v>
      </c>
      <c r="F6" s="3390"/>
      <c r="G6" s="3387" t="s">
        <v>1532</v>
      </c>
      <c r="H6" s="3388"/>
      <c r="I6" s="3387" t="s">
        <v>1532</v>
      </c>
      <c r="J6" s="3388"/>
      <c r="K6" s="1169" t="s">
        <v>1533</v>
      </c>
      <c r="L6" s="1170"/>
      <c r="M6" s="1120"/>
      <c r="N6" s="1120"/>
      <c r="O6" s="1120"/>
      <c r="P6" s="3435"/>
      <c r="Q6" s="3417"/>
      <c r="R6" s="3420"/>
      <c r="S6" s="3421"/>
      <c r="T6" s="3422"/>
      <c r="U6" s="3423"/>
      <c r="V6" s="3395"/>
      <c r="W6" s="3395"/>
      <c r="X6" s="1218"/>
      <c r="Y6" s="3422"/>
      <c r="Z6" s="3423"/>
      <c r="AA6" s="3411"/>
      <c r="AB6" s="3411"/>
      <c r="AC6" s="3431"/>
    </row>
    <row r="7" spans="1:29" s="1004" customFormat="1" ht="15">
      <c r="A7" s="1032" t="s">
        <v>1534</v>
      </c>
      <c r="B7" s="1033"/>
      <c r="C7" s="1034">
        <f>'数据-取费表'!B2</f>
        <v>45791</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24" t="s">
        <v>1535</v>
      </c>
      <c r="Q7" s="3392"/>
      <c r="R7" s="1219" t="s">
        <v>1536</v>
      </c>
      <c r="S7" s="1220">
        <f t="shared" ref="S7:S15" si="0">F7</f>
        <v>0</v>
      </c>
      <c r="T7" s="1219" t="s">
        <v>1536</v>
      </c>
      <c r="U7" s="1220">
        <f t="shared" ref="U7:U15" si="1">H7</f>
        <v>0</v>
      </c>
      <c r="V7" s="1219" t="s">
        <v>1536</v>
      </c>
      <c r="W7" s="1220">
        <f t="shared" ref="W7:W15" si="2">J7</f>
        <v>0</v>
      </c>
      <c r="X7" s="1221"/>
      <c r="Y7" s="3391" t="s">
        <v>1535</v>
      </c>
      <c r="Z7" s="3393"/>
      <c r="AA7" s="1231" t="e">
        <f>D7/F7</f>
        <v>#DIV/0!</v>
      </c>
      <c r="AB7" s="1231" t="e">
        <f>D7/H7</f>
        <v>#DIV/0!</v>
      </c>
      <c r="AC7" s="1528" t="e">
        <f>D7/J7</f>
        <v>#DIV/0!</v>
      </c>
    </row>
    <row r="8" spans="1:29" s="1004" customFormat="1" ht="15">
      <c r="A8" s="1032" t="s">
        <v>1537</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24" t="s">
        <v>1538</v>
      </c>
      <c r="Q8" s="3393"/>
      <c r="R8" s="1219" t="s">
        <v>1536</v>
      </c>
      <c r="S8" s="1220">
        <f t="shared" si="0"/>
        <v>100</v>
      </c>
      <c r="T8" s="1219" t="s">
        <v>1536</v>
      </c>
      <c r="U8" s="1220">
        <f t="shared" si="1"/>
        <v>100</v>
      </c>
      <c r="V8" s="1219" t="s">
        <v>1536</v>
      </c>
      <c r="W8" s="1220">
        <f t="shared" si="2"/>
        <v>100</v>
      </c>
      <c r="X8" s="1221"/>
      <c r="Y8" s="3391" t="s">
        <v>1538</v>
      </c>
      <c r="Z8" s="3393"/>
      <c r="AA8" s="1231">
        <f t="shared" ref="AA8:AA47" si="3">D8/F8</f>
        <v>1</v>
      </c>
      <c r="AB8" s="1231">
        <f t="shared" ref="AB8:AB47" si="4">D8/H8</f>
        <v>1</v>
      </c>
      <c r="AC8" s="1528">
        <f t="shared" ref="AC8:AC47" si="5">D8/J8</f>
        <v>1</v>
      </c>
    </row>
    <row r="9" spans="1:29" s="1004" customFormat="1">
      <c r="A9" s="1040" t="s">
        <v>1539</v>
      </c>
      <c r="B9" s="1041" t="s">
        <v>1540</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399" t="s">
        <v>1541</v>
      </c>
      <c r="Q9" s="790" t="str">
        <f t="shared" ref="Q9:Q15" si="6">B9</f>
        <v>用途</v>
      </c>
      <c r="R9" s="1219" t="s">
        <v>1536</v>
      </c>
      <c r="S9" s="1220">
        <f t="shared" si="0"/>
        <v>100</v>
      </c>
      <c r="T9" s="1219" t="s">
        <v>1536</v>
      </c>
      <c r="U9" s="1220">
        <f t="shared" si="1"/>
        <v>100</v>
      </c>
      <c r="V9" s="1219" t="s">
        <v>1536</v>
      </c>
      <c r="W9" s="1220">
        <f t="shared" si="2"/>
        <v>100</v>
      </c>
      <c r="X9" s="1221"/>
      <c r="Y9" s="3331" t="s">
        <v>1542</v>
      </c>
      <c r="Z9" s="1231" t="str">
        <f t="shared" ref="Z9:Z15" si="7">Q9</f>
        <v>用途</v>
      </c>
      <c r="AA9" s="1231">
        <f t="shared" si="3"/>
        <v>1</v>
      </c>
      <c r="AB9" s="1231">
        <f t="shared" si="4"/>
        <v>1</v>
      </c>
      <c r="AC9" s="1528">
        <f t="shared" si="5"/>
        <v>1</v>
      </c>
    </row>
    <row r="10" spans="1:29" s="1005" customFormat="1" ht="27">
      <c r="A10" s="1044"/>
      <c r="B10" s="1045" t="s">
        <v>1543</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399"/>
      <c r="Q10" s="790" t="str">
        <f t="shared" si="6"/>
        <v>土地使用年限（年）</v>
      </c>
      <c r="R10" s="1219" t="s">
        <v>1536</v>
      </c>
      <c r="S10" s="1220">
        <f t="shared" si="0"/>
        <v>100</v>
      </c>
      <c r="T10" s="1219" t="s">
        <v>1536</v>
      </c>
      <c r="U10" s="1220">
        <f t="shared" si="1"/>
        <v>100</v>
      </c>
      <c r="V10" s="1219" t="s">
        <v>1536</v>
      </c>
      <c r="W10" s="1220">
        <f t="shared" si="2"/>
        <v>100</v>
      </c>
      <c r="X10" s="1221"/>
      <c r="Y10" s="3331"/>
      <c r="Z10" s="1231" t="str">
        <f t="shared" si="7"/>
        <v>土地使用年限（年）</v>
      </c>
      <c r="AA10" s="1231">
        <f t="shared" si="3"/>
        <v>1</v>
      </c>
      <c r="AB10" s="1231">
        <f t="shared" si="4"/>
        <v>1</v>
      </c>
      <c r="AC10" s="1528">
        <f t="shared" si="5"/>
        <v>1</v>
      </c>
    </row>
    <row r="11" spans="1:29" ht="15">
      <c r="A11" s="1048"/>
      <c r="B11" s="1045" t="s">
        <v>1544</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99"/>
      <c r="Q11" s="790" t="str">
        <f t="shared" si="6"/>
        <v>容积率</v>
      </c>
      <c r="R11" s="1219" t="s">
        <v>1536</v>
      </c>
      <c r="S11" s="1220">
        <f t="shared" si="0"/>
        <v>100</v>
      </c>
      <c r="T11" s="1219" t="s">
        <v>1536</v>
      </c>
      <c r="U11" s="1220">
        <f t="shared" si="1"/>
        <v>100</v>
      </c>
      <c r="V11" s="1219" t="s">
        <v>1536</v>
      </c>
      <c r="W11" s="1220">
        <f t="shared" si="2"/>
        <v>100</v>
      </c>
      <c r="X11" s="1221"/>
      <c r="Y11" s="3331"/>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399"/>
      <c r="Q12" s="790">
        <f t="shared" si="6"/>
        <v>111</v>
      </c>
      <c r="R12" s="1219" t="s">
        <v>1536</v>
      </c>
      <c r="S12" s="1220">
        <f t="shared" si="0"/>
        <v>100</v>
      </c>
      <c r="T12" s="1219" t="s">
        <v>1536</v>
      </c>
      <c r="U12" s="1220">
        <f t="shared" si="1"/>
        <v>100</v>
      </c>
      <c r="V12" s="1219" t="s">
        <v>1536</v>
      </c>
      <c r="W12" s="1220">
        <f t="shared" si="2"/>
        <v>100</v>
      </c>
      <c r="X12" s="1221"/>
      <c r="Y12" s="3331"/>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399"/>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399"/>
      <c r="Q14" s="790">
        <f t="shared" si="6"/>
        <v>111</v>
      </c>
      <c r="R14" s="1219" t="s">
        <v>1536</v>
      </c>
      <c r="S14" s="1220">
        <f t="shared" si="0"/>
        <v>100</v>
      </c>
      <c r="T14" s="1219" t="s">
        <v>1536</v>
      </c>
      <c r="U14" s="1220">
        <f t="shared" si="1"/>
        <v>100</v>
      </c>
      <c r="V14" s="1219" t="s">
        <v>1536</v>
      </c>
      <c r="W14" s="1220">
        <f t="shared" si="2"/>
        <v>100</v>
      </c>
      <c r="X14" s="1221"/>
      <c r="Y14" s="3331"/>
      <c r="Z14" s="1231">
        <f t="shared" si="7"/>
        <v>111</v>
      </c>
      <c r="AA14" s="1231">
        <f t="shared" si="3"/>
        <v>1</v>
      </c>
      <c r="AB14" s="1231">
        <f t="shared" si="4"/>
        <v>1</v>
      </c>
      <c r="AC14" s="1528">
        <f t="shared" si="5"/>
        <v>1</v>
      </c>
    </row>
    <row r="15" spans="1:29" ht="71.25">
      <c r="A15" s="1061" t="s">
        <v>1545</v>
      </c>
      <c r="B15" s="1062" t="s">
        <v>1621</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400" t="s">
        <v>1547</v>
      </c>
      <c r="Q15" s="621" t="str">
        <f t="shared" si="6"/>
        <v>办公集聚程度</v>
      </c>
      <c r="R15" s="1223" t="s">
        <v>1536</v>
      </c>
      <c r="S15" s="1224">
        <f t="shared" si="0"/>
        <v>100</v>
      </c>
      <c r="T15" s="1223" t="s">
        <v>1536</v>
      </c>
      <c r="U15" s="1224">
        <f t="shared" si="1"/>
        <v>100</v>
      </c>
      <c r="V15" s="1223" t="s">
        <v>1536</v>
      </c>
      <c r="W15" s="1224">
        <f t="shared" si="2"/>
        <v>100</v>
      </c>
      <c r="X15" s="1218"/>
      <c r="Y15" s="3405" t="s">
        <v>1547</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401"/>
      <c r="Q16" s="621"/>
      <c r="R16" s="1223"/>
      <c r="S16" s="1224"/>
      <c r="T16" s="1223"/>
      <c r="U16" s="1224"/>
      <c r="V16" s="1223"/>
      <c r="W16" s="1224"/>
      <c r="X16" s="1218"/>
      <c r="Y16" s="3406"/>
      <c r="Z16" s="1207"/>
      <c r="AA16" s="1207">
        <v>1</v>
      </c>
      <c r="AB16" s="1207">
        <v>1</v>
      </c>
      <c r="AC16" s="1529">
        <v>1</v>
      </c>
    </row>
    <row r="17" spans="1:29" ht="71.25">
      <c r="A17" s="1048"/>
      <c r="B17" s="1071" t="s">
        <v>1548</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401"/>
      <c r="Q17" s="621" t="str">
        <f>B17</f>
        <v>交通便捷度</v>
      </c>
      <c r="R17" s="1223" t="s">
        <v>1536</v>
      </c>
      <c r="S17" s="1224">
        <f>F17</f>
        <v>100</v>
      </c>
      <c r="T17" s="1223" t="s">
        <v>1536</v>
      </c>
      <c r="U17" s="1224">
        <f>H17</f>
        <v>100</v>
      </c>
      <c r="V17" s="1223" t="s">
        <v>1536</v>
      </c>
      <c r="W17" s="1224">
        <f>J17</f>
        <v>100</v>
      </c>
      <c r="X17" s="1218"/>
      <c r="Y17" s="3406"/>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401"/>
      <c r="Q18" s="621"/>
      <c r="R18" s="1223"/>
      <c r="S18" s="1224"/>
      <c r="T18" s="1223"/>
      <c r="U18" s="1224"/>
      <c r="V18" s="1223"/>
      <c r="W18" s="1224"/>
      <c r="X18" s="1218"/>
      <c r="Y18" s="3406"/>
      <c r="Z18" s="1207"/>
      <c r="AA18" s="1207">
        <v>1</v>
      </c>
      <c r="AB18" s="1207">
        <v>1</v>
      </c>
      <c r="AC18" s="1529">
        <v>1</v>
      </c>
    </row>
    <row r="19" spans="1:29" ht="42.75">
      <c r="A19" s="1048"/>
      <c r="B19" s="1071" t="s">
        <v>1549</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401"/>
      <c r="Q19" s="621" t="str">
        <f>B19</f>
        <v>公共配套设施</v>
      </c>
      <c r="R19" s="1223" t="s">
        <v>1536</v>
      </c>
      <c r="S19" s="1224">
        <f>F19</f>
        <v>100</v>
      </c>
      <c r="T19" s="1223" t="s">
        <v>1536</v>
      </c>
      <c r="U19" s="1224">
        <f>H19</f>
        <v>100</v>
      </c>
      <c r="V19" s="1223" t="s">
        <v>1536</v>
      </c>
      <c r="W19" s="1224">
        <f>J19</f>
        <v>100</v>
      </c>
      <c r="X19" s="1218"/>
      <c r="Y19" s="3406"/>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401"/>
      <c r="Q20" s="621"/>
      <c r="R20" s="1223"/>
      <c r="S20" s="1224"/>
      <c r="T20" s="1223"/>
      <c r="U20" s="1224"/>
      <c r="V20" s="1223"/>
      <c r="W20" s="1224"/>
      <c r="X20" s="1218"/>
      <c r="Y20" s="3406"/>
      <c r="Z20" s="1207"/>
      <c r="AA20" s="1207">
        <v>1</v>
      </c>
      <c r="AB20" s="1207">
        <v>1</v>
      </c>
      <c r="AC20" s="1529">
        <v>1</v>
      </c>
    </row>
    <row r="21" spans="1:29" ht="28.5">
      <c r="A21" s="1048"/>
      <c r="B21" s="1078" t="s">
        <v>1550</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401"/>
      <c r="Q21" s="621" t="str">
        <f>B21</f>
        <v>基础设施水平</v>
      </c>
      <c r="R21" s="1223" t="s">
        <v>1536</v>
      </c>
      <c r="S21" s="1224">
        <f>F21</f>
        <v>100</v>
      </c>
      <c r="T21" s="1223" t="s">
        <v>1536</v>
      </c>
      <c r="U21" s="1224">
        <f>H21</f>
        <v>100</v>
      </c>
      <c r="V21" s="1223" t="s">
        <v>1536</v>
      </c>
      <c r="W21" s="1224">
        <f>J21</f>
        <v>100</v>
      </c>
      <c r="X21" s="1218"/>
      <c r="Y21" s="3406"/>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401"/>
      <c r="Q22" s="621"/>
      <c r="R22" s="1223"/>
      <c r="S22" s="1224"/>
      <c r="T22" s="1223"/>
      <c r="U22" s="1224"/>
      <c r="V22" s="1223"/>
      <c r="W22" s="1224"/>
      <c r="X22" s="1218"/>
      <c r="Y22" s="3406"/>
      <c r="Z22" s="1207"/>
      <c r="AA22" s="1207">
        <v>1</v>
      </c>
      <c r="AB22" s="1207">
        <v>1</v>
      </c>
      <c r="AC22" s="1529">
        <v>1</v>
      </c>
    </row>
    <row r="23" spans="1:29" ht="42.75">
      <c r="A23" s="1048"/>
      <c r="B23" s="1071" t="s">
        <v>1622</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401"/>
      <c r="Q23" s="621" t="str">
        <f>B23</f>
        <v>环境质量</v>
      </c>
      <c r="R23" s="1223" t="s">
        <v>1536</v>
      </c>
      <c r="S23" s="1224">
        <f>F23</f>
        <v>100</v>
      </c>
      <c r="T23" s="1223" t="s">
        <v>1536</v>
      </c>
      <c r="U23" s="1224">
        <f>H23</f>
        <v>100</v>
      </c>
      <c r="V23" s="1223" t="s">
        <v>1536</v>
      </c>
      <c r="W23" s="1224">
        <f>J23</f>
        <v>100</v>
      </c>
      <c r="X23" s="1218"/>
      <c r="Y23" s="3406"/>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401"/>
      <c r="Q24" s="621"/>
      <c r="R24" s="1223"/>
      <c r="S24" s="1224"/>
      <c r="T24" s="1223"/>
      <c r="U24" s="1224"/>
      <c r="V24" s="1223"/>
      <c r="W24" s="1224"/>
      <c r="X24" s="1218"/>
      <c r="Y24" s="3406"/>
      <c r="Z24" s="1207"/>
      <c r="AA24" s="1207">
        <v>1</v>
      </c>
      <c r="AB24" s="1207">
        <v>1</v>
      </c>
      <c r="AC24" s="1529">
        <v>1</v>
      </c>
    </row>
    <row r="25" spans="1:29" ht="27">
      <c r="A25" s="1027"/>
      <c r="B25" s="1071" t="s">
        <v>1623</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401"/>
      <c r="Q25" s="621" t="str">
        <f>B25</f>
        <v>毗邻道路的类型与等级</v>
      </c>
      <c r="R25" s="1223" t="s">
        <v>1536</v>
      </c>
      <c r="S25" s="1224">
        <f>F25</f>
        <v>100</v>
      </c>
      <c r="T25" s="1223" t="s">
        <v>1536</v>
      </c>
      <c r="U25" s="1224">
        <f>H25</f>
        <v>100</v>
      </c>
      <c r="V25" s="1223" t="s">
        <v>1536</v>
      </c>
      <c r="W25" s="1224">
        <f>J25</f>
        <v>100</v>
      </c>
      <c r="X25" s="1218"/>
      <c r="Y25" s="3406"/>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401"/>
      <c r="Q26" s="621"/>
      <c r="R26" s="1223"/>
      <c r="S26" s="1224"/>
      <c r="T26" s="1223"/>
      <c r="U26" s="1224"/>
      <c r="V26" s="1223"/>
      <c r="W26" s="1224"/>
      <c r="X26" s="1218"/>
      <c r="Y26" s="3406"/>
      <c r="Z26" s="1207"/>
      <c r="AA26" s="1207">
        <v>1</v>
      </c>
      <c r="AB26" s="1207">
        <v>1</v>
      </c>
      <c r="AC26" s="1529">
        <v>1</v>
      </c>
    </row>
    <row r="27" spans="1:29" ht="15">
      <c r="A27" s="1048"/>
      <c r="B27" s="1075" t="s">
        <v>1613</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01"/>
      <c r="Q27" s="621" t="str">
        <f t="shared" ref="Q27:Q47" si="11">B27</f>
        <v>楼层</v>
      </c>
      <c r="R27" s="1223" t="s">
        <v>1536</v>
      </c>
      <c r="S27" s="1224">
        <f>F27</f>
        <v>100</v>
      </c>
      <c r="T27" s="1223" t="s">
        <v>1536</v>
      </c>
      <c r="U27" s="1224">
        <f>H27</f>
        <v>100</v>
      </c>
      <c r="V27" s="1223" t="s">
        <v>1536</v>
      </c>
      <c r="W27" s="1224">
        <f>J27</f>
        <v>100</v>
      </c>
      <c r="X27" s="1218"/>
      <c r="Y27" s="3406"/>
      <c r="Z27" s="1207" t="str">
        <f>Q27</f>
        <v>楼层</v>
      </c>
      <c r="AA27" s="1207">
        <f t="shared" si="3"/>
        <v>1</v>
      </c>
      <c r="AB27" s="1207">
        <f t="shared" si="4"/>
        <v>1</v>
      </c>
      <c r="AC27" s="1529">
        <f t="shared" si="5"/>
        <v>1</v>
      </c>
    </row>
    <row r="28" spans="1:29" s="1004" customFormat="1" ht="15">
      <c r="A28" s="1051"/>
      <c r="B28" s="1071" t="s">
        <v>1553</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401"/>
      <c r="Q28" s="790" t="str">
        <f t="shared" si="11"/>
        <v>朝向</v>
      </c>
      <c r="R28" s="1219" t="s">
        <v>1536</v>
      </c>
      <c r="S28" s="1220">
        <f>F28</f>
        <v>100</v>
      </c>
      <c r="T28" s="1219" t="s">
        <v>1536</v>
      </c>
      <c r="U28" s="1220">
        <f>H28</f>
        <v>100</v>
      </c>
      <c r="V28" s="1219" t="s">
        <v>1536</v>
      </c>
      <c r="W28" s="1220">
        <f>J28</f>
        <v>100</v>
      </c>
      <c r="X28" s="1221"/>
      <c r="Y28" s="3406"/>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401"/>
      <c r="Q29" s="621">
        <f t="shared" si="11"/>
        <v>111</v>
      </c>
      <c r="R29" s="1223" t="s">
        <v>1536</v>
      </c>
      <c r="S29" s="1224">
        <f t="shared" ref="S29:S47" si="12">F29</f>
        <v>100</v>
      </c>
      <c r="T29" s="1223" t="s">
        <v>1536</v>
      </c>
      <c r="U29" s="1224">
        <f t="shared" ref="U29:U47" si="13">H29</f>
        <v>100</v>
      </c>
      <c r="V29" s="1223" t="s">
        <v>1536</v>
      </c>
      <c r="W29" s="1224">
        <f t="shared" ref="W29:W47" si="14">J29</f>
        <v>100</v>
      </c>
      <c r="X29" s="1218"/>
      <c r="Y29" s="3406"/>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401"/>
      <c r="Q30" s="621">
        <f t="shared" si="11"/>
        <v>111</v>
      </c>
      <c r="R30" s="1223" t="s">
        <v>1536</v>
      </c>
      <c r="S30" s="1224">
        <f t="shared" si="12"/>
        <v>100</v>
      </c>
      <c r="T30" s="1223" t="s">
        <v>1536</v>
      </c>
      <c r="U30" s="1224">
        <f t="shared" si="13"/>
        <v>100</v>
      </c>
      <c r="V30" s="1223" t="s">
        <v>1536</v>
      </c>
      <c r="W30" s="1224">
        <f t="shared" si="14"/>
        <v>100</v>
      </c>
      <c r="X30" s="1218"/>
      <c r="Y30" s="3406"/>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401"/>
      <c r="Q31" s="621">
        <f t="shared" si="11"/>
        <v>111</v>
      </c>
      <c r="R31" s="1223" t="s">
        <v>1536</v>
      </c>
      <c r="S31" s="1224">
        <f t="shared" si="12"/>
        <v>100</v>
      </c>
      <c r="T31" s="1223" t="s">
        <v>1536</v>
      </c>
      <c r="U31" s="1224">
        <f t="shared" si="13"/>
        <v>100</v>
      </c>
      <c r="V31" s="1223" t="s">
        <v>1536</v>
      </c>
      <c r="W31" s="1224">
        <f t="shared" si="14"/>
        <v>100</v>
      </c>
      <c r="X31" s="1218"/>
      <c r="Y31" s="3406"/>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401"/>
      <c r="Q32" s="621">
        <f t="shared" si="11"/>
        <v>111</v>
      </c>
      <c r="R32" s="1223" t="s">
        <v>1536</v>
      </c>
      <c r="S32" s="1224">
        <f t="shared" si="12"/>
        <v>100</v>
      </c>
      <c r="T32" s="1223" t="s">
        <v>1536</v>
      </c>
      <c r="U32" s="1224">
        <f t="shared" si="13"/>
        <v>100</v>
      </c>
      <c r="V32" s="1223" t="s">
        <v>1536</v>
      </c>
      <c r="W32" s="1224">
        <f t="shared" si="14"/>
        <v>100</v>
      </c>
      <c r="X32" s="1218"/>
      <c r="Y32" s="3406"/>
      <c r="Z32" s="1207">
        <f t="shared" si="15"/>
        <v>111</v>
      </c>
      <c r="AA32" s="1207">
        <f t="shared" si="3"/>
        <v>1</v>
      </c>
      <c r="AB32" s="1207">
        <f t="shared" si="4"/>
        <v>1</v>
      </c>
      <c r="AC32" s="1529">
        <f t="shared" si="5"/>
        <v>1</v>
      </c>
    </row>
    <row r="33" spans="1:29" ht="15">
      <c r="A33" s="1061" t="s">
        <v>1554</v>
      </c>
      <c r="B33" s="1041" t="s">
        <v>1555</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402" t="s">
        <v>1556</v>
      </c>
      <c r="Q33" s="621" t="str">
        <f t="shared" si="11"/>
        <v>建筑类型</v>
      </c>
      <c r="R33" s="1223" t="s">
        <v>1536</v>
      </c>
      <c r="S33" s="1224">
        <f t="shared" si="12"/>
        <v>100</v>
      </c>
      <c r="T33" s="1223" t="s">
        <v>1536</v>
      </c>
      <c r="U33" s="1224">
        <f t="shared" si="13"/>
        <v>100</v>
      </c>
      <c r="V33" s="1223" t="s">
        <v>1536</v>
      </c>
      <c r="W33" s="1224">
        <f t="shared" si="14"/>
        <v>100</v>
      </c>
      <c r="X33" s="1218"/>
      <c r="Y33" s="3407" t="s">
        <v>1556</v>
      </c>
      <c r="Z33" s="1207" t="str">
        <f t="shared" si="15"/>
        <v>建筑类型</v>
      </c>
      <c r="AA33" s="1207">
        <f t="shared" si="3"/>
        <v>1</v>
      </c>
      <c r="AB33" s="1207">
        <f t="shared" si="4"/>
        <v>1</v>
      </c>
      <c r="AC33" s="1529">
        <f t="shared" si="5"/>
        <v>1</v>
      </c>
    </row>
    <row r="34" spans="1:29" s="1006" customFormat="1" ht="15">
      <c r="A34" s="1101"/>
      <c r="B34" s="1045" t="s">
        <v>1557</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03"/>
      <c r="Q34" s="1413" t="str">
        <f t="shared" si="11"/>
        <v>项目建筑规模</v>
      </c>
      <c r="R34" s="1225" t="s">
        <v>1536</v>
      </c>
      <c r="S34" s="1226" t="e">
        <f t="shared" si="12"/>
        <v>#N/A</v>
      </c>
      <c r="T34" s="1225" t="s">
        <v>1536</v>
      </c>
      <c r="U34" s="1226" t="e">
        <f t="shared" si="13"/>
        <v>#N/A</v>
      </c>
      <c r="V34" s="1225" t="s">
        <v>1536</v>
      </c>
      <c r="W34" s="1226" t="e">
        <f t="shared" si="14"/>
        <v>#N/A</v>
      </c>
      <c r="X34" s="1227"/>
      <c r="Y34" s="3407"/>
      <c r="Z34" s="1232" t="str">
        <f t="shared" si="15"/>
        <v>项目建筑规模</v>
      </c>
      <c r="AA34" s="1207" t="e">
        <f t="shared" si="3"/>
        <v>#N/A</v>
      </c>
      <c r="AB34" s="1207" t="e">
        <f t="shared" si="4"/>
        <v>#N/A</v>
      </c>
      <c r="AC34" s="1529" t="e">
        <f t="shared" si="5"/>
        <v>#N/A</v>
      </c>
    </row>
    <row r="35" spans="1:29" ht="15">
      <c r="A35" s="1096"/>
      <c r="B35" s="1045" t="s">
        <v>1558</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403"/>
      <c r="Q35" s="621" t="str">
        <f t="shared" si="11"/>
        <v>建筑结构</v>
      </c>
      <c r="R35" s="1223" t="s">
        <v>1536</v>
      </c>
      <c r="S35" s="1224">
        <f t="shared" si="12"/>
        <v>100</v>
      </c>
      <c r="T35" s="1223" t="s">
        <v>1536</v>
      </c>
      <c r="U35" s="1224">
        <f t="shared" si="13"/>
        <v>100</v>
      </c>
      <c r="V35" s="1223" t="s">
        <v>1536</v>
      </c>
      <c r="W35" s="1224">
        <f t="shared" si="14"/>
        <v>100</v>
      </c>
      <c r="X35" s="1218"/>
      <c r="Y35" s="3407"/>
      <c r="Z35" s="1207" t="str">
        <f t="shared" si="15"/>
        <v>建筑结构</v>
      </c>
      <c r="AA35" s="1207">
        <f t="shared" si="3"/>
        <v>1</v>
      </c>
      <c r="AB35" s="1207">
        <f t="shared" si="4"/>
        <v>1</v>
      </c>
      <c r="AC35" s="1529">
        <f t="shared" si="5"/>
        <v>1</v>
      </c>
    </row>
    <row r="36" spans="1:29" ht="15">
      <c r="A36" s="1096"/>
      <c r="B36" s="1045" t="s">
        <v>1560</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403"/>
      <c r="Q36" s="621" t="str">
        <f t="shared" si="11"/>
        <v>公共部分装修</v>
      </c>
      <c r="R36" s="1223" t="s">
        <v>1536</v>
      </c>
      <c r="S36" s="1224">
        <f t="shared" si="12"/>
        <v>100</v>
      </c>
      <c r="T36" s="1223" t="s">
        <v>1536</v>
      </c>
      <c r="U36" s="1224">
        <f t="shared" si="13"/>
        <v>100</v>
      </c>
      <c r="V36" s="1223" t="s">
        <v>1536</v>
      </c>
      <c r="W36" s="1224">
        <f t="shared" si="14"/>
        <v>100</v>
      </c>
      <c r="X36" s="1218"/>
      <c r="Y36" s="3407"/>
      <c r="Z36" s="1207" t="str">
        <f t="shared" si="15"/>
        <v>公共部分装修</v>
      </c>
      <c r="AA36" s="1207">
        <f t="shared" si="3"/>
        <v>1</v>
      </c>
      <c r="AB36" s="1207">
        <f t="shared" si="4"/>
        <v>1</v>
      </c>
      <c r="AC36" s="1529">
        <f t="shared" si="5"/>
        <v>1</v>
      </c>
    </row>
    <row r="37" spans="1:29" ht="15">
      <c r="A37" s="1096"/>
      <c r="B37" s="1045" t="s">
        <v>682</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403"/>
      <c r="Q37" s="621" t="str">
        <f t="shared" si="11"/>
        <v>成新度</v>
      </c>
      <c r="R37" s="1223" t="s">
        <v>1536</v>
      </c>
      <c r="S37" s="1224" t="e">
        <f t="shared" si="12"/>
        <v>#N/A</v>
      </c>
      <c r="T37" s="1223" t="s">
        <v>1536</v>
      </c>
      <c r="U37" s="1224" t="e">
        <f t="shared" si="13"/>
        <v>#N/A</v>
      </c>
      <c r="V37" s="1223" t="s">
        <v>1536</v>
      </c>
      <c r="W37" s="1224" t="e">
        <f t="shared" si="14"/>
        <v>#N/A</v>
      </c>
      <c r="X37" s="1218"/>
      <c r="Y37" s="3407"/>
      <c r="Z37" s="1207" t="str">
        <f t="shared" si="15"/>
        <v>成新度</v>
      </c>
      <c r="AA37" s="1207" t="e">
        <f t="shared" si="3"/>
        <v>#N/A</v>
      </c>
      <c r="AB37" s="1207" t="e">
        <f t="shared" si="4"/>
        <v>#N/A</v>
      </c>
      <c r="AC37" s="1529" t="e">
        <f t="shared" si="5"/>
        <v>#N/A</v>
      </c>
    </row>
    <row r="38" spans="1:29" s="1004" customFormat="1" ht="15">
      <c r="A38" s="1098"/>
      <c r="B38" s="1045" t="s">
        <v>1624</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403"/>
      <c r="Q38" s="790" t="str">
        <f t="shared" si="11"/>
        <v>写字楼等级</v>
      </c>
      <c r="R38" s="1219" t="s">
        <v>1536</v>
      </c>
      <c r="S38" s="1220">
        <f t="shared" si="12"/>
        <v>100</v>
      </c>
      <c r="T38" s="1219" t="s">
        <v>1536</v>
      </c>
      <c r="U38" s="1220">
        <f t="shared" si="13"/>
        <v>100</v>
      </c>
      <c r="V38" s="1219" t="s">
        <v>1536</v>
      </c>
      <c r="W38" s="1220">
        <f t="shared" si="14"/>
        <v>100</v>
      </c>
      <c r="X38" s="1221"/>
      <c r="Y38" s="3407"/>
      <c r="Z38" s="1231" t="str">
        <f t="shared" si="15"/>
        <v>写字楼等级</v>
      </c>
      <c r="AA38" s="1231">
        <f t="shared" si="3"/>
        <v>1</v>
      </c>
      <c r="AB38" s="1231">
        <f t="shared" si="4"/>
        <v>1</v>
      </c>
      <c r="AC38" s="1528">
        <f t="shared" si="5"/>
        <v>1</v>
      </c>
    </row>
    <row r="39" spans="1:29" ht="15">
      <c r="A39" s="1096"/>
      <c r="B39" s="1045" t="s">
        <v>1561</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403" t="s">
        <v>1556</v>
      </c>
      <c r="Q39" s="621" t="str">
        <f t="shared" si="11"/>
        <v>物业管理</v>
      </c>
      <c r="R39" s="1223" t="s">
        <v>1536</v>
      </c>
      <c r="S39" s="1224">
        <f t="shared" si="12"/>
        <v>100</v>
      </c>
      <c r="T39" s="1223" t="s">
        <v>1536</v>
      </c>
      <c r="U39" s="1224">
        <f t="shared" si="13"/>
        <v>100</v>
      </c>
      <c r="V39" s="1223" t="s">
        <v>1536</v>
      </c>
      <c r="W39" s="1224">
        <f t="shared" si="14"/>
        <v>100</v>
      </c>
      <c r="X39" s="1218"/>
      <c r="Y39" s="3407" t="s">
        <v>1556</v>
      </c>
      <c r="Z39" s="1207" t="str">
        <f t="shared" si="15"/>
        <v>物业管理</v>
      </c>
      <c r="AA39" s="1207">
        <f t="shared" si="3"/>
        <v>1</v>
      </c>
      <c r="AB39" s="1207">
        <f t="shared" si="4"/>
        <v>1</v>
      </c>
      <c r="AC39" s="1529">
        <f t="shared" si="5"/>
        <v>1</v>
      </c>
    </row>
    <row r="40" spans="1:29" ht="15">
      <c r="A40" s="1096"/>
      <c r="B40" s="1045" t="s">
        <v>1562</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403"/>
      <c r="Q40" s="621" t="str">
        <f t="shared" si="11"/>
        <v>市政基础设施</v>
      </c>
      <c r="R40" s="1223" t="s">
        <v>1536</v>
      </c>
      <c r="S40" s="1224">
        <f t="shared" si="12"/>
        <v>100</v>
      </c>
      <c r="T40" s="1223" t="s">
        <v>1536</v>
      </c>
      <c r="U40" s="1224">
        <f t="shared" si="13"/>
        <v>100</v>
      </c>
      <c r="V40" s="1223" t="s">
        <v>1536</v>
      </c>
      <c r="W40" s="1224">
        <f t="shared" si="14"/>
        <v>100</v>
      </c>
      <c r="X40" s="1218"/>
      <c r="Y40" s="3407"/>
      <c r="Z40" s="1207" t="str">
        <f t="shared" si="15"/>
        <v>市政基础设施</v>
      </c>
      <c r="AA40" s="1207">
        <f t="shared" si="3"/>
        <v>1</v>
      </c>
      <c r="AB40" s="1207">
        <f t="shared" si="4"/>
        <v>1</v>
      </c>
      <c r="AC40" s="1529">
        <f t="shared" si="5"/>
        <v>1</v>
      </c>
    </row>
    <row r="41" spans="1:29" ht="15">
      <c r="A41" s="1096"/>
      <c r="B41" s="1045" t="s">
        <v>1616</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03"/>
      <c r="Q41" s="621" t="str">
        <f t="shared" si="11"/>
        <v>层高</v>
      </c>
      <c r="R41" s="1223" t="s">
        <v>1536</v>
      </c>
      <c r="S41" s="1224">
        <f t="shared" si="12"/>
        <v>100</v>
      </c>
      <c r="T41" s="1223" t="s">
        <v>1536</v>
      </c>
      <c r="U41" s="1224">
        <f t="shared" si="13"/>
        <v>100</v>
      </c>
      <c r="V41" s="1223" t="s">
        <v>1536</v>
      </c>
      <c r="W41" s="1224">
        <f t="shared" si="14"/>
        <v>100</v>
      </c>
      <c r="X41" s="1218"/>
      <c r="Y41" s="3407"/>
      <c r="Z41" s="1207" t="str">
        <f t="shared" si="15"/>
        <v>层高</v>
      </c>
      <c r="AA41" s="1207">
        <f t="shared" si="3"/>
        <v>1</v>
      </c>
      <c r="AB41" s="1207">
        <f t="shared" si="4"/>
        <v>1</v>
      </c>
      <c r="AC41" s="1529">
        <f t="shared" si="5"/>
        <v>1</v>
      </c>
    </row>
    <row r="42" spans="1:29" s="1006" customFormat="1" ht="15">
      <c r="A42" s="1101"/>
      <c r="B42" s="1202" t="s">
        <v>1625</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03"/>
      <c r="Q42" s="1413" t="str">
        <f t="shared" si="11"/>
        <v>单套建筑面积</v>
      </c>
      <c r="R42" s="1225" t="s">
        <v>1536</v>
      </c>
      <c r="S42" s="1226">
        <f t="shared" si="12"/>
        <v>100</v>
      </c>
      <c r="T42" s="1225" t="s">
        <v>1536</v>
      </c>
      <c r="U42" s="1226">
        <f t="shared" si="13"/>
        <v>100</v>
      </c>
      <c r="V42" s="1225" t="s">
        <v>1536</v>
      </c>
      <c r="W42" s="1226">
        <f t="shared" si="14"/>
        <v>100</v>
      </c>
      <c r="X42" s="1227"/>
      <c r="Y42" s="3407"/>
      <c r="Z42" s="1232" t="str">
        <f t="shared" si="15"/>
        <v>单套建筑面积</v>
      </c>
      <c r="AA42" s="1207">
        <f t="shared" si="3"/>
        <v>1</v>
      </c>
      <c r="AB42" s="1207">
        <f t="shared" si="4"/>
        <v>1</v>
      </c>
      <c r="AC42" s="1529">
        <f t="shared" si="5"/>
        <v>1</v>
      </c>
    </row>
    <row r="43" spans="1:29" ht="15">
      <c r="A43" s="1096"/>
      <c r="B43" s="1045" t="s">
        <v>1565</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403"/>
      <c r="Q43" s="621" t="str">
        <f t="shared" si="11"/>
        <v>内部装修</v>
      </c>
      <c r="R43" s="1223" t="s">
        <v>1536</v>
      </c>
      <c r="S43" s="1224">
        <f t="shared" si="12"/>
        <v>100</v>
      </c>
      <c r="T43" s="1223" t="s">
        <v>1536</v>
      </c>
      <c r="U43" s="1224">
        <f t="shared" si="13"/>
        <v>100</v>
      </c>
      <c r="V43" s="1223" t="s">
        <v>1536</v>
      </c>
      <c r="W43" s="1224">
        <f t="shared" si="14"/>
        <v>100</v>
      </c>
      <c r="X43" s="1218"/>
      <c r="Y43" s="3407"/>
      <c r="Z43" s="1207" t="str">
        <f t="shared" si="15"/>
        <v>内部装修</v>
      </c>
      <c r="AA43" s="1207">
        <f t="shared" si="3"/>
        <v>1</v>
      </c>
      <c r="AB43" s="1207">
        <f t="shared" si="4"/>
        <v>1</v>
      </c>
      <c r="AC43" s="1529">
        <f t="shared" si="5"/>
        <v>1</v>
      </c>
    </row>
    <row r="44" spans="1:29" ht="15">
      <c r="A44" s="1096"/>
      <c r="B44" s="1045" t="s">
        <v>1566</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03"/>
      <c r="Q44" s="621" t="str">
        <f t="shared" si="11"/>
        <v>内部装修维护情况</v>
      </c>
      <c r="R44" s="1223" t="s">
        <v>1536</v>
      </c>
      <c r="S44" s="1224">
        <f t="shared" si="12"/>
        <v>100</v>
      </c>
      <c r="T44" s="1223" t="s">
        <v>1536</v>
      </c>
      <c r="U44" s="1224">
        <f t="shared" si="13"/>
        <v>100</v>
      </c>
      <c r="V44" s="1223" t="s">
        <v>1536</v>
      </c>
      <c r="W44" s="1224">
        <f t="shared" si="14"/>
        <v>100</v>
      </c>
      <c r="X44" s="1218"/>
      <c r="Y44" s="3407"/>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03"/>
      <c r="Q45" s="790">
        <f t="shared" si="11"/>
        <v>111</v>
      </c>
      <c r="R45" s="1219" t="s">
        <v>1536</v>
      </c>
      <c r="S45" s="1220">
        <f t="shared" si="12"/>
        <v>100</v>
      </c>
      <c r="T45" s="1219" t="s">
        <v>1536</v>
      </c>
      <c r="U45" s="1220">
        <f t="shared" si="13"/>
        <v>100</v>
      </c>
      <c r="V45" s="1219" t="s">
        <v>1536</v>
      </c>
      <c r="W45" s="1220">
        <f t="shared" si="14"/>
        <v>100</v>
      </c>
      <c r="X45" s="1221"/>
      <c r="Y45" s="3407"/>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03"/>
      <c r="Q46" s="621">
        <f t="shared" si="11"/>
        <v>111</v>
      </c>
      <c r="R46" s="1223" t="s">
        <v>1536</v>
      </c>
      <c r="S46" s="1224">
        <f t="shared" si="12"/>
        <v>100</v>
      </c>
      <c r="T46" s="1223" t="s">
        <v>1536</v>
      </c>
      <c r="U46" s="1224">
        <f t="shared" si="13"/>
        <v>100</v>
      </c>
      <c r="V46" s="1223" t="s">
        <v>1536</v>
      </c>
      <c r="W46" s="1224">
        <f t="shared" si="14"/>
        <v>100</v>
      </c>
      <c r="X46" s="1218"/>
      <c r="Y46" s="3407"/>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04"/>
      <c r="Q47" s="621">
        <f t="shared" si="11"/>
        <v>111</v>
      </c>
      <c r="R47" s="1223" t="s">
        <v>1536</v>
      </c>
      <c r="S47" s="1224">
        <f t="shared" si="12"/>
        <v>100</v>
      </c>
      <c r="T47" s="1223" t="s">
        <v>1536</v>
      </c>
      <c r="U47" s="1224">
        <f t="shared" si="13"/>
        <v>100</v>
      </c>
      <c r="V47" s="1223" t="s">
        <v>1536</v>
      </c>
      <c r="W47" s="1224">
        <f t="shared" si="14"/>
        <v>100</v>
      </c>
      <c r="X47" s="1218"/>
      <c r="Y47" s="3408"/>
      <c r="Z47" s="1207">
        <f t="shared" si="15"/>
        <v>111</v>
      </c>
      <c r="AA47" s="1207">
        <f t="shared" si="3"/>
        <v>1</v>
      </c>
      <c r="AB47" s="1207">
        <f t="shared" si="4"/>
        <v>1</v>
      </c>
      <c r="AC47" s="1529">
        <f t="shared" si="5"/>
        <v>1</v>
      </c>
    </row>
    <row r="48" spans="1:29" ht="15">
      <c r="A48" s="1103" t="s">
        <v>1567</v>
      </c>
      <c r="B48" s="1396"/>
      <c r="C48" s="1397" t="s">
        <v>124</v>
      </c>
      <c r="D48" s="1106"/>
      <c r="E48" s="1107"/>
      <c r="F48" s="1108"/>
      <c r="G48" s="1109"/>
      <c r="H48" s="1110"/>
      <c r="I48" s="1107"/>
      <c r="J48" s="1110"/>
      <c r="K48" s="1198"/>
      <c r="L48" s="1199"/>
      <c r="M48" s="1120"/>
      <c r="N48" s="1120"/>
      <c r="O48" s="1120"/>
      <c r="P48" s="3399" t="str">
        <f>A48</f>
        <v>成交单价（元/平方米）</v>
      </c>
      <c r="Q48" s="3394"/>
      <c r="R48" s="3395">
        <f>E48</f>
        <v>0</v>
      </c>
      <c r="S48" s="3395"/>
      <c r="T48" s="3395">
        <f>G48</f>
        <v>0</v>
      </c>
      <c r="U48" s="3395"/>
      <c r="V48" s="3395">
        <f>I48</f>
        <v>0</v>
      </c>
      <c r="W48" s="3395"/>
      <c r="X48" s="1160"/>
      <c r="Y48" s="1233"/>
      <c r="Z48" s="1160"/>
      <c r="AA48" s="1160"/>
      <c r="AB48" s="1160"/>
      <c r="AC48" s="1066"/>
    </row>
    <row r="49" spans="1:29" ht="15">
      <c r="A49" s="1111" t="s">
        <v>1568</v>
      </c>
      <c r="B49" s="1398"/>
      <c r="C49" s="1399" t="e">
        <f>R50</f>
        <v>#DIV/0!</v>
      </c>
      <c r="D49" s="1114" t="s">
        <v>1569</v>
      </c>
      <c r="E49" s="1400" t="e">
        <f>R49</f>
        <v>#DIV/0!</v>
      </c>
      <c r="F49" s="1115"/>
      <c r="G49" s="1399" t="e">
        <f>T49</f>
        <v>#DIV/0!</v>
      </c>
      <c r="H49" s="1115"/>
      <c r="I49" s="1400" t="e">
        <f>V49</f>
        <v>#DIV/0!</v>
      </c>
      <c r="J49" s="1115"/>
      <c r="K49" s="1200">
        <f>F49+H49+J49</f>
        <v>0</v>
      </c>
      <c r="L49" s="1199"/>
      <c r="M49" s="1120"/>
      <c r="N49" s="1120"/>
      <c r="O49" s="1120"/>
      <c r="P49" s="3399" t="str">
        <f>A49</f>
        <v>比较价值（元/平方米）</v>
      </c>
      <c r="Q49" s="339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1160"/>
      <c r="Y49" s="1160"/>
      <c r="Z49" s="1160"/>
      <c r="AA49" s="1160"/>
      <c r="AB49" s="1160"/>
      <c r="AC49" s="1066"/>
    </row>
    <row r="50" spans="1:29" ht="15">
      <c r="A50" s="1117" t="s">
        <v>1570</v>
      </c>
      <c r="B50" s="1118"/>
      <c r="C50" s="1030" t="e">
        <f>R50</f>
        <v>#DIV/0!</v>
      </c>
      <c r="D50" s="1030"/>
      <c r="E50" s="1030"/>
      <c r="F50" s="1030"/>
      <c r="G50" s="1030"/>
      <c r="H50" s="1030"/>
      <c r="I50" s="1030"/>
      <c r="J50" s="1119"/>
      <c r="K50" s="1201"/>
      <c r="L50" s="1199"/>
      <c r="M50" s="1120"/>
      <c r="N50" s="1120"/>
      <c r="O50" s="1120"/>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1571</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1572</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1573</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1574</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1534</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1575</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1537</v>
      </c>
      <c r="B62" s="1245"/>
      <c r="C62" s="1246" t="s">
        <v>1576</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1577</v>
      </c>
      <c r="B64" s="1250" t="s">
        <v>1540</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1543</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1544</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1545</v>
      </c>
      <c r="B77" s="1250" t="s">
        <v>1621</v>
      </c>
      <c r="C77" s="1270" t="s">
        <v>1578</v>
      </c>
      <c r="D77" s="1270" t="s">
        <v>1579</v>
      </c>
      <c r="E77" s="1270" t="s">
        <v>1580</v>
      </c>
      <c r="F77" s="1270" t="s">
        <v>1581</v>
      </c>
      <c r="G77" s="1270" t="s">
        <v>1582</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1548</v>
      </c>
      <c r="C79" s="1271" t="s">
        <v>1578</v>
      </c>
      <c r="D79" s="1271" t="s">
        <v>1579</v>
      </c>
      <c r="E79" s="1271" t="s">
        <v>1580</v>
      </c>
      <c r="F79" s="1271" t="s">
        <v>1581</v>
      </c>
      <c r="G79" s="1271" t="s">
        <v>1582</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1549</v>
      </c>
      <c r="C81" s="1271" t="s">
        <v>1578</v>
      </c>
      <c r="D81" s="1271" t="s">
        <v>1579</v>
      </c>
      <c r="E81" s="1271" t="s">
        <v>1580</v>
      </c>
      <c r="F81" s="1271" t="s">
        <v>1581</v>
      </c>
      <c r="G81" s="1271" t="s">
        <v>1582</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1550</v>
      </c>
      <c r="C83" s="1188" t="s">
        <v>1583</v>
      </c>
      <c r="D83" s="1188" t="s">
        <v>1584</v>
      </c>
      <c r="E83" s="1188" t="s">
        <v>1585</v>
      </c>
      <c r="F83" s="1188" t="s">
        <v>1586</v>
      </c>
      <c r="G83" s="1188" t="s">
        <v>1587</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1622</v>
      </c>
      <c r="C85" s="1271" t="s">
        <v>1578</v>
      </c>
      <c r="D85" s="1271" t="s">
        <v>1579</v>
      </c>
      <c r="E85" s="1271" t="s">
        <v>1580</v>
      </c>
      <c r="F85" s="1271" t="s">
        <v>1581</v>
      </c>
      <c r="G85" s="1271" t="s">
        <v>1582</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1623</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1554</v>
      </c>
      <c r="B101" s="1250" t="s">
        <v>1555</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1557</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1558</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1560</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682</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1624</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1561</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1562</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1626</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1617</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1565</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1566</v>
      </c>
      <c r="C125" s="1271" t="s">
        <v>1578</v>
      </c>
      <c r="D125" s="1271" t="s">
        <v>1579</v>
      </c>
      <c r="E125" s="1271" t="s">
        <v>1580</v>
      </c>
      <c r="F125" s="1271" t="s">
        <v>1581</v>
      </c>
      <c r="G125" s="1271" t="s">
        <v>1582</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估价对象为北京市房地产,属开发建设的，该项目尚在开发建设中。根据《国有土地使用证》[]，估价对象（分摊）出让国有建设用地使用权面积为67351.83平方米，规划建筑面积为12749.85平方米。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2025年5月14日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1516</v>
      </c>
      <c r="B1" s="1481" t="s">
        <v>1627</v>
      </c>
      <c r="C1" s="1367" t="s">
        <v>1518</v>
      </c>
      <c r="D1" s="1368"/>
      <c r="E1" s="1369"/>
      <c r="F1" s="1370"/>
      <c r="G1" s="1371" t="s">
        <v>1519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1037</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1038</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1039</v>
      </c>
      <c r="B3" s="1021">
        <f>IF(C2="——",C43,ROUND(B2*10000/D3,0))</f>
        <v>0</v>
      </c>
      <c r="C3" s="1378" t="s">
        <v>1520</v>
      </c>
      <c r="D3" s="1379">
        <f>IF(D1="",'数据-汇总表'!E3,SUMIF('数据-汇总表'!$C19:$C33,D1,'数据-汇总表'!$E19:$E33))</f>
        <v>12749.85</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1521</v>
      </c>
      <c r="B4" s="1024"/>
      <c r="C4" s="3379" t="s">
        <v>1522</v>
      </c>
      <c r="D4" s="3380"/>
      <c r="E4" s="3381" t="s">
        <v>1523</v>
      </c>
      <c r="F4" s="3382"/>
      <c r="G4" s="3379" t="s">
        <v>1524</v>
      </c>
      <c r="H4" s="3380"/>
      <c r="I4" s="3379" t="s">
        <v>1525</v>
      </c>
      <c r="J4" s="3380"/>
      <c r="K4" s="1169" t="s">
        <v>1526</v>
      </c>
      <c r="L4" s="1485"/>
      <c r="M4" s="1155"/>
      <c r="N4" s="1155"/>
      <c r="O4" s="1155"/>
      <c r="P4" s="3412" t="s">
        <v>1527</v>
      </c>
      <c r="Q4" s="3413"/>
      <c r="R4" s="3418" t="s">
        <v>1523</v>
      </c>
      <c r="S4" s="3419"/>
      <c r="T4" s="3418" t="s">
        <v>1524</v>
      </c>
      <c r="U4" s="3419"/>
      <c r="V4" s="3395" t="s">
        <v>1525</v>
      </c>
      <c r="W4" s="3395"/>
      <c r="X4" s="1218"/>
      <c r="Y4" s="3418" t="s">
        <v>1527</v>
      </c>
      <c r="Z4" s="3419"/>
      <c r="AA4" s="3409" t="s">
        <v>1523</v>
      </c>
      <c r="AB4" s="3410" t="s">
        <v>1524</v>
      </c>
      <c r="AC4" s="3409" t="s">
        <v>1525</v>
      </c>
    </row>
    <row r="5" spans="1:29" ht="15">
      <c r="A5" s="1027"/>
      <c r="B5" s="1028"/>
      <c r="C5" s="3383" t="s">
        <v>1528</v>
      </c>
      <c r="D5" s="3384"/>
      <c r="E5" s="3385" t="s">
        <v>1529</v>
      </c>
      <c r="F5" s="3386"/>
      <c r="G5" s="3383" t="s">
        <v>1530</v>
      </c>
      <c r="H5" s="3384"/>
      <c r="I5" s="3383" t="s">
        <v>1531</v>
      </c>
      <c r="J5" s="3384"/>
      <c r="K5" s="1169"/>
      <c r="L5" s="1485"/>
      <c r="M5" s="1155"/>
      <c r="N5" s="1155"/>
      <c r="O5" s="1155"/>
      <c r="P5" s="3414"/>
      <c r="Q5" s="3415"/>
      <c r="R5" s="3420"/>
      <c r="S5" s="3421"/>
      <c r="T5" s="3420"/>
      <c r="U5" s="3421"/>
      <c r="V5" s="3395"/>
      <c r="W5" s="3395"/>
      <c r="X5" s="1218"/>
      <c r="Y5" s="3420"/>
      <c r="Z5" s="3421"/>
      <c r="AA5" s="3410"/>
      <c r="AB5" s="3410"/>
      <c r="AC5" s="3410"/>
    </row>
    <row r="6" spans="1:29" ht="15">
      <c r="A6" s="1029"/>
      <c r="B6" s="1030"/>
      <c r="C6" s="3387" t="s">
        <v>1532</v>
      </c>
      <c r="D6" s="3388"/>
      <c r="E6" s="3389" t="s">
        <v>1532</v>
      </c>
      <c r="F6" s="3390"/>
      <c r="G6" s="3387" t="s">
        <v>1532</v>
      </c>
      <c r="H6" s="3388"/>
      <c r="I6" s="3387" t="s">
        <v>1532</v>
      </c>
      <c r="J6" s="3388"/>
      <c r="K6" s="1169" t="s">
        <v>1533</v>
      </c>
      <c r="L6" s="1485"/>
      <c r="M6" s="1155"/>
      <c r="N6" s="1155"/>
      <c r="O6" s="1155"/>
      <c r="P6" s="3416"/>
      <c r="Q6" s="3417"/>
      <c r="R6" s="3420"/>
      <c r="S6" s="3421"/>
      <c r="T6" s="3422"/>
      <c r="U6" s="3423"/>
      <c r="V6" s="3395"/>
      <c r="W6" s="3395"/>
      <c r="X6" s="1218"/>
      <c r="Y6" s="3422"/>
      <c r="Z6" s="3423"/>
      <c r="AA6" s="3411"/>
      <c r="AB6" s="3411"/>
      <c r="AC6" s="3411"/>
    </row>
    <row r="7" spans="1:29" s="1004" customFormat="1" ht="15">
      <c r="A7" s="1032" t="s">
        <v>1534</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91" t="s">
        <v>1535</v>
      </c>
      <c r="Q7" s="3392"/>
      <c r="R7" s="1219" t="s">
        <v>1536</v>
      </c>
      <c r="S7" s="1220">
        <f t="shared" ref="S7:S15" si="0">F7</f>
        <v>0</v>
      </c>
      <c r="T7" s="1219" t="s">
        <v>1536</v>
      </c>
      <c r="U7" s="1220">
        <f t="shared" ref="U7:U15" si="1">H7</f>
        <v>0</v>
      </c>
      <c r="V7" s="1219" t="s">
        <v>1536</v>
      </c>
      <c r="W7" s="1220">
        <f t="shared" ref="W7:W15" si="2">J7</f>
        <v>0</v>
      </c>
      <c r="X7" s="1221"/>
      <c r="Y7" s="3391" t="s">
        <v>1535</v>
      </c>
      <c r="Z7" s="3393"/>
      <c r="AA7" s="1231" t="e">
        <f>D7/F7</f>
        <v>#DIV/0!</v>
      </c>
      <c r="AB7" s="1231" t="e">
        <f>D7/H7</f>
        <v>#DIV/0!</v>
      </c>
      <c r="AC7" s="1231" t="e">
        <f>D7/J7</f>
        <v>#DIV/0!</v>
      </c>
    </row>
    <row r="8" spans="1:29" s="1004" customFormat="1" ht="15">
      <c r="A8" s="1032" t="s">
        <v>1537</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91" t="s">
        <v>1538</v>
      </c>
      <c r="Q8" s="3393"/>
      <c r="R8" s="1219" t="s">
        <v>1536</v>
      </c>
      <c r="S8" s="1220">
        <f t="shared" si="0"/>
        <v>100</v>
      </c>
      <c r="T8" s="1219" t="s">
        <v>1536</v>
      </c>
      <c r="U8" s="1220">
        <f t="shared" si="1"/>
        <v>100</v>
      </c>
      <c r="V8" s="1219" t="s">
        <v>1536</v>
      </c>
      <c r="W8" s="1220">
        <f t="shared" si="2"/>
        <v>100</v>
      </c>
      <c r="X8" s="1221"/>
      <c r="Y8" s="3391" t="s">
        <v>1538</v>
      </c>
      <c r="Z8" s="3393"/>
      <c r="AA8" s="1231">
        <f t="shared" ref="AA8:AA40" si="3">D8/F8</f>
        <v>1</v>
      </c>
      <c r="AB8" s="1231">
        <f t="shared" ref="AB8:AB40" si="4">D8/H8</f>
        <v>1</v>
      </c>
      <c r="AC8" s="1231">
        <f t="shared" ref="AC8:AC40" si="5">D8/J8</f>
        <v>1</v>
      </c>
    </row>
    <row r="9" spans="1:29" s="1004" customFormat="1">
      <c r="A9" s="1040" t="s">
        <v>1539</v>
      </c>
      <c r="B9" s="1041" t="s">
        <v>1540</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94" t="s">
        <v>1541</v>
      </c>
      <c r="Q9" s="790" t="str">
        <f t="shared" ref="Q9:Q15" si="6">B9</f>
        <v>用途</v>
      </c>
      <c r="R9" s="1219" t="s">
        <v>1536</v>
      </c>
      <c r="S9" s="1220">
        <f t="shared" si="0"/>
        <v>100</v>
      </c>
      <c r="T9" s="1219" t="s">
        <v>1536</v>
      </c>
      <c r="U9" s="1220">
        <f t="shared" si="1"/>
        <v>100</v>
      </c>
      <c r="V9" s="1219" t="s">
        <v>1536</v>
      </c>
      <c r="W9" s="1220">
        <f t="shared" si="2"/>
        <v>100</v>
      </c>
      <c r="X9" s="1221"/>
      <c r="Y9" s="3331" t="s">
        <v>1542</v>
      </c>
      <c r="Z9" s="1231" t="str">
        <f t="shared" ref="Z9:Z15" si="7">Q9</f>
        <v>用途</v>
      </c>
      <c r="AA9" s="1231">
        <f t="shared" si="3"/>
        <v>1</v>
      </c>
      <c r="AB9" s="1231">
        <f t="shared" si="4"/>
        <v>1</v>
      </c>
      <c r="AC9" s="1231">
        <f t="shared" si="5"/>
        <v>1</v>
      </c>
    </row>
    <row r="10" spans="1:29" s="1005" customFormat="1" ht="27">
      <c r="A10" s="1044"/>
      <c r="B10" s="1045" t="s">
        <v>1543</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94"/>
      <c r="Q10" s="790" t="str">
        <f t="shared" si="6"/>
        <v>土地使用年限（年）</v>
      </c>
      <c r="R10" s="1219" t="s">
        <v>1536</v>
      </c>
      <c r="S10" s="1220">
        <f t="shared" si="0"/>
        <v>100</v>
      </c>
      <c r="T10" s="1219" t="s">
        <v>1536</v>
      </c>
      <c r="U10" s="1220">
        <f t="shared" si="1"/>
        <v>100</v>
      </c>
      <c r="V10" s="1219" t="s">
        <v>1536</v>
      </c>
      <c r="W10" s="1220">
        <f t="shared" si="2"/>
        <v>100</v>
      </c>
      <c r="X10" s="1221"/>
      <c r="Y10" s="3331"/>
      <c r="Z10" s="1231" t="str">
        <f t="shared" si="7"/>
        <v>土地使用年限（年）</v>
      </c>
      <c r="AA10" s="1231">
        <f t="shared" si="3"/>
        <v>1</v>
      </c>
      <c r="AB10" s="1231">
        <f t="shared" si="4"/>
        <v>1</v>
      </c>
      <c r="AC10" s="1231">
        <f t="shared" si="5"/>
        <v>1</v>
      </c>
    </row>
    <row r="11" spans="1:29" ht="15">
      <c r="A11" s="1048"/>
      <c r="B11" s="1045" t="s">
        <v>1544</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94"/>
      <c r="Q11" s="790" t="str">
        <f t="shared" si="6"/>
        <v>容积率</v>
      </c>
      <c r="R11" s="1219" t="s">
        <v>1536</v>
      </c>
      <c r="S11" s="1220">
        <f t="shared" si="0"/>
        <v>100</v>
      </c>
      <c r="T11" s="1219" t="s">
        <v>1536</v>
      </c>
      <c r="U11" s="1220">
        <f t="shared" si="1"/>
        <v>100</v>
      </c>
      <c r="V11" s="1219" t="s">
        <v>1536</v>
      </c>
      <c r="W11" s="1220">
        <f t="shared" si="2"/>
        <v>100</v>
      </c>
      <c r="X11" s="1221"/>
      <c r="Y11" s="3331"/>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94"/>
      <c r="Q12" s="790">
        <f t="shared" si="6"/>
        <v>111</v>
      </c>
      <c r="R12" s="1219" t="s">
        <v>1536</v>
      </c>
      <c r="S12" s="1220">
        <f t="shared" si="0"/>
        <v>100</v>
      </c>
      <c r="T12" s="1219" t="s">
        <v>1536</v>
      </c>
      <c r="U12" s="1220">
        <f t="shared" si="1"/>
        <v>100</v>
      </c>
      <c r="V12" s="1219" t="s">
        <v>1536</v>
      </c>
      <c r="W12" s="1220">
        <f t="shared" si="2"/>
        <v>100</v>
      </c>
      <c r="X12" s="1221"/>
      <c r="Y12" s="3331"/>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394"/>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94"/>
      <c r="Q14" s="790">
        <f t="shared" si="6"/>
        <v>111</v>
      </c>
      <c r="R14" s="1219" t="s">
        <v>1536</v>
      </c>
      <c r="S14" s="1220">
        <f t="shared" si="0"/>
        <v>100</v>
      </c>
      <c r="T14" s="1219" t="s">
        <v>1536</v>
      </c>
      <c r="U14" s="1220">
        <f t="shared" si="1"/>
        <v>100</v>
      </c>
      <c r="V14" s="1219" t="s">
        <v>1536</v>
      </c>
      <c r="W14" s="1220">
        <f t="shared" si="2"/>
        <v>100</v>
      </c>
      <c r="X14" s="1221"/>
      <c r="Y14" s="3331"/>
      <c r="Z14" s="1231">
        <f t="shared" si="7"/>
        <v>111</v>
      </c>
      <c r="AA14" s="1231">
        <f t="shared" si="3"/>
        <v>1</v>
      </c>
      <c r="AB14" s="1231">
        <f t="shared" si="4"/>
        <v>1</v>
      </c>
      <c r="AC14" s="1231">
        <f t="shared" si="5"/>
        <v>1</v>
      </c>
    </row>
    <row r="15" spans="1:29" ht="57">
      <c r="A15" s="1061" t="s">
        <v>1545</v>
      </c>
      <c r="B15" s="1337" t="s">
        <v>1628</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405" t="s">
        <v>1547</v>
      </c>
      <c r="Q15" s="621" t="str">
        <f t="shared" si="6"/>
        <v>产业集聚程度</v>
      </c>
      <c r="R15" s="1223" t="s">
        <v>1536</v>
      </c>
      <c r="S15" s="1224">
        <f t="shared" si="0"/>
        <v>100</v>
      </c>
      <c r="T15" s="1223" t="s">
        <v>1536</v>
      </c>
      <c r="U15" s="1224">
        <f t="shared" si="1"/>
        <v>100</v>
      </c>
      <c r="V15" s="1223" t="s">
        <v>1536</v>
      </c>
      <c r="W15" s="1224">
        <f t="shared" si="2"/>
        <v>100</v>
      </c>
      <c r="X15" s="1218"/>
      <c r="Y15" s="3405" t="s">
        <v>1547</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406"/>
      <c r="Q16" s="621"/>
      <c r="R16" s="1223"/>
      <c r="S16" s="1224"/>
      <c r="T16" s="1223"/>
      <c r="U16" s="1224"/>
      <c r="V16" s="1223"/>
      <c r="W16" s="1224"/>
      <c r="X16" s="1218"/>
      <c r="Y16" s="3406"/>
      <c r="Z16" s="1207"/>
      <c r="AA16" s="1207">
        <v>1</v>
      </c>
      <c r="AB16" s="1207">
        <v>1</v>
      </c>
      <c r="AC16" s="1207">
        <v>1</v>
      </c>
    </row>
    <row r="17" spans="1:29" ht="85.5">
      <c r="A17" s="1048"/>
      <c r="B17" s="1339" t="s">
        <v>1548</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406"/>
      <c r="Q17" s="621" t="str">
        <f>B17</f>
        <v>交通便捷度</v>
      </c>
      <c r="R17" s="1223" t="s">
        <v>1536</v>
      </c>
      <c r="S17" s="1224">
        <f>F17</f>
        <v>100</v>
      </c>
      <c r="T17" s="1223" t="s">
        <v>1536</v>
      </c>
      <c r="U17" s="1224">
        <f>H17</f>
        <v>100</v>
      </c>
      <c r="V17" s="1223" t="s">
        <v>1536</v>
      </c>
      <c r="W17" s="1224">
        <f>J17</f>
        <v>100</v>
      </c>
      <c r="X17" s="1218"/>
      <c r="Y17" s="3406"/>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406"/>
      <c r="Q18" s="621"/>
      <c r="R18" s="1223"/>
      <c r="S18" s="1224"/>
      <c r="T18" s="1223"/>
      <c r="U18" s="1224"/>
      <c r="V18" s="1223"/>
      <c r="W18" s="1224"/>
      <c r="X18" s="1218"/>
      <c r="Y18" s="3406"/>
      <c r="Z18" s="1207"/>
      <c r="AA18" s="1207">
        <v>1</v>
      </c>
      <c r="AB18" s="1207">
        <v>1</v>
      </c>
      <c r="AC18" s="1207">
        <v>1</v>
      </c>
    </row>
    <row r="19" spans="1:29" ht="42.75">
      <c r="A19" s="1048"/>
      <c r="B19" s="1339" t="s">
        <v>1549</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406"/>
      <c r="Q19" s="621" t="str">
        <f>B19</f>
        <v>公共配套设施</v>
      </c>
      <c r="R19" s="1223" t="s">
        <v>1536</v>
      </c>
      <c r="S19" s="1224">
        <f>F19</f>
        <v>100</v>
      </c>
      <c r="T19" s="1223" t="s">
        <v>1536</v>
      </c>
      <c r="U19" s="1224">
        <f>H19</f>
        <v>100</v>
      </c>
      <c r="V19" s="1223" t="s">
        <v>1536</v>
      </c>
      <c r="W19" s="1224">
        <f>J19</f>
        <v>100</v>
      </c>
      <c r="X19" s="1218"/>
      <c r="Y19" s="3406"/>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406"/>
      <c r="Q20" s="621"/>
      <c r="R20" s="1223"/>
      <c r="S20" s="1224"/>
      <c r="T20" s="1223"/>
      <c r="U20" s="1224"/>
      <c r="V20" s="1223"/>
      <c r="W20" s="1224"/>
      <c r="X20" s="1218"/>
      <c r="Y20" s="3406"/>
      <c r="Z20" s="1207"/>
      <c r="AA20" s="1207">
        <v>1</v>
      </c>
      <c r="AB20" s="1207">
        <v>1</v>
      </c>
      <c r="AC20" s="1207">
        <v>1</v>
      </c>
    </row>
    <row r="21" spans="1:29" ht="28.5">
      <c r="A21" s="1048"/>
      <c r="B21" s="1343" t="s">
        <v>1550</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406"/>
      <c r="Q21" s="621" t="str">
        <f>B21</f>
        <v>基础设施水平</v>
      </c>
      <c r="R21" s="1223" t="s">
        <v>1536</v>
      </c>
      <c r="S21" s="1224">
        <f>F21</f>
        <v>100</v>
      </c>
      <c r="T21" s="1223" t="s">
        <v>1536</v>
      </c>
      <c r="U21" s="1224">
        <f>H21</f>
        <v>100</v>
      </c>
      <c r="V21" s="1223" t="s">
        <v>1536</v>
      </c>
      <c r="W21" s="1224">
        <f>J21</f>
        <v>100</v>
      </c>
      <c r="X21" s="1218"/>
      <c r="Y21" s="3406"/>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406"/>
      <c r="Q22" s="621"/>
      <c r="R22" s="1223"/>
      <c r="S22" s="1224"/>
      <c r="T22" s="1223"/>
      <c r="U22" s="1224"/>
      <c r="V22" s="1223"/>
      <c r="W22" s="1224"/>
      <c r="X22" s="1218"/>
      <c r="Y22" s="3406"/>
      <c r="Z22" s="1207"/>
      <c r="AA22" s="1207">
        <v>1</v>
      </c>
      <c r="AB22" s="1207">
        <v>1</v>
      </c>
      <c r="AC22" s="1207">
        <v>1</v>
      </c>
    </row>
    <row r="23" spans="1:29" ht="71.25">
      <c r="A23" s="1048"/>
      <c r="B23" s="1339" t="s">
        <v>1622</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406"/>
      <c r="Q23" s="621" t="str">
        <f>B23</f>
        <v>环境质量</v>
      </c>
      <c r="R23" s="1223" t="s">
        <v>1536</v>
      </c>
      <c r="S23" s="1224">
        <f>F23</f>
        <v>100</v>
      </c>
      <c r="T23" s="1223" t="s">
        <v>1536</v>
      </c>
      <c r="U23" s="1224">
        <f>H23</f>
        <v>100</v>
      </c>
      <c r="V23" s="1223" t="s">
        <v>1536</v>
      </c>
      <c r="W23" s="1224">
        <f>J23</f>
        <v>100</v>
      </c>
      <c r="X23" s="1218"/>
      <c r="Y23" s="3406"/>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406"/>
      <c r="Q24" s="621"/>
      <c r="R24" s="1223"/>
      <c r="S24" s="1224"/>
      <c r="T24" s="1223"/>
      <c r="U24" s="1224"/>
      <c r="V24" s="1223"/>
      <c r="W24" s="1224"/>
      <c r="X24" s="1218"/>
      <c r="Y24" s="3406"/>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406"/>
      <c r="Q25" s="621">
        <f>B25</f>
        <v>111</v>
      </c>
      <c r="R25" s="1223" t="s">
        <v>1536</v>
      </c>
      <c r="S25" s="1224">
        <f>F25</f>
        <v>100</v>
      </c>
      <c r="T25" s="1223" t="s">
        <v>1536</v>
      </c>
      <c r="U25" s="1224">
        <f>H25</f>
        <v>100</v>
      </c>
      <c r="V25" s="1223" t="s">
        <v>1536</v>
      </c>
      <c r="W25" s="1224">
        <f>J25</f>
        <v>100</v>
      </c>
      <c r="X25" s="1218"/>
      <c r="Y25" s="3406"/>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406"/>
      <c r="Q26" s="621">
        <f t="shared" ref="Q26:Q40" si="11">B26</f>
        <v>111</v>
      </c>
      <c r="R26" s="1223" t="s">
        <v>1536</v>
      </c>
      <c r="S26" s="1224">
        <f>F26</f>
        <v>100</v>
      </c>
      <c r="T26" s="1223" t="s">
        <v>1536</v>
      </c>
      <c r="U26" s="1224">
        <f>H26</f>
        <v>100</v>
      </c>
      <c r="V26" s="1223" t="s">
        <v>1536</v>
      </c>
      <c r="W26" s="1224">
        <f>J26</f>
        <v>100</v>
      </c>
      <c r="X26" s="1218"/>
      <c r="Y26" s="3406"/>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406"/>
      <c r="Q27" s="790">
        <f t="shared" si="11"/>
        <v>111</v>
      </c>
      <c r="R27" s="1219" t="s">
        <v>1536</v>
      </c>
      <c r="S27" s="1220">
        <f>F27</f>
        <v>100</v>
      </c>
      <c r="T27" s="1219" t="s">
        <v>1536</v>
      </c>
      <c r="U27" s="1220">
        <f>H27</f>
        <v>100</v>
      </c>
      <c r="V27" s="1219" t="s">
        <v>1536</v>
      </c>
      <c r="W27" s="1220">
        <f>J27</f>
        <v>100</v>
      </c>
      <c r="X27" s="1221"/>
      <c r="Y27" s="3406"/>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406"/>
      <c r="Q28" s="621">
        <f t="shared" si="11"/>
        <v>111</v>
      </c>
      <c r="R28" s="1223" t="s">
        <v>1536</v>
      </c>
      <c r="S28" s="1224">
        <f t="shared" ref="S28:S40" si="12">F28</f>
        <v>100</v>
      </c>
      <c r="T28" s="1223" t="s">
        <v>1536</v>
      </c>
      <c r="U28" s="1224">
        <f t="shared" ref="U28:U40" si="13">H28</f>
        <v>100</v>
      </c>
      <c r="V28" s="1223" t="s">
        <v>1536</v>
      </c>
      <c r="W28" s="1224">
        <f t="shared" ref="W28:W40" si="14">J28</f>
        <v>100</v>
      </c>
      <c r="X28" s="1218"/>
      <c r="Y28" s="3406"/>
      <c r="Z28" s="1207">
        <f t="shared" ref="Z28:Z40" si="15">Q28</f>
        <v>111</v>
      </c>
      <c r="AA28" s="1207">
        <f t="shared" si="3"/>
        <v>1</v>
      </c>
      <c r="AB28" s="1207">
        <f t="shared" si="4"/>
        <v>1</v>
      </c>
      <c r="AC28" s="1207">
        <f t="shared" si="5"/>
        <v>1</v>
      </c>
    </row>
    <row r="29" spans="1:29" ht="28.5">
      <c r="A29" s="1387" t="s">
        <v>1554</v>
      </c>
      <c r="B29" s="1041" t="s">
        <v>1555</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39" t="s">
        <v>1556</v>
      </c>
      <c r="Q29" s="621" t="str">
        <f t="shared" si="11"/>
        <v>建筑类型</v>
      </c>
      <c r="R29" s="1223" t="s">
        <v>1536</v>
      </c>
      <c r="S29" s="1224">
        <f t="shared" si="12"/>
        <v>100</v>
      </c>
      <c r="T29" s="1223" t="s">
        <v>1536</v>
      </c>
      <c r="U29" s="1224">
        <f t="shared" si="13"/>
        <v>100</v>
      </c>
      <c r="V29" s="1223" t="s">
        <v>1536</v>
      </c>
      <c r="W29" s="1224">
        <f t="shared" si="14"/>
        <v>100</v>
      </c>
      <c r="X29" s="1218"/>
      <c r="Y29" s="3407" t="s">
        <v>1556</v>
      </c>
      <c r="Z29" s="1207" t="str">
        <f t="shared" si="15"/>
        <v>建筑类型</v>
      </c>
      <c r="AA29" s="1207">
        <f t="shared" si="3"/>
        <v>1</v>
      </c>
      <c r="AB29" s="1207">
        <f t="shared" si="4"/>
        <v>1</v>
      </c>
      <c r="AC29" s="1207">
        <f t="shared" si="5"/>
        <v>1</v>
      </c>
    </row>
    <row r="30" spans="1:29" s="1006" customFormat="1" ht="15">
      <c r="A30" s="1101"/>
      <c r="B30" s="1045" t="s">
        <v>1557</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407"/>
      <c r="Q30" s="1413" t="str">
        <f t="shared" si="11"/>
        <v>项目建筑规模</v>
      </c>
      <c r="R30" s="1225" t="s">
        <v>1536</v>
      </c>
      <c r="S30" s="1226" t="e">
        <f t="shared" si="12"/>
        <v>#N/A</v>
      </c>
      <c r="T30" s="1225" t="s">
        <v>1536</v>
      </c>
      <c r="U30" s="1226" t="e">
        <f t="shared" si="13"/>
        <v>#N/A</v>
      </c>
      <c r="V30" s="1225" t="s">
        <v>1536</v>
      </c>
      <c r="W30" s="1226" t="e">
        <f t="shared" si="14"/>
        <v>#N/A</v>
      </c>
      <c r="X30" s="1227"/>
      <c r="Y30" s="3407"/>
      <c r="Z30" s="1232" t="str">
        <f t="shared" si="15"/>
        <v>项目建筑规模</v>
      </c>
      <c r="AA30" s="1207" t="e">
        <f t="shared" si="3"/>
        <v>#N/A</v>
      </c>
      <c r="AB30" s="1207" t="e">
        <f t="shared" si="4"/>
        <v>#N/A</v>
      </c>
      <c r="AC30" s="1207" t="e">
        <f t="shared" si="5"/>
        <v>#N/A</v>
      </c>
    </row>
    <row r="31" spans="1:29" ht="15">
      <c r="A31" s="1096"/>
      <c r="B31" s="1045" t="s">
        <v>1558</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407"/>
      <c r="Q31" s="621" t="str">
        <f t="shared" si="11"/>
        <v>建筑结构</v>
      </c>
      <c r="R31" s="1223" t="s">
        <v>1536</v>
      </c>
      <c r="S31" s="1224">
        <f t="shared" si="12"/>
        <v>100</v>
      </c>
      <c r="T31" s="1223" t="s">
        <v>1536</v>
      </c>
      <c r="U31" s="1224">
        <f t="shared" si="13"/>
        <v>100</v>
      </c>
      <c r="V31" s="1223" t="s">
        <v>1536</v>
      </c>
      <c r="W31" s="1224">
        <f t="shared" si="14"/>
        <v>100</v>
      </c>
      <c r="X31" s="1218"/>
      <c r="Y31" s="3407"/>
      <c r="Z31" s="1207" t="str">
        <f t="shared" si="15"/>
        <v>建筑结构</v>
      </c>
      <c r="AA31" s="1207">
        <f t="shared" si="3"/>
        <v>1</v>
      </c>
      <c r="AB31" s="1207">
        <f t="shared" si="4"/>
        <v>1</v>
      </c>
      <c r="AC31" s="1207">
        <f t="shared" si="5"/>
        <v>1</v>
      </c>
    </row>
    <row r="32" spans="1:29" ht="15">
      <c r="A32" s="1096"/>
      <c r="B32" s="1045" t="s">
        <v>1560</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407"/>
      <c r="Q32" s="621" t="str">
        <f t="shared" si="11"/>
        <v>公共部分装修</v>
      </c>
      <c r="R32" s="1223" t="s">
        <v>1536</v>
      </c>
      <c r="S32" s="1224">
        <f t="shared" si="12"/>
        <v>100</v>
      </c>
      <c r="T32" s="1223" t="s">
        <v>1536</v>
      </c>
      <c r="U32" s="1224">
        <f t="shared" si="13"/>
        <v>100</v>
      </c>
      <c r="V32" s="1223" t="s">
        <v>1536</v>
      </c>
      <c r="W32" s="1224">
        <f t="shared" si="14"/>
        <v>100</v>
      </c>
      <c r="X32" s="1218"/>
      <c r="Y32" s="3407"/>
      <c r="Z32" s="1207" t="str">
        <f t="shared" si="15"/>
        <v>公共部分装修</v>
      </c>
      <c r="AA32" s="1207">
        <f t="shared" si="3"/>
        <v>1</v>
      </c>
      <c r="AB32" s="1207">
        <f t="shared" si="4"/>
        <v>1</v>
      </c>
      <c r="AC32" s="1207">
        <f t="shared" si="5"/>
        <v>1</v>
      </c>
    </row>
    <row r="33" spans="1:29" ht="15">
      <c r="A33" s="1096"/>
      <c r="B33" s="1045" t="s">
        <v>682</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407"/>
      <c r="Q33" s="621" t="str">
        <f t="shared" si="11"/>
        <v>成新度</v>
      </c>
      <c r="R33" s="1223" t="s">
        <v>1536</v>
      </c>
      <c r="S33" s="1224" t="e">
        <f t="shared" si="12"/>
        <v>#N/A</v>
      </c>
      <c r="T33" s="1223" t="s">
        <v>1536</v>
      </c>
      <c r="U33" s="1224" t="e">
        <f t="shared" si="13"/>
        <v>#N/A</v>
      </c>
      <c r="V33" s="1223" t="s">
        <v>1536</v>
      </c>
      <c r="W33" s="1224" t="e">
        <f t="shared" si="14"/>
        <v>#N/A</v>
      </c>
      <c r="X33" s="1218"/>
      <c r="Y33" s="3407"/>
      <c r="Z33" s="1207" t="str">
        <f t="shared" si="15"/>
        <v>成新度</v>
      </c>
      <c r="AA33" s="1207" t="e">
        <f t="shared" si="3"/>
        <v>#N/A</v>
      </c>
      <c r="AB33" s="1207" t="e">
        <f t="shared" si="4"/>
        <v>#N/A</v>
      </c>
      <c r="AC33" s="1207" t="e">
        <f t="shared" si="5"/>
        <v>#N/A</v>
      </c>
    </row>
    <row r="34" spans="1:29" s="1004" customFormat="1" ht="15">
      <c r="A34" s="1098"/>
      <c r="B34" s="1045" t="s">
        <v>1561</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407"/>
      <c r="Q34" s="790" t="str">
        <f t="shared" si="11"/>
        <v>物业管理</v>
      </c>
      <c r="R34" s="1219" t="s">
        <v>1536</v>
      </c>
      <c r="S34" s="1220">
        <f t="shared" si="12"/>
        <v>100</v>
      </c>
      <c r="T34" s="1219" t="s">
        <v>1536</v>
      </c>
      <c r="U34" s="1220">
        <f t="shared" si="13"/>
        <v>100</v>
      </c>
      <c r="V34" s="1219" t="s">
        <v>1536</v>
      </c>
      <c r="W34" s="1220">
        <f t="shared" si="14"/>
        <v>100</v>
      </c>
      <c r="X34" s="1221"/>
      <c r="Y34" s="3407"/>
      <c r="Z34" s="1231" t="str">
        <f t="shared" si="15"/>
        <v>物业管理</v>
      </c>
      <c r="AA34" s="1231">
        <f t="shared" si="3"/>
        <v>1</v>
      </c>
      <c r="AB34" s="1231">
        <f t="shared" si="4"/>
        <v>1</v>
      </c>
      <c r="AC34" s="1231">
        <f t="shared" si="5"/>
        <v>1</v>
      </c>
    </row>
    <row r="35" spans="1:29" ht="15">
      <c r="A35" s="1096"/>
      <c r="B35" s="1045" t="s">
        <v>1562</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407" t="s">
        <v>1556</v>
      </c>
      <c r="Q35" s="621" t="str">
        <f t="shared" si="11"/>
        <v>市政基础设施</v>
      </c>
      <c r="R35" s="1223" t="s">
        <v>1536</v>
      </c>
      <c r="S35" s="1224">
        <f t="shared" si="12"/>
        <v>100</v>
      </c>
      <c r="T35" s="1223" t="s">
        <v>1536</v>
      </c>
      <c r="U35" s="1224">
        <f t="shared" si="13"/>
        <v>100</v>
      </c>
      <c r="V35" s="1223" t="s">
        <v>1536</v>
      </c>
      <c r="W35" s="1224">
        <f t="shared" si="14"/>
        <v>100</v>
      </c>
      <c r="X35" s="1218"/>
      <c r="Y35" s="3407" t="s">
        <v>1556</v>
      </c>
      <c r="Z35" s="1207" t="str">
        <f t="shared" si="15"/>
        <v>市政基础设施</v>
      </c>
      <c r="AA35" s="1207">
        <f t="shared" si="3"/>
        <v>1</v>
      </c>
      <c r="AB35" s="1207">
        <f t="shared" si="4"/>
        <v>1</v>
      </c>
      <c r="AC35" s="1207">
        <f t="shared" si="5"/>
        <v>1</v>
      </c>
    </row>
    <row r="36" spans="1:29" ht="15">
      <c r="A36" s="1096"/>
      <c r="B36" s="1045" t="s">
        <v>1565</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407"/>
      <c r="Q36" s="621" t="str">
        <f t="shared" si="11"/>
        <v>内部装修</v>
      </c>
      <c r="R36" s="1223" t="s">
        <v>1536</v>
      </c>
      <c r="S36" s="1224">
        <f t="shared" si="12"/>
        <v>100</v>
      </c>
      <c r="T36" s="1223" t="s">
        <v>1536</v>
      </c>
      <c r="U36" s="1224">
        <f t="shared" si="13"/>
        <v>100</v>
      </c>
      <c r="V36" s="1223" t="s">
        <v>1536</v>
      </c>
      <c r="W36" s="1224">
        <f t="shared" si="14"/>
        <v>100</v>
      </c>
      <c r="X36" s="1218"/>
      <c r="Y36" s="3407"/>
      <c r="Z36" s="1207" t="str">
        <f t="shared" si="15"/>
        <v>内部装修</v>
      </c>
      <c r="AA36" s="1207">
        <f t="shared" si="3"/>
        <v>1</v>
      </c>
      <c r="AB36" s="1207">
        <f t="shared" si="4"/>
        <v>1</v>
      </c>
      <c r="AC36" s="1207">
        <f t="shared" si="5"/>
        <v>1</v>
      </c>
    </row>
    <row r="37" spans="1:29" ht="15">
      <c r="A37" s="1096"/>
      <c r="B37" s="1045" t="s">
        <v>1629</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407"/>
      <c r="Q37" s="621" t="str">
        <f t="shared" si="11"/>
        <v>内部装修状况</v>
      </c>
      <c r="R37" s="1223" t="s">
        <v>1536</v>
      </c>
      <c r="S37" s="1224">
        <f t="shared" si="12"/>
        <v>100</v>
      </c>
      <c r="T37" s="1223" t="s">
        <v>1536</v>
      </c>
      <c r="U37" s="1224">
        <f t="shared" si="13"/>
        <v>100</v>
      </c>
      <c r="V37" s="1223" t="s">
        <v>1536</v>
      </c>
      <c r="W37" s="1224">
        <f t="shared" si="14"/>
        <v>100</v>
      </c>
      <c r="X37" s="1218"/>
      <c r="Y37" s="3407"/>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407"/>
      <c r="Q38" s="1413">
        <f t="shared" si="11"/>
        <v>111</v>
      </c>
      <c r="R38" s="1225" t="s">
        <v>1536</v>
      </c>
      <c r="S38" s="1226">
        <f t="shared" si="12"/>
        <v>100</v>
      </c>
      <c r="T38" s="1225" t="s">
        <v>1536</v>
      </c>
      <c r="U38" s="1226">
        <f t="shared" si="13"/>
        <v>100</v>
      </c>
      <c r="V38" s="1225" t="s">
        <v>1536</v>
      </c>
      <c r="W38" s="1226">
        <f t="shared" si="14"/>
        <v>100</v>
      </c>
      <c r="X38" s="1227"/>
      <c r="Y38" s="3407"/>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407"/>
      <c r="Q39" s="621">
        <f t="shared" si="11"/>
        <v>111</v>
      </c>
      <c r="R39" s="1223" t="s">
        <v>1536</v>
      </c>
      <c r="S39" s="1224">
        <f t="shared" si="12"/>
        <v>100</v>
      </c>
      <c r="T39" s="1223" t="s">
        <v>1536</v>
      </c>
      <c r="U39" s="1224">
        <f t="shared" si="13"/>
        <v>100</v>
      </c>
      <c r="V39" s="1223" t="s">
        <v>1536</v>
      </c>
      <c r="W39" s="1224">
        <f t="shared" si="14"/>
        <v>100</v>
      </c>
      <c r="X39" s="1218"/>
      <c r="Y39" s="3407"/>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408"/>
      <c r="Q40" s="621">
        <f t="shared" si="11"/>
        <v>111</v>
      </c>
      <c r="R40" s="1223" t="s">
        <v>1536</v>
      </c>
      <c r="S40" s="1224">
        <f t="shared" si="12"/>
        <v>100</v>
      </c>
      <c r="T40" s="1223" t="s">
        <v>1536</v>
      </c>
      <c r="U40" s="1224">
        <f t="shared" si="13"/>
        <v>100</v>
      </c>
      <c r="V40" s="1223" t="s">
        <v>1536</v>
      </c>
      <c r="W40" s="1224">
        <f t="shared" si="14"/>
        <v>100</v>
      </c>
      <c r="X40" s="1218"/>
      <c r="Y40" s="3408"/>
      <c r="Z40" s="1207">
        <f t="shared" si="15"/>
        <v>111</v>
      </c>
      <c r="AA40" s="1207">
        <f t="shared" si="3"/>
        <v>1</v>
      </c>
      <c r="AB40" s="1207">
        <f t="shared" si="4"/>
        <v>1</v>
      </c>
      <c r="AC40" s="1207">
        <f t="shared" si="5"/>
        <v>1</v>
      </c>
    </row>
    <row r="41" spans="1:29" ht="15">
      <c r="A41" s="1103" t="s">
        <v>1567</v>
      </c>
      <c r="B41" s="1396"/>
      <c r="C41" s="1397" t="s">
        <v>124</v>
      </c>
      <c r="D41" s="1106"/>
      <c r="E41" s="1107"/>
      <c r="F41" s="1108"/>
      <c r="G41" s="1109"/>
      <c r="H41" s="1110"/>
      <c r="I41" s="1107"/>
      <c r="J41" s="1110"/>
      <c r="K41" s="1198"/>
      <c r="L41" s="1497"/>
      <c r="M41" s="1155"/>
      <c r="N41" s="1155"/>
      <c r="O41" s="1155"/>
      <c r="P41" s="3394" t="str">
        <f>A41</f>
        <v>成交单价（元/平方米）</v>
      </c>
      <c r="Q41" s="3394"/>
      <c r="R41" s="3395">
        <f>E41</f>
        <v>0</v>
      </c>
      <c r="S41" s="3395"/>
      <c r="T41" s="3395">
        <f>G41</f>
        <v>0</v>
      </c>
      <c r="U41" s="3395"/>
      <c r="V41" s="3395">
        <f>I41</f>
        <v>0</v>
      </c>
      <c r="W41" s="3395"/>
      <c r="X41" s="1160"/>
      <c r="Y41" s="1233"/>
      <c r="Z41" s="1160"/>
      <c r="AA41" s="1160"/>
      <c r="AB41" s="1160"/>
      <c r="AC41" s="1160"/>
    </row>
    <row r="42" spans="1:29" ht="15">
      <c r="A42" s="1111" t="s">
        <v>1568</v>
      </c>
      <c r="B42" s="1398"/>
      <c r="C42" s="1399" t="e">
        <f>R43</f>
        <v>#DIV/0!</v>
      </c>
      <c r="D42" s="1114" t="s">
        <v>1569</v>
      </c>
      <c r="E42" s="1400" t="e">
        <f>R42</f>
        <v>#DIV/0!</v>
      </c>
      <c r="F42" s="1115"/>
      <c r="G42" s="1399" t="e">
        <f>T42</f>
        <v>#DIV/0!</v>
      </c>
      <c r="H42" s="1115"/>
      <c r="I42" s="1400" t="e">
        <f>V42</f>
        <v>#DIV/0!</v>
      </c>
      <c r="J42" s="1115"/>
      <c r="K42" s="1200">
        <f>F42+H42+J42</f>
        <v>0</v>
      </c>
      <c r="L42" s="1497"/>
      <c r="M42" s="1155"/>
      <c r="N42" s="1155"/>
      <c r="O42" s="1155"/>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1160"/>
      <c r="Y42" s="1160"/>
      <c r="Z42" s="1160"/>
      <c r="AA42" s="1160"/>
      <c r="AB42" s="1160"/>
      <c r="AC42" s="1160"/>
    </row>
    <row r="43" spans="1:29" ht="15">
      <c r="A43" s="1117" t="s">
        <v>1570</v>
      </c>
      <c r="B43" s="1118"/>
      <c r="C43" s="1030" t="e">
        <f>R43</f>
        <v>#DIV/0!</v>
      </c>
      <c r="D43" s="1030"/>
      <c r="E43" s="1030"/>
      <c r="F43" s="1030"/>
      <c r="G43" s="1030"/>
      <c r="H43" s="1030"/>
      <c r="I43" s="1030"/>
      <c r="J43" s="1030"/>
      <c r="K43" s="1201"/>
      <c r="L43" s="1497"/>
      <c r="M43" s="1155"/>
      <c r="N43" s="1155"/>
      <c r="O43" s="1155"/>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1571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1572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1573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1574</v>
      </c>
      <c r="B51" s="1160"/>
      <c r="C51" s="1161"/>
      <c r="D51" s="1161"/>
      <c r="E51" s="1161"/>
      <c r="F51" s="1162"/>
      <c r="G51" s="1162"/>
      <c r="H51" s="1161"/>
      <c r="I51" s="1161"/>
      <c r="J51" s="1161"/>
      <c r="K51" s="1360"/>
      <c r="L51" s="1361"/>
      <c r="M51" s="1215"/>
      <c r="N51" s="1215"/>
      <c r="O51" s="1215"/>
      <c r="P51" s="1500"/>
      <c r="Q51" s="1501"/>
    </row>
    <row r="52" spans="1:17" s="1009" customFormat="1" ht="15">
      <c r="A52" s="1402" t="s">
        <v>1534</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1575</v>
      </c>
      <c r="B54" s="1241"/>
      <c r="C54" s="1242"/>
      <c r="D54" s="1243"/>
      <c r="E54" s="1243"/>
      <c r="F54" s="1243"/>
      <c r="G54" s="1243"/>
      <c r="H54" s="1243"/>
      <c r="I54" s="1243"/>
      <c r="J54" s="1243"/>
      <c r="K54" s="1243"/>
      <c r="L54" s="1243"/>
      <c r="M54" s="1283"/>
      <c r="N54" s="1502"/>
      <c r="O54" s="1503"/>
      <c r="P54" s="1501"/>
      <c r="Q54" s="1501"/>
    </row>
    <row r="55" spans="1:17" s="1004" customFormat="1" ht="15">
      <c r="A55" s="1244" t="s">
        <v>1537</v>
      </c>
      <c r="B55" s="1245"/>
      <c r="C55" s="1246" t="s">
        <v>1576</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1577</v>
      </c>
      <c r="B57" s="1250" t="s">
        <v>1540</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1543</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1544</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1545</v>
      </c>
      <c r="B70" s="1250" t="s">
        <v>1628</v>
      </c>
      <c r="C70" s="1270" t="s">
        <v>1578</v>
      </c>
      <c r="D70" s="1270" t="s">
        <v>1579</v>
      </c>
      <c r="E70" s="1270" t="s">
        <v>1580</v>
      </c>
      <c r="F70" s="1270" t="s">
        <v>1581</v>
      </c>
      <c r="G70" s="1270" t="s">
        <v>1582</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1548</v>
      </c>
      <c r="C72" s="1271" t="s">
        <v>1578</v>
      </c>
      <c r="D72" s="1271" t="s">
        <v>1579</v>
      </c>
      <c r="E72" s="1271" t="s">
        <v>1580</v>
      </c>
      <c r="F72" s="1271" t="s">
        <v>1581</v>
      </c>
      <c r="G72" s="1271" t="s">
        <v>1582</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1549</v>
      </c>
      <c r="C74" s="1271" t="s">
        <v>1578</v>
      </c>
      <c r="D74" s="1271" t="s">
        <v>1579</v>
      </c>
      <c r="E74" s="1271" t="s">
        <v>1580</v>
      </c>
      <c r="F74" s="1271" t="s">
        <v>1581</v>
      </c>
      <c r="G74" s="1271" t="s">
        <v>1582</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1550</v>
      </c>
      <c r="C76" s="1188" t="s">
        <v>1583</v>
      </c>
      <c r="D76" s="1188" t="s">
        <v>1584</v>
      </c>
      <c r="E76" s="1188" t="s">
        <v>1585</v>
      </c>
      <c r="F76" s="1188" t="s">
        <v>1586</v>
      </c>
      <c r="G76" s="1188" t="s">
        <v>1587</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1622</v>
      </c>
      <c r="C78" s="1271" t="s">
        <v>1578</v>
      </c>
      <c r="D78" s="1271" t="s">
        <v>1579</v>
      </c>
      <c r="E78" s="1271" t="s">
        <v>1580</v>
      </c>
      <c r="F78" s="1271" t="s">
        <v>1581</v>
      </c>
      <c r="G78" s="1271" t="s">
        <v>1582</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1554</v>
      </c>
      <c r="B88" s="1250" t="s">
        <v>1555</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1557</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1558</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1560</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682</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1561</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1562</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1565</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1630</v>
      </c>
      <c r="C106" s="1271" t="s">
        <v>1578</v>
      </c>
      <c r="D106" s="1271" t="s">
        <v>1579</v>
      </c>
      <c r="E106" s="1271" t="s">
        <v>1580</v>
      </c>
      <c r="F106" s="1271" t="s">
        <v>1581</v>
      </c>
      <c r="G106" s="1271" t="s">
        <v>1582</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1631</v>
      </c>
      <c r="B1" s="1366" t="s">
        <v>1632</v>
      </c>
      <c r="C1" s="1367" t="s">
        <v>1518</v>
      </c>
      <c r="D1" s="1368"/>
      <c r="E1" s="1369"/>
      <c r="F1" s="1370"/>
      <c r="G1" s="1427" t="s">
        <v>1519</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1037</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1038</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1039</v>
      </c>
      <c r="B3" s="1021" t="e">
        <f>IF(AND(C2="——",B37="元/平方米"),C39,ROUND(B2*10000/D3,0))</f>
        <v>#DIV/0!</v>
      </c>
      <c r="C3" s="1378" t="s">
        <v>1520</v>
      </c>
      <c r="D3" s="1379">
        <f>SUMIF('数据-汇总表'!$C19:$C33,D1,'数据-汇总表'!$E19:$E33)</f>
        <v>0</v>
      </c>
      <c r="E3" s="1378" t="s">
        <v>1633</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1521</v>
      </c>
      <c r="B4" s="1024"/>
      <c r="C4" s="3379" t="s">
        <v>1522</v>
      </c>
      <c r="D4" s="3380"/>
      <c r="E4" s="3381" t="s">
        <v>1523</v>
      </c>
      <c r="F4" s="3382"/>
      <c r="G4" s="3379" t="s">
        <v>1524</v>
      </c>
      <c r="H4" s="3380"/>
      <c r="I4" s="3379" t="s">
        <v>1525</v>
      </c>
      <c r="J4" s="3380"/>
      <c r="K4" s="1169" t="s">
        <v>1526</v>
      </c>
      <c r="L4" s="1170"/>
      <c r="M4" s="1120"/>
      <c r="N4" s="1120"/>
      <c r="O4" s="1120"/>
      <c r="P4" s="3412" t="s">
        <v>1527</v>
      </c>
      <c r="Q4" s="3413"/>
      <c r="R4" s="3418" t="s">
        <v>1523</v>
      </c>
      <c r="S4" s="3419"/>
      <c r="T4" s="3418" t="s">
        <v>1524</v>
      </c>
      <c r="U4" s="3419"/>
      <c r="V4" s="3395" t="s">
        <v>1525</v>
      </c>
      <c r="W4" s="3395"/>
      <c r="X4" s="1218"/>
      <c r="Y4" s="3418" t="s">
        <v>1527</v>
      </c>
      <c r="Z4" s="3419"/>
      <c r="AA4" s="3409" t="s">
        <v>1523</v>
      </c>
      <c r="AB4" s="3410" t="s">
        <v>1524</v>
      </c>
      <c r="AC4" s="3409" t="s">
        <v>1525</v>
      </c>
    </row>
    <row r="5" spans="1:29" ht="15">
      <c r="A5" s="1027"/>
      <c r="B5" s="1028"/>
      <c r="C5" s="3383" t="s">
        <v>1528</v>
      </c>
      <c r="D5" s="3384"/>
      <c r="E5" s="3385" t="s">
        <v>1529</v>
      </c>
      <c r="F5" s="3386"/>
      <c r="G5" s="3383" t="s">
        <v>1530</v>
      </c>
      <c r="H5" s="3384"/>
      <c r="I5" s="3383" t="s">
        <v>1531</v>
      </c>
      <c r="J5" s="3384"/>
      <c r="K5" s="1169"/>
      <c r="L5" s="1170"/>
      <c r="M5" s="1120"/>
      <c r="N5" s="1120"/>
      <c r="O5" s="1120"/>
      <c r="P5" s="3414"/>
      <c r="Q5" s="3415"/>
      <c r="R5" s="3420"/>
      <c r="S5" s="3421"/>
      <c r="T5" s="3420"/>
      <c r="U5" s="3421"/>
      <c r="V5" s="3395"/>
      <c r="W5" s="3395"/>
      <c r="X5" s="1218"/>
      <c r="Y5" s="3420"/>
      <c r="Z5" s="3421"/>
      <c r="AA5" s="3410"/>
      <c r="AB5" s="3410"/>
      <c r="AC5" s="3410"/>
    </row>
    <row r="6" spans="1:29" ht="15">
      <c r="A6" s="1029"/>
      <c r="B6" s="1030"/>
      <c r="C6" s="3387" t="s">
        <v>1532</v>
      </c>
      <c r="D6" s="3388"/>
      <c r="E6" s="3389" t="s">
        <v>1532</v>
      </c>
      <c r="F6" s="3390"/>
      <c r="G6" s="3387" t="s">
        <v>1532</v>
      </c>
      <c r="H6" s="3388"/>
      <c r="I6" s="3387" t="s">
        <v>1532</v>
      </c>
      <c r="J6" s="3388"/>
      <c r="K6" s="1169" t="s">
        <v>1533</v>
      </c>
      <c r="L6" s="1170"/>
      <c r="M6" s="1120"/>
      <c r="N6" s="1120"/>
      <c r="O6" s="1120"/>
      <c r="P6" s="3416"/>
      <c r="Q6" s="3417"/>
      <c r="R6" s="3420"/>
      <c r="S6" s="3421"/>
      <c r="T6" s="3422"/>
      <c r="U6" s="3423"/>
      <c r="V6" s="3395"/>
      <c r="W6" s="3395"/>
      <c r="X6" s="1218"/>
      <c r="Y6" s="3422"/>
      <c r="Z6" s="3423"/>
      <c r="AA6" s="3411"/>
      <c r="AB6" s="3411"/>
      <c r="AC6" s="3411"/>
    </row>
    <row r="7" spans="1:29" s="1004" customFormat="1" ht="15">
      <c r="A7" s="1032" t="s">
        <v>1534</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91" t="s">
        <v>1535</v>
      </c>
      <c r="Q7" s="3392"/>
      <c r="R7" s="1219" t="s">
        <v>1536</v>
      </c>
      <c r="S7" s="1220">
        <f t="shared" ref="S7:S14" si="0">F7</f>
        <v>0</v>
      </c>
      <c r="T7" s="1219" t="s">
        <v>1536</v>
      </c>
      <c r="U7" s="1220">
        <f t="shared" ref="U7:U14" si="1">H7</f>
        <v>0</v>
      </c>
      <c r="V7" s="1219" t="s">
        <v>1536</v>
      </c>
      <c r="W7" s="1220">
        <f t="shared" ref="W7:W14" si="2">J7</f>
        <v>0</v>
      </c>
      <c r="X7" s="1221"/>
      <c r="Y7" s="3391" t="s">
        <v>1535</v>
      </c>
      <c r="Z7" s="3393"/>
      <c r="AA7" s="1231" t="e">
        <f>D7/F7</f>
        <v>#DIV/0!</v>
      </c>
      <c r="AB7" s="1231" t="e">
        <f>D7/H7</f>
        <v>#DIV/0!</v>
      </c>
      <c r="AC7" s="1231" t="e">
        <f>D7/J7</f>
        <v>#DIV/0!</v>
      </c>
    </row>
    <row r="8" spans="1:29" s="1004" customFormat="1" ht="15">
      <c r="A8" s="1032" t="s">
        <v>1537</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91" t="s">
        <v>1538</v>
      </c>
      <c r="Q8" s="3393"/>
      <c r="R8" s="1219" t="s">
        <v>1536</v>
      </c>
      <c r="S8" s="1220">
        <f t="shared" si="0"/>
        <v>100</v>
      </c>
      <c r="T8" s="1219" t="s">
        <v>1536</v>
      </c>
      <c r="U8" s="1220">
        <f t="shared" si="1"/>
        <v>100</v>
      </c>
      <c r="V8" s="1219" t="s">
        <v>1536</v>
      </c>
      <c r="W8" s="1220">
        <f t="shared" si="2"/>
        <v>100</v>
      </c>
      <c r="X8" s="1221"/>
      <c r="Y8" s="3391" t="s">
        <v>1538</v>
      </c>
      <c r="Z8" s="3393"/>
      <c r="AA8" s="1231">
        <f t="shared" ref="AA8:AA36" si="3">D8/F8</f>
        <v>1</v>
      </c>
      <c r="AB8" s="1231">
        <f t="shared" ref="AB8:AB36" si="4">D8/H8</f>
        <v>1</v>
      </c>
      <c r="AC8" s="1231">
        <f t="shared" ref="AC8:AC36" si="5">D8/J8</f>
        <v>1</v>
      </c>
    </row>
    <row r="9" spans="1:29" s="1004" customFormat="1">
      <c r="A9" s="1429" t="s">
        <v>1539</v>
      </c>
      <c r="B9" s="1430" t="s">
        <v>1540</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94" t="s">
        <v>1541</v>
      </c>
      <c r="Q9" s="790" t="str">
        <f t="shared" ref="Q9:Q14" si="6">B9</f>
        <v>用途</v>
      </c>
      <c r="R9" s="1219" t="s">
        <v>1536</v>
      </c>
      <c r="S9" s="1220">
        <f t="shared" si="0"/>
        <v>100</v>
      </c>
      <c r="T9" s="1219" t="s">
        <v>1536</v>
      </c>
      <c r="U9" s="1220">
        <f t="shared" si="1"/>
        <v>100</v>
      </c>
      <c r="V9" s="1219" t="s">
        <v>1536</v>
      </c>
      <c r="W9" s="1220">
        <f t="shared" si="2"/>
        <v>100</v>
      </c>
      <c r="X9" s="1221"/>
      <c r="Y9" s="3331" t="s">
        <v>1542</v>
      </c>
      <c r="Z9" s="1231" t="str">
        <f t="shared" ref="Z9:Z14" si="7">Q9</f>
        <v>用途</v>
      </c>
      <c r="AA9" s="1231">
        <f t="shared" si="3"/>
        <v>1</v>
      </c>
      <c r="AB9" s="1231">
        <f t="shared" si="4"/>
        <v>1</v>
      </c>
      <c r="AC9" s="1231">
        <f t="shared" si="5"/>
        <v>1</v>
      </c>
    </row>
    <row r="10" spans="1:29" s="1005" customFormat="1" ht="27">
      <c r="A10" s="1432"/>
      <c r="B10" s="1433" t="s">
        <v>1543</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94"/>
      <c r="Q10" s="790" t="str">
        <f t="shared" si="6"/>
        <v>土地使用年限（年）</v>
      </c>
      <c r="R10" s="1219" t="s">
        <v>1536</v>
      </c>
      <c r="S10" s="1220">
        <f t="shared" si="0"/>
        <v>100</v>
      </c>
      <c r="T10" s="1219" t="s">
        <v>1536</v>
      </c>
      <c r="U10" s="1220">
        <f t="shared" si="1"/>
        <v>100</v>
      </c>
      <c r="V10" s="1219" t="s">
        <v>1536</v>
      </c>
      <c r="W10" s="1220">
        <f t="shared" si="2"/>
        <v>100</v>
      </c>
      <c r="X10" s="1221"/>
      <c r="Y10" s="3331"/>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94"/>
      <c r="Q11" s="790">
        <f t="shared" si="6"/>
        <v>111</v>
      </c>
      <c r="R11" s="1219" t="s">
        <v>1536</v>
      </c>
      <c r="S11" s="1220">
        <f t="shared" si="0"/>
        <v>100</v>
      </c>
      <c r="T11" s="1219" t="s">
        <v>1536</v>
      </c>
      <c r="U11" s="1220">
        <f t="shared" si="1"/>
        <v>100</v>
      </c>
      <c r="V11" s="1219" t="s">
        <v>1536</v>
      </c>
      <c r="W11" s="1220">
        <f t="shared" si="2"/>
        <v>100</v>
      </c>
      <c r="X11" s="1221"/>
      <c r="Y11" s="3331"/>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94"/>
      <c r="Q12" s="790">
        <f t="shared" si="6"/>
        <v>111</v>
      </c>
      <c r="R12" s="1219" t="s">
        <v>1536</v>
      </c>
      <c r="S12" s="1220">
        <f t="shared" si="0"/>
        <v>100</v>
      </c>
      <c r="T12" s="1219" t="s">
        <v>1536</v>
      </c>
      <c r="U12" s="1220">
        <f t="shared" si="1"/>
        <v>100</v>
      </c>
      <c r="V12" s="1219" t="s">
        <v>1536</v>
      </c>
      <c r="W12" s="1220">
        <f t="shared" si="2"/>
        <v>100</v>
      </c>
      <c r="X12" s="1221"/>
      <c r="Y12" s="3331"/>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94"/>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231">
        <f t="shared" si="5"/>
        <v>1</v>
      </c>
    </row>
    <row r="14" spans="1:29" ht="85.5">
      <c r="A14" s="1023" t="s">
        <v>1545</v>
      </c>
      <c r="B14" s="1062" t="s">
        <v>1548</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405" t="s">
        <v>1547</v>
      </c>
      <c r="Q14" s="621" t="str">
        <f t="shared" si="6"/>
        <v>交通便捷度</v>
      </c>
      <c r="R14" s="1223" t="s">
        <v>1536</v>
      </c>
      <c r="S14" s="1224">
        <f t="shared" si="0"/>
        <v>100</v>
      </c>
      <c r="T14" s="1223" t="s">
        <v>1536</v>
      </c>
      <c r="U14" s="1224">
        <f t="shared" si="1"/>
        <v>100</v>
      </c>
      <c r="V14" s="1223" t="s">
        <v>1536</v>
      </c>
      <c r="W14" s="1224">
        <f t="shared" si="2"/>
        <v>100</v>
      </c>
      <c r="X14" s="1218"/>
      <c r="Y14" s="3405" t="s">
        <v>1547</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406"/>
      <c r="Q15" s="621"/>
      <c r="R15" s="1223"/>
      <c r="S15" s="1224"/>
      <c r="T15" s="1223"/>
      <c r="U15" s="1224"/>
      <c r="V15" s="1223"/>
      <c r="W15" s="1224"/>
      <c r="X15" s="1218"/>
      <c r="Y15" s="3406"/>
      <c r="Z15" s="1207"/>
      <c r="AA15" s="1207">
        <v>1</v>
      </c>
      <c r="AB15" s="1207">
        <v>1</v>
      </c>
      <c r="AC15" s="1207">
        <v>1</v>
      </c>
    </row>
    <row r="16" spans="1:29" ht="42.75">
      <c r="A16" s="1027"/>
      <c r="B16" s="1071" t="s">
        <v>1549</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406"/>
      <c r="Q16" s="621" t="str">
        <f>B16</f>
        <v>公共配套设施</v>
      </c>
      <c r="R16" s="1223" t="s">
        <v>1536</v>
      </c>
      <c r="S16" s="1224">
        <f>F16</f>
        <v>100</v>
      </c>
      <c r="T16" s="1223" t="s">
        <v>1536</v>
      </c>
      <c r="U16" s="1224">
        <f>H16</f>
        <v>100</v>
      </c>
      <c r="V16" s="1223" t="s">
        <v>1536</v>
      </c>
      <c r="W16" s="1224">
        <f>J16</f>
        <v>100</v>
      </c>
      <c r="X16" s="1218"/>
      <c r="Y16" s="3406"/>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406"/>
      <c r="Q17" s="621"/>
      <c r="R17" s="1223"/>
      <c r="S17" s="1224"/>
      <c r="T17" s="1223"/>
      <c r="U17" s="1224"/>
      <c r="V17" s="1223"/>
      <c r="W17" s="1224"/>
      <c r="X17" s="1218"/>
      <c r="Y17" s="3406"/>
      <c r="Z17" s="1207"/>
      <c r="AA17" s="1207">
        <v>1</v>
      </c>
      <c r="AB17" s="1207">
        <v>1</v>
      </c>
      <c r="AC17" s="1207">
        <v>1</v>
      </c>
    </row>
    <row r="18" spans="1:29" ht="28.5">
      <c r="A18" s="1027"/>
      <c r="B18" s="1078" t="s">
        <v>1550</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406"/>
      <c r="Q18" s="621" t="str">
        <f>B18</f>
        <v>基础设施水平</v>
      </c>
      <c r="R18" s="1223" t="s">
        <v>1536</v>
      </c>
      <c r="S18" s="1224">
        <f>F18</f>
        <v>100</v>
      </c>
      <c r="T18" s="1223" t="s">
        <v>1536</v>
      </c>
      <c r="U18" s="1224">
        <f>H18</f>
        <v>100</v>
      </c>
      <c r="V18" s="1223" t="s">
        <v>1536</v>
      </c>
      <c r="W18" s="1224">
        <f>J18</f>
        <v>100</v>
      </c>
      <c r="X18" s="1218"/>
      <c r="Y18" s="3406"/>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406"/>
      <c r="Q19" s="621"/>
      <c r="R19" s="1223"/>
      <c r="S19" s="1224"/>
      <c r="T19" s="1223"/>
      <c r="U19" s="1224"/>
      <c r="V19" s="1223"/>
      <c r="W19" s="1224"/>
      <c r="X19" s="1218"/>
      <c r="Y19" s="3406"/>
      <c r="Z19" s="1207"/>
      <c r="AA19" s="1207">
        <v>1</v>
      </c>
      <c r="AB19" s="1207">
        <v>1</v>
      </c>
      <c r="AC19" s="1207">
        <v>1</v>
      </c>
    </row>
    <row r="20" spans="1:29" ht="57">
      <c r="A20" s="1027"/>
      <c r="B20" s="1071" t="s">
        <v>1551</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406"/>
      <c r="Q20" s="621" t="str">
        <f>B20</f>
        <v>自然及人文环境</v>
      </c>
      <c r="R20" s="1223" t="s">
        <v>1536</v>
      </c>
      <c r="S20" s="1224">
        <f>F20</f>
        <v>100</v>
      </c>
      <c r="T20" s="1223" t="s">
        <v>1536</v>
      </c>
      <c r="U20" s="1224">
        <f>H20</f>
        <v>100</v>
      </c>
      <c r="V20" s="1223" t="s">
        <v>1536</v>
      </c>
      <c r="W20" s="1224">
        <f>J20</f>
        <v>100</v>
      </c>
      <c r="X20" s="1218"/>
      <c r="Y20" s="3406"/>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406"/>
      <c r="Q21" s="621"/>
      <c r="R21" s="1223"/>
      <c r="S21" s="1224"/>
      <c r="T21" s="1223"/>
      <c r="U21" s="1224"/>
      <c r="V21" s="1223"/>
      <c r="W21" s="1224"/>
      <c r="X21" s="1218"/>
      <c r="Y21" s="3406"/>
      <c r="Z21" s="1207"/>
      <c r="AA21" s="1207">
        <v>1</v>
      </c>
      <c r="AB21" s="1207">
        <v>1</v>
      </c>
      <c r="AC21" s="1207">
        <v>1</v>
      </c>
    </row>
    <row r="22" spans="1:29" ht="15">
      <c r="A22" s="1027"/>
      <c r="B22" s="1071" t="s">
        <v>1613</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06"/>
      <c r="Q22" s="621" t="str">
        <f>B22</f>
        <v>楼层</v>
      </c>
      <c r="R22" s="1223" t="s">
        <v>1536</v>
      </c>
      <c r="S22" s="1224">
        <f>F22</f>
        <v>100</v>
      </c>
      <c r="T22" s="1223" t="s">
        <v>1536</v>
      </c>
      <c r="U22" s="1224">
        <f>H22</f>
        <v>100</v>
      </c>
      <c r="V22" s="1223" t="s">
        <v>1536</v>
      </c>
      <c r="W22" s="1224">
        <f>J22</f>
        <v>100</v>
      </c>
      <c r="X22" s="1218"/>
      <c r="Y22" s="3406"/>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06"/>
      <c r="Q23" s="621">
        <f>B23</f>
        <v>111</v>
      </c>
      <c r="R23" s="1223" t="s">
        <v>1536</v>
      </c>
      <c r="S23" s="1224">
        <f>F23</f>
        <v>100</v>
      </c>
      <c r="T23" s="1223" t="s">
        <v>1536</v>
      </c>
      <c r="U23" s="1224">
        <f>H23</f>
        <v>100</v>
      </c>
      <c r="V23" s="1223" t="s">
        <v>1536</v>
      </c>
      <c r="W23" s="1224">
        <f>J23</f>
        <v>100</v>
      </c>
      <c r="X23" s="1218"/>
      <c r="Y23" s="3406"/>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06"/>
      <c r="Q24" s="621">
        <f t="shared" ref="Q24:Q36" si="11">B24</f>
        <v>111</v>
      </c>
      <c r="R24" s="1223" t="s">
        <v>1536</v>
      </c>
      <c r="S24" s="1224">
        <f>F24</f>
        <v>100</v>
      </c>
      <c r="T24" s="1223" t="s">
        <v>1536</v>
      </c>
      <c r="U24" s="1224">
        <f>H24</f>
        <v>100</v>
      </c>
      <c r="V24" s="1223" t="s">
        <v>1536</v>
      </c>
      <c r="W24" s="1224">
        <f>J24</f>
        <v>100</v>
      </c>
      <c r="X24" s="1218"/>
      <c r="Y24" s="3406"/>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406"/>
      <c r="Q25" s="790">
        <f t="shared" si="11"/>
        <v>111</v>
      </c>
      <c r="R25" s="1219" t="s">
        <v>1536</v>
      </c>
      <c r="S25" s="1220">
        <f>F25</f>
        <v>100</v>
      </c>
      <c r="T25" s="1219" t="s">
        <v>1536</v>
      </c>
      <c r="U25" s="1220">
        <f>H25</f>
        <v>100</v>
      </c>
      <c r="V25" s="1219" t="s">
        <v>1536</v>
      </c>
      <c r="W25" s="1220">
        <f>J25</f>
        <v>100</v>
      </c>
      <c r="X25" s="1221"/>
      <c r="Y25" s="3406"/>
      <c r="Z25" s="1231">
        <f>Q25</f>
        <v>111</v>
      </c>
      <c r="AA25" s="1207">
        <f t="shared" si="3"/>
        <v>1</v>
      </c>
      <c r="AB25" s="1207">
        <f t="shared" si="4"/>
        <v>1</v>
      </c>
      <c r="AC25" s="1207">
        <f t="shared" si="5"/>
        <v>1</v>
      </c>
    </row>
    <row r="26" spans="1:29" ht="28.5">
      <c r="A26" s="1444" t="s">
        <v>1554</v>
      </c>
      <c r="B26" s="1043" t="s">
        <v>1634</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39" t="s">
        <v>1556</v>
      </c>
      <c r="Q26" s="621" t="str">
        <f t="shared" si="11"/>
        <v>配套类型</v>
      </c>
      <c r="R26" s="1223" t="s">
        <v>1536</v>
      </c>
      <c r="S26" s="1224">
        <f t="shared" ref="S26:S36" si="12">F26</f>
        <v>0</v>
      </c>
      <c r="T26" s="1223" t="s">
        <v>1536</v>
      </c>
      <c r="U26" s="1224">
        <f t="shared" ref="U26:U36" si="13">H26</f>
        <v>0</v>
      </c>
      <c r="V26" s="1223" t="s">
        <v>1536</v>
      </c>
      <c r="W26" s="1224">
        <f t="shared" ref="W26:W36" si="14">J26</f>
        <v>0</v>
      </c>
      <c r="X26" s="1218"/>
      <c r="Y26" s="3407" t="s">
        <v>1556</v>
      </c>
      <c r="Z26" s="1207" t="str">
        <f t="shared" ref="Z26:Z36" si="15">Q26</f>
        <v>配套类型</v>
      </c>
      <c r="AA26" s="1207" t="e">
        <f t="shared" si="3"/>
        <v>#DIV/0!</v>
      </c>
      <c r="AB26" s="1207" t="e">
        <f t="shared" si="4"/>
        <v>#DIV/0!</v>
      </c>
      <c r="AC26" s="1207" t="e">
        <f t="shared" si="5"/>
        <v>#DIV/0!</v>
      </c>
    </row>
    <row r="27" spans="1:29" s="1006" customFormat="1" ht="15">
      <c r="A27" s="1446"/>
      <c r="B27" s="1047" t="s">
        <v>1635</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407"/>
      <c r="Q27" s="1413" t="str">
        <f t="shared" si="11"/>
        <v>项目停车位配比</v>
      </c>
      <c r="R27" s="1225" t="s">
        <v>1536</v>
      </c>
      <c r="S27" s="1226">
        <f t="shared" si="12"/>
        <v>100</v>
      </c>
      <c r="T27" s="1225" t="s">
        <v>1536</v>
      </c>
      <c r="U27" s="1226">
        <f t="shared" si="13"/>
        <v>100</v>
      </c>
      <c r="V27" s="1225" t="s">
        <v>1536</v>
      </c>
      <c r="W27" s="1226">
        <f t="shared" si="14"/>
        <v>100</v>
      </c>
      <c r="X27" s="1227"/>
      <c r="Y27" s="3407"/>
      <c r="Z27" s="1232" t="str">
        <f t="shared" si="15"/>
        <v>项目停车位配比</v>
      </c>
      <c r="AA27" s="1207">
        <f t="shared" si="3"/>
        <v>1</v>
      </c>
      <c r="AB27" s="1207">
        <f t="shared" si="4"/>
        <v>1</v>
      </c>
      <c r="AC27" s="1207">
        <f t="shared" si="5"/>
        <v>1</v>
      </c>
    </row>
    <row r="28" spans="1:29" ht="15">
      <c r="A28" s="1448"/>
      <c r="B28" s="1047" t="s">
        <v>1560</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407"/>
      <c r="Q28" s="621" t="str">
        <f t="shared" si="11"/>
        <v>公共部分装修</v>
      </c>
      <c r="R28" s="1223" t="s">
        <v>1536</v>
      </c>
      <c r="S28" s="1224">
        <f t="shared" si="12"/>
        <v>100</v>
      </c>
      <c r="T28" s="1223" t="s">
        <v>1536</v>
      </c>
      <c r="U28" s="1224">
        <f t="shared" si="13"/>
        <v>100</v>
      </c>
      <c r="V28" s="1223" t="s">
        <v>1536</v>
      </c>
      <c r="W28" s="1224">
        <f t="shared" si="14"/>
        <v>100</v>
      </c>
      <c r="X28" s="1218"/>
      <c r="Y28" s="3407"/>
      <c r="Z28" s="1207" t="str">
        <f t="shared" si="15"/>
        <v>公共部分装修</v>
      </c>
      <c r="AA28" s="1207">
        <f t="shared" si="3"/>
        <v>1</v>
      </c>
      <c r="AB28" s="1207">
        <f t="shared" si="4"/>
        <v>1</v>
      </c>
      <c r="AC28" s="1207">
        <f t="shared" si="5"/>
        <v>1</v>
      </c>
    </row>
    <row r="29" spans="1:29" ht="15">
      <c r="A29" s="1448"/>
      <c r="B29" s="1047" t="s">
        <v>1636</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407"/>
      <c r="Q29" s="621" t="str">
        <f t="shared" si="11"/>
        <v>成新率</v>
      </c>
      <c r="R29" s="1223" t="s">
        <v>1536</v>
      </c>
      <c r="S29" s="1224" t="e">
        <f t="shared" si="12"/>
        <v>#N/A</v>
      </c>
      <c r="T29" s="1223" t="s">
        <v>1536</v>
      </c>
      <c r="U29" s="1224" t="e">
        <f t="shared" si="13"/>
        <v>#N/A</v>
      </c>
      <c r="V29" s="1223" t="s">
        <v>1536</v>
      </c>
      <c r="W29" s="1224" t="e">
        <f t="shared" si="14"/>
        <v>#N/A</v>
      </c>
      <c r="X29" s="1218"/>
      <c r="Y29" s="3407"/>
      <c r="Z29" s="1207" t="str">
        <f t="shared" si="15"/>
        <v>成新率</v>
      </c>
      <c r="AA29" s="1207" t="e">
        <f t="shared" si="3"/>
        <v>#N/A</v>
      </c>
      <c r="AB29" s="1207" t="e">
        <f t="shared" si="4"/>
        <v>#N/A</v>
      </c>
      <c r="AC29" s="1207" t="e">
        <f t="shared" si="5"/>
        <v>#N/A</v>
      </c>
    </row>
    <row r="30" spans="1:29" ht="15">
      <c r="A30" s="1448"/>
      <c r="B30" s="1047" t="s">
        <v>1637</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407"/>
      <c r="Q30" s="621" t="str">
        <f t="shared" si="11"/>
        <v>物业等级</v>
      </c>
      <c r="R30" s="1223" t="s">
        <v>1536</v>
      </c>
      <c r="S30" s="1224">
        <f t="shared" si="12"/>
        <v>100</v>
      </c>
      <c r="T30" s="1223" t="s">
        <v>1536</v>
      </c>
      <c r="U30" s="1224">
        <f t="shared" si="13"/>
        <v>100</v>
      </c>
      <c r="V30" s="1223" t="s">
        <v>1536</v>
      </c>
      <c r="W30" s="1224">
        <f t="shared" si="14"/>
        <v>100</v>
      </c>
      <c r="X30" s="1218"/>
      <c r="Y30" s="3407"/>
      <c r="Z30" s="1207" t="str">
        <f t="shared" si="15"/>
        <v>物业等级</v>
      </c>
      <c r="AA30" s="1207">
        <f t="shared" si="3"/>
        <v>1</v>
      </c>
      <c r="AB30" s="1207">
        <f t="shared" si="4"/>
        <v>1</v>
      </c>
      <c r="AC30" s="1207">
        <f t="shared" si="5"/>
        <v>1</v>
      </c>
    </row>
    <row r="31" spans="1:29" s="1004" customFormat="1" ht="15">
      <c r="A31" s="1449"/>
      <c r="B31" s="1047" t="s">
        <v>1638</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407"/>
      <c r="Q31" s="790" t="str">
        <f t="shared" si="11"/>
        <v>停车位面积</v>
      </c>
      <c r="R31" s="1219" t="s">
        <v>1536</v>
      </c>
      <c r="S31" s="1220" t="e">
        <f t="shared" si="12"/>
        <v>#N/A</v>
      </c>
      <c r="T31" s="1219" t="s">
        <v>1536</v>
      </c>
      <c r="U31" s="1220" t="e">
        <f t="shared" si="13"/>
        <v>#N/A</v>
      </c>
      <c r="V31" s="1219" t="s">
        <v>1536</v>
      </c>
      <c r="W31" s="1220" t="e">
        <f t="shared" si="14"/>
        <v>#N/A</v>
      </c>
      <c r="X31" s="1221"/>
      <c r="Y31" s="3407"/>
      <c r="Z31" s="1231" t="str">
        <f t="shared" si="15"/>
        <v>停车位面积</v>
      </c>
      <c r="AA31" s="1231" t="e">
        <f t="shared" si="3"/>
        <v>#N/A</v>
      </c>
      <c r="AB31" s="1231" t="e">
        <f t="shared" si="4"/>
        <v>#N/A</v>
      </c>
      <c r="AC31" s="1231" t="e">
        <f t="shared" si="5"/>
        <v>#N/A</v>
      </c>
    </row>
    <row r="32" spans="1:29" ht="15">
      <c r="A32" s="1448"/>
      <c r="B32" s="1047" t="s">
        <v>1639</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407" t="s">
        <v>1556</v>
      </c>
      <c r="Q32" s="621" t="str">
        <f t="shared" si="11"/>
        <v>车位类型</v>
      </c>
      <c r="R32" s="1223" t="s">
        <v>1536</v>
      </c>
      <c r="S32" s="1224">
        <f t="shared" si="12"/>
        <v>100</v>
      </c>
      <c r="T32" s="1223" t="s">
        <v>1536</v>
      </c>
      <c r="U32" s="1224">
        <f t="shared" si="13"/>
        <v>100</v>
      </c>
      <c r="V32" s="1223" t="s">
        <v>1536</v>
      </c>
      <c r="W32" s="1224">
        <f t="shared" si="14"/>
        <v>100</v>
      </c>
      <c r="X32" s="1218"/>
      <c r="Y32" s="3407" t="s">
        <v>1556</v>
      </c>
      <c r="Z32" s="1207" t="str">
        <f t="shared" si="15"/>
        <v>车位类型</v>
      </c>
      <c r="AA32" s="1207">
        <f t="shared" si="3"/>
        <v>1</v>
      </c>
      <c r="AB32" s="1207">
        <f t="shared" si="4"/>
        <v>1</v>
      </c>
      <c r="AC32" s="1207">
        <f t="shared" si="5"/>
        <v>1</v>
      </c>
    </row>
    <row r="33" spans="1:29" ht="15">
      <c r="A33" s="1448"/>
      <c r="B33" s="1047" t="s">
        <v>1640</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407"/>
      <c r="Q33" s="621" t="str">
        <f t="shared" si="11"/>
        <v>是否直接入户</v>
      </c>
      <c r="R33" s="1223" t="s">
        <v>1536</v>
      </c>
      <c r="S33" s="1224">
        <f t="shared" si="12"/>
        <v>100</v>
      </c>
      <c r="T33" s="1223" t="s">
        <v>1536</v>
      </c>
      <c r="U33" s="1224">
        <f t="shared" si="13"/>
        <v>100</v>
      </c>
      <c r="V33" s="1223" t="s">
        <v>1536</v>
      </c>
      <c r="W33" s="1224">
        <f t="shared" si="14"/>
        <v>100</v>
      </c>
      <c r="X33" s="1218"/>
      <c r="Y33" s="3407"/>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07"/>
      <c r="Q34" s="621">
        <f t="shared" si="11"/>
        <v>111</v>
      </c>
      <c r="R34" s="1223" t="s">
        <v>1536</v>
      </c>
      <c r="S34" s="1224">
        <f t="shared" si="12"/>
        <v>100</v>
      </c>
      <c r="T34" s="1223" t="s">
        <v>1536</v>
      </c>
      <c r="U34" s="1224">
        <f t="shared" si="13"/>
        <v>100</v>
      </c>
      <c r="V34" s="1223" t="s">
        <v>1536</v>
      </c>
      <c r="W34" s="1224">
        <f t="shared" si="14"/>
        <v>100</v>
      </c>
      <c r="X34" s="1218"/>
      <c r="Y34" s="3407"/>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07"/>
      <c r="Q35" s="1413">
        <f t="shared" si="11"/>
        <v>111</v>
      </c>
      <c r="R35" s="1225" t="s">
        <v>1536</v>
      </c>
      <c r="S35" s="1226">
        <f t="shared" si="12"/>
        <v>100</v>
      </c>
      <c r="T35" s="1225" t="s">
        <v>1536</v>
      </c>
      <c r="U35" s="1226">
        <f t="shared" si="13"/>
        <v>100</v>
      </c>
      <c r="V35" s="1225" t="s">
        <v>1536</v>
      </c>
      <c r="W35" s="1226">
        <f t="shared" si="14"/>
        <v>100</v>
      </c>
      <c r="X35" s="1227"/>
      <c r="Y35" s="3407"/>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07"/>
      <c r="Q36" s="621">
        <f t="shared" si="11"/>
        <v>111</v>
      </c>
      <c r="R36" s="1223" t="s">
        <v>1536</v>
      </c>
      <c r="S36" s="1224">
        <f t="shared" si="12"/>
        <v>100</v>
      </c>
      <c r="T36" s="1223" t="s">
        <v>1536</v>
      </c>
      <c r="U36" s="1224">
        <f t="shared" si="13"/>
        <v>100</v>
      </c>
      <c r="V36" s="1223" t="s">
        <v>1536</v>
      </c>
      <c r="W36" s="1224">
        <f t="shared" si="14"/>
        <v>100</v>
      </c>
      <c r="X36" s="1218"/>
      <c r="Y36" s="3407"/>
      <c r="Z36" s="1207">
        <f t="shared" si="15"/>
        <v>111</v>
      </c>
      <c r="AA36" s="1207">
        <f t="shared" si="3"/>
        <v>1</v>
      </c>
      <c r="AB36" s="1207">
        <f t="shared" si="4"/>
        <v>1</v>
      </c>
      <c r="AC36" s="1207">
        <f t="shared" si="5"/>
        <v>1</v>
      </c>
    </row>
    <row r="37" spans="1:29" ht="15">
      <c r="A37" s="1103" t="s">
        <v>1641</v>
      </c>
      <c r="B37" s="1451" t="s">
        <v>1642</v>
      </c>
      <c r="C37" s="1397" t="s">
        <v>124</v>
      </c>
      <c r="D37" s="1106"/>
      <c r="E37" s="1107"/>
      <c r="F37" s="1108"/>
      <c r="G37" s="1109"/>
      <c r="H37" s="1110"/>
      <c r="I37" s="1107"/>
      <c r="J37" s="1110"/>
      <c r="K37" s="1460"/>
      <c r="L37" s="1199"/>
      <c r="M37" s="1120"/>
      <c r="N37" s="1120"/>
      <c r="O37" s="1120"/>
      <c r="P37" s="3394" t="str">
        <f>A37</f>
        <v>成交单价</v>
      </c>
      <c r="Q37" s="3394"/>
      <c r="R37" s="3395">
        <f>E37</f>
        <v>0</v>
      </c>
      <c r="S37" s="3395"/>
      <c r="T37" s="3395">
        <f>G37</f>
        <v>0</v>
      </c>
      <c r="U37" s="3395"/>
      <c r="V37" s="3395">
        <f>I37</f>
        <v>0</v>
      </c>
      <c r="W37" s="3395"/>
      <c r="X37" s="1160"/>
      <c r="Y37" s="1233"/>
      <c r="Z37" s="1160"/>
      <c r="AA37" s="1160"/>
      <c r="AB37" s="1160"/>
      <c r="AC37" s="1160"/>
    </row>
    <row r="38" spans="1:29" ht="15">
      <c r="A38" s="1111" t="s">
        <v>1568</v>
      </c>
      <c r="B38" s="1398" t="str">
        <f>B37</f>
        <v>元/平方米</v>
      </c>
      <c r="C38" s="1399" t="e">
        <f>R39</f>
        <v>#DIV/0!</v>
      </c>
      <c r="D38" s="1114" t="s">
        <v>1569</v>
      </c>
      <c r="E38" s="1400" t="e">
        <f>R38</f>
        <v>#DIV/0!</v>
      </c>
      <c r="F38" s="1115"/>
      <c r="G38" s="1399" t="e">
        <f>T38</f>
        <v>#DIV/0!</v>
      </c>
      <c r="H38" s="1115"/>
      <c r="I38" s="1400" t="e">
        <f>V38</f>
        <v>#DIV/0!</v>
      </c>
      <c r="J38" s="1115"/>
      <c r="K38" s="1200">
        <f>F38+H38+J38</f>
        <v>0</v>
      </c>
      <c r="L38" s="1199"/>
      <c r="M38" s="1120"/>
      <c r="N38" s="1120"/>
      <c r="O38" s="1120"/>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1160"/>
      <c r="Y38" s="1160"/>
      <c r="Z38" s="1160"/>
      <c r="AA38" s="1160"/>
      <c r="AB38" s="1160"/>
      <c r="AC38" s="1160"/>
    </row>
    <row r="39" spans="1:29" ht="15">
      <c r="A39" s="1117" t="s">
        <v>1643</v>
      </c>
      <c r="B39" s="1118"/>
      <c r="C39" s="1030" t="e">
        <f>R39</f>
        <v>#DIV/0!</v>
      </c>
      <c r="D39" s="1030"/>
      <c r="E39" s="1030"/>
      <c r="F39" s="1030"/>
      <c r="G39" s="1030"/>
      <c r="H39" s="1030"/>
      <c r="I39" s="1030"/>
      <c r="J39" s="1030"/>
      <c r="K39" s="1461"/>
      <c r="L39" s="1199"/>
      <c r="M39" s="1120"/>
      <c r="N39" s="1120"/>
      <c r="O39" s="1120"/>
      <c r="P39" s="3396" t="str">
        <f>A39</f>
        <v>估价对象XX用房的比较价值（楼面单价，元/平方米）</v>
      </c>
      <c r="Q39" s="3397"/>
      <c r="R39" s="3440" t="e">
        <f>IF(F1="售价",ROUND(IF(D38="简单平均",AVERAGE(R38:W38),R38*F38+T38*H38+V38*J38),0),ROUND(IF(D38="简单平均",AVERAGE(R38:V38),R38*F38+T38*H38+V38*J38),1))</f>
        <v>#DIV/0!</v>
      </c>
      <c r="S39" s="3440"/>
      <c r="T39" s="3440"/>
      <c r="U39" s="3440"/>
      <c r="V39" s="3440"/>
      <c r="W39" s="3440"/>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1571</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1572</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1573</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1574</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1534</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1575</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1537</v>
      </c>
      <c r="B51" s="1245"/>
      <c r="C51" s="1246" t="s">
        <v>1576</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1577</v>
      </c>
      <c r="B53" s="1250" t="s">
        <v>1540</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1543</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1545</v>
      </c>
      <c r="B63" s="1250" t="s">
        <v>1548</v>
      </c>
      <c r="C63" s="1270" t="s">
        <v>1578</v>
      </c>
      <c r="D63" s="1270" t="s">
        <v>1579</v>
      </c>
      <c r="E63" s="1270" t="s">
        <v>1580</v>
      </c>
      <c r="F63" s="1270" t="s">
        <v>1581</v>
      </c>
      <c r="G63" s="1270" t="s">
        <v>1582</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1549</v>
      </c>
      <c r="C65" s="1271" t="s">
        <v>1578</v>
      </c>
      <c r="D65" s="1271" t="s">
        <v>1579</v>
      </c>
      <c r="E65" s="1271" t="s">
        <v>1580</v>
      </c>
      <c r="F65" s="1271" t="s">
        <v>1581</v>
      </c>
      <c r="G65" s="1271" t="s">
        <v>1582</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1550</v>
      </c>
      <c r="C67" s="1188" t="s">
        <v>1583</v>
      </c>
      <c r="D67" s="1188" t="s">
        <v>1584</v>
      </c>
      <c r="E67" s="1188" t="s">
        <v>1585</v>
      </c>
      <c r="F67" s="1188" t="s">
        <v>1586</v>
      </c>
      <c r="G67" s="1188" t="s">
        <v>1587</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1551</v>
      </c>
      <c r="C69" s="1271" t="s">
        <v>1578</v>
      </c>
      <c r="D69" s="1271" t="s">
        <v>1579</v>
      </c>
      <c r="E69" s="1271" t="s">
        <v>1580</v>
      </c>
      <c r="F69" s="1271" t="s">
        <v>1581</v>
      </c>
      <c r="G69" s="1271" t="s">
        <v>1582</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1613</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1554</v>
      </c>
      <c r="B79" s="1250" t="s">
        <v>1644</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1635</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1560</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1636</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1637</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1638</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1639</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1640</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1631</v>
      </c>
      <c r="B1" s="1366" t="s">
        <v>1645</v>
      </c>
      <c r="C1" s="1367" t="s">
        <v>1518</v>
      </c>
      <c r="D1" s="1368"/>
      <c r="E1" s="1369"/>
      <c r="F1" s="1370"/>
      <c r="G1" s="1371" t="s">
        <v>1519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1037</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1038</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1039</v>
      </c>
      <c r="B3" s="1021" t="e">
        <f>IF(C2="——",C37,ROUND(B2*10000/D3,0))</f>
        <v>#DIV/0!</v>
      </c>
      <c r="C3" s="1378" t="s">
        <v>1520</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1521</v>
      </c>
      <c r="B4" s="1024"/>
      <c r="C4" s="3379" t="s">
        <v>1522</v>
      </c>
      <c r="D4" s="3380"/>
      <c r="E4" s="3381" t="s">
        <v>1523</v>
      </c>
      <c r="F4" s="3382"/>
      <c r="G4" s="3379" t="s">
        <v>1524</v>
      </c>
      <c r="H4" s="3380"/>
      <c r="I4" s="3379" t="s">
        <v>1525</v>
      </c>
      <c r="J4" s="3380"/>
      <c r="K4" s="1169" t="s">
        <v>1526</v>
      </c>
      <c r="L4" s="1170"/>
      <c r="M4" s="1120"/>
      <c r="N4" s="1120"/>
      <c r="O4" s="1120"/>
      <c r="P4" s="3412" t="s">
        <v>1527</v>
      </c>
      <c r="Q4" s="3413"/>
      <c r="R4" s="3418" t="s">
        <v>1523</v>
      </c>
      <c r="S4" s="3419"/>
      <c r="T4" s="3418" t="s">
        <v>1524</v>
      </c>
      <c r="U4" s="3419"/>
      <c r="V4" s="3395" t="s">
        <v>1525</v>
      </c>
      <c r="W4" s="3395"/>
      <c r="X4" s="1218"/>
      <c r="Y4" s="3418" t="s">
        <v>1527</v>
      </c>
      <c r="Z4" s="3419"/>
      <c r="AA4" s="3409" t="s">
        <v>1523</v>
      </c>
      <c r="AB4" s="3410" t="s">
        <v>1524</v>
      </c>
      <c r="AC4" s="3409" t="s">
        <v>1525</v>
      </c>
    </row>
    <row r="5" spans="1:29" ht="15">
      <c r="A5" s="1027"/>
      <c r="B5" s="1028"/>
      <c r="C5" s="3383" t="s">
        <v>1528</v>
      </c>
      <c r="D5" s="3384"/>
      <c r="E5" s="3385" t="s">
        <v>1529</v>
      </c>
      <c r="F5" s="3386"/>
      <c r="G5" s="3383" t="s">
        <v>1530</v>
      </c>
      <c r="H5" s="3384"/>
      <c r="I5" s="3383" t="s">
        <v>1531</v>
      </c>
      <c r="J5" s="3384"/>
      <c r="K5" s="1169"/>
      <c r="L5" s="1170"/>
      <c r="M5" s="1120"/>
      <c r="N5" s="1120"/>
      <c r="O5" s="1120"/>
      <c r="P5" s="3414"/>
      <c r="Q5" s="3415"/>
      <c r="R5" s="3420"/>
      <c r="S5" s="3421"/>
      <c r="T5" s="3420"/>
      <c r="U5" s="3421"/>
      <c r="V5" s="3395"/>
      <c r="W5" s="3395"/>
      <c r="X5" s="1218"/>
      <c r="Y5" s="3420"/>
      <c r="Z5" s="3421"/>
      <c r="AA5" s="3410"/>
      <c r="AB5" s="3410"/>
      <c r="AC5" s="3410"/>
    </row>
    <row r="6" spans="1:29" ht="15">
      <c r="A6" s="1029"/>
      <c r="B6" s="1030"/>
      <c r="C6" s="3387" t="s">
        <v>1532</v>
      </c>
      <c r="D6" s="3388"/>
      <c r="E6" s="3389" t="s">
        <v>1532</v>
      </c>
      <c r="F6" s="3390"/>
      <c r="G6" s="3387" t="s">
        <v>1532</v>
      </c>
      <c r="H6" s="3388"/>
      <c r="I6" s="3387" t="s">
        <v>1532</v>
      </c>
      <c r="J6" s="3388"/>
      <c r="K6" s="1169" t="s">
        <v>1533</v>
      </c>
      <c r="L6" s="1170"/>
      <c r="M6" s="1120"/>
      <c r="N6" s="1120"/>
      <c r="O6" s="1120"/>
      <c r="P6" s="3416"/>
      <c r="Q6" s="3417"/>
      <c r="R6" s="3420"/>
      <c r="S6" s="3421"/>
      <c r="T6" s="3422"/>
      <c r="U6" s="3423"/>
      <c r="V6" s="3395"/>
      <c r="W6" s="3395"/>
      <c r="X6" s="1218"/>
      <c r="Y6" s="3422"/>
      <c r="Z6" s="3423"/>
      <c r="AA6" s="3411"/>
      <c r="AB6" s="3411"/>
      <c r="AC6" s="3411"/>
    </row>
    <row r="7" spans="1:29" s="1004" customFormat="1" ht="15">
      <c r="A7" s="1032" t="s">
        <v>1534</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91" t="s">
        <v>1535</v>
      </c>
      <c r="Q7" s="3392"/>
      <c r="R7" s="1219" t="s">
        <v>1536</v>
      </c>
      <c r="S7" s="1220">
        <f t="shared" ref="S7:S14" si="0">F7</f>
        <v>0</v>
      </c>
      <c r="T7" s="1219" t="s">
        <v>1536</v>
      </c>
      <c r="U7" s="1220">
        <f t="shared" ref="U7:U14" si="1">H7</f>
        <v>0</v>
      </c>
      <c r="V7" s="1219" t="s">
        <v>1536</v>
      </c>
      <c r="W7" s="1220">
        <f t="shared" ref="W7:W14" si="2">J7</f>
        <v>0</v>
      </c>
      <c r="X7" s="1221"/>
      <c r="Y7" s="3391" t="s">
        <v>1535</v>
      </c>
      <c r="Z7" s="3393"/>
      <c r="AA7" s="1231" t="e">
        <f>D7/F7</f>
        <v>#DIV/0!</v>
      </c>
      <c r="AB7" s="1231" t="e">
        <f>D7/H7</f>
        <v>#DIV/0!</v>
      </c>
      <c r="AC7" s="1231" t="e">
        <f>D7/J7</f>
        <v>#DIV/0!</v>
      </c>
    </row>
    <row r="8" spans="1:29" s="1004" customFormat="1" ht="15">
      <c r="A8" s="1032" t="s">
        <v>1537</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91" t="s">
        <v>1538</v>
      </c>
      <c r="Q8" s="3393"/>
      <c r="R8" s="1219" t="s">
        <v>1536</v>
      </c>
      <c r="S8" s="1220">
        <f t="shared" si="0"/>
        <v>100</v>
      </c>
      <c r="T8" s="1219" t="s">
        <v>1536</v>
      </c>
      <c r="U8" s="1220">
        <f t="shared" si="1"/>
        <v>100</v>
      </c>
      <c r="V8" s="1219" t="s">
        <v>1536</v>
      </c>
      <c r="W8" s="1220">
        <f t="shared" si="2"/>
        <v>100</v>
      </c>
      <c r="X8" s="1221"/>
      <c r="Y8" s="3391" t="s">
        <v>1538</v>
      </c>
      <c r="Z8" s="3393"/>
      <c r="AA8" s="1231">
        <f t="shared" ref="AA8:AA34" si="3">D8/F8</f>
        <v>1</v>
      </c>
      <c r="AB8" s="1231">
        <f t="shared" ref="AB8:AB34" si="4">D8/H8</f>
        <v>1</v>
      </c>
      <c r="AC8" s="1231">
        <f t="shared" ref="AC8:AC34" si="5">D8/J8</f>
        <v>1</v>
      </c>
    </row>
    <row r="9" spans="1:29" s="1004" customFormat="1">
      <c r="A9" s="1040" t="s">
        <v>1539</v>
      </c>
      <c r="B9" s="1041" t="s">
        <v>1540</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94" t="s">
        <v>1541</v>
      </c>
      <c r="Q9" s="790" t="str">
        <f t="shared" ref="Q9:Q14" si="6">B9</f>
        <v>用途</v>
      </c>
      <c r="R9" s="1219" t="s">
        <v>1536</v>
      </c>
      <c r="S9" s="1220">
        <f t="shared" si="0"/>
        <v>100</v>
      </c>
      <c r="T9" s="1219" t="s">
        <v>1536</v>
      </c>
      <c r="U9" s="1220">
        <f t="shared" si="1"/>
        <v>100</v>
      </c>
      <c r="V9" s="1219" t="s">
        <v>1536</v>
      </c>
      <c r="W9" s="1220">
        <f t="shared" si="2"/>
        <v>100</v>
      </c>
      <c r="X9" s="1221"/>
      <c r="Y9" s="3331" t="s">
        <v>1542</v>
      </c>
      <c r="Z9" s="1231" t="str">
        <f t="shared" ref="Z9:Z14" si="7">Q9</f>
        <v>用途</v>
      </c>
      <c r="AA9" s="1231">
        <f t="shared" si="3"/>
        <v>1</v>
      </c>
      <c r="AB9" s="1231">
        <f t="shared" si="4"/>
        <v>1</v>
      </c>
      <c r="AC9" s="1231">
        <f t="shared" si="5"/>
        <v>1</v>
      </c>
    </row>
    <row r="10" spans="1:29" s="1005" customFormat="1" ht="27">
      <c r="A10" s="1044"/>
      <c r="B10" s="1045" t="s">
        <v>1543</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94"/>
      <c r="Q10" s="790" t="str">
        <f t="shared" si="6"/>
        <v>土地使用年限（年）</v>
      </c>
      <c r="R10" s="1219" t="s">
        <v>1536</v>
      </c>
      <c r="S10" s="1220">
        <f t="shared" si="0"/>
        <v>100</v>
      </c>
      <c r="T10" s="1219" t="s">
        <v>1536</v>
      </c>
      <c r="U10" s="1220">
        <f t="shared" si="1"/>
        <v>100</v>
      </c>
      <c r="V10" s="1219" t="s">
        <v>1536</v>
      </c>
      <c r="W10" s="1220">
        <f t="shared" si="2"/>
        <v>100</v>
      </c>
      <c r="X10" s="1221"/>
      <c r="Y10" s="3331"/>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94"/>
      <c r="Q11" s="790">
        <f t="shared" si="6"/>
        <v>111</v>
      </c>
      <c r="R11" s="1219" t="s">
        <v>1536</v>
      </c>
      <c r="S11" s="1220">
        <f t="shared" si="0"/>
        <v>100</v>
      </c>
      <c r="T11" s="1219" t="s">
        <v>1536</v>
      </c>
      <c r="U11" s="1220">
        <f t="shared" si="1"/>
        <v>100</v>
      </c>
      <c r="V11" s="1219" t="s">
        <v>1536</v>
      </c>
      <c r="W11" s="1220">
        <f t="shared" si="2"/>
        <v>100</v>
      </c>
      <c r="X11" s="1221"/>
      <c r="Y11" s="3331"/>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94"/>
      <c r="Q12" s="790">
        <f t="shared" si="6"/>
        <v>111</v>
      </c>
      <c r="R12" s="1219" t="s">
        <v>1536</v>
      </c>
      <c r="S12" s="1220">
        <f t="shared" si="0"/>
        <v>100</v>
      </c>
      <c r="T12" s="1219" t="s">
        <v>1536</v>
      </c>
      <c r="U12" s="1220">
        <f t="shared" si="1"/>
        <v>100</v>
      </c>
      <c r="V12" s="1219" t="s">
        <v>1536</v>
      </c>
      <c r="W12" s="1220">
        <f t="shared" si="2"/>
        <v>100</v>
      </c>
      <c r="X12" s="1221"/>
      <c r="Y12" s="3331"/>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394"/>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231">
        <f t="shared" si="5"/>
        <v>1</v>
      </c>
    </row>
    <row r="14" spans="1:29" ht="85.5">
      <c r="A14" s="1061" t="s">
        <v>1545</v>
      </c>
      <c r="B14" s="1337" t="s">
        <v>1548</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405" t="s">
        <v>1547</v>
      </c>
      <c r="Q14" s="621" t="str">
        <f t="shared" si="6"/>
        <v>交通便捷度</v>
      </c>
      <c r="R14" s="1223" t="s">
        <v>1536</v>
      </c>
      <c r="S14" s="1224">
        <f t="shared" si="0"/>
        <v>100</v>
      </c>
      <c r="T14" s="1223" t="s">
        <v>1536</v>
      </c>
      <c r="U14" s="1224">
        <f t="shared" si="1"/>
        <v>100</v>
      </c>
      <c r="V14" s="1223" t="s">
        <v>1536</v>
      </c>
      <c r="W14" s="1224">
        <f t="shared" si="2"/>
        <v>100</v>
      </c>
      <c r="X14" s="1218"/>
      <c r="Y14" s="3405" t="s">
        <v>1547</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406"/>
      <c r="Q15" s="621"/>
      <c r="R15" s="1223"/>
      <c r="S15" s="1224"/>
      <c r="T15" s="1223"/>
      <c r="U15" s="1224"/>
      <c r="V15" s="1223"/>
      <c r="W15" s="1224"/>
      <c r="X15" s="1218"/>
      <c r="Y15" s="3406"/>
      <c r="Z15" s="1207"/>
      <c r="AA15" s="1207">
        <v>1</v>
      </c>
      <c r="AB15" s="1207">
        <v>1</v>
      </c>
      <c r="AC15" s="1207">
        <v>1</v>
      </c>
    </row>
    <row r="16" spans="1:29" ht="42.75">
      <c r="A16" s="1048"/>
      <c r="B16" s="1339" t="s">
        <v>1549</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406"/>
      <c r="Q16" s="621" t="str">
        <f>B16</f>
        <v>公共配套设施</v>
      </c>
      <c r="R16" s="1223" t="s">
        <v>1536</v>
      </c>
      <c r="S16" s="1224">
        <f>F16</f>
        <v>100</v>
      </c>
      <c r="T16" s="1223" t="s">
        <v>1536</v>
      </c>
      <c r="U16" s="1224">
        <f>H16</f>
        <v>100</v>
      </c>
      <c r="V16" s="1223" t="s">
        <v>1536</v>
      </c>
      <c r="W16" s="1224">
        <f>J16</f>
        <v>100</v>
      </c>
      <c r="X16" s="1218"/>
      <c r="Y16" s="3406"/>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406"/>
      <c r="Q17" s="621"/>
      <c r="R17" s="1223"/>
      <c r="S17" s="1224"/>
      <c r="T17" s="1223"/>
      <c r="U17" s="1224"/>
      <c r="V17" s="1223"/>
      <c r="W17" s="1224"/>
      <c r="X17" s="1218"/>
      <c r="Y17" s="3406"/>
      <c r="Z17" s="1207"/>
      <c r="AA17" s="1207">
        <v>1</v>
      </c>
      <c r="AB17" s="1207">
        <v>1</v>
      </c>
      <c r="AC17" s="1207">
        <v>1</v>
      </c>
    </row>
    <row r="18" spans="1:29" ht="28.5">
      <c r="A18" s="1048"/>
      <c r="B18" s="1343" t="s">
        <v>1550</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406"/>
      <c r="Q18" s="621" t="str">
        <f>B18</f>
        <v>基础设施水平</v>
      </c>
      <c r="R18" s="1223" t="s">
        <v>1536</v>
      </c>
      <c r="S18" s="1224">
        <f>F18</f>
        <v>100</v>
      </c>
      <c r="T18" s="1223" t="s">
        <v>1536</v>
      </c>
      <c r="U18" s="1224">
        <f>H18</f>
        <v>100</v>
      </c>
      <c r="V18" s="1223" t="s">
        <v>1536</v>
      </c>
      <c r="W18" s="1224">
        <f>J18</f>
        <v>100</v>
      </c>
      <c r="X18" s="1218"/>
      <c r="Y18" s="3406"/>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406"/>
      <c r="Q19" s="621"/>
      <c r="R19" s="1223"/>
      <c r="S19" s="1224"/>
      <c r="T19" s="1223"/>
      <c r="U19" s="1224"/>
      <c r="V19" s="1223"/>
      <c r="W19" s="1224"/>
      <c r="X19" s="1218"/>
      <c r="Y19" s="3406"/>
      <c r="Z19" s="1207"/>
      <c r="AA19" s="1207">
        <v>1</v>
      </c>
      <c r="AB19" s="1207">
        <v>1</v>
      </c>
      <c r="AC19" s="1207">
        <v>1</v>
      </c>
    </row>
    <row r="20" spans="1:29" ht="57">
      <c r="A20" s="1048"/>
      <c r="B20" s="1339" t="s">
        <v>1551</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406"/>
      <c r="Q20" s="621" t="str">
        <f>B20</f>
        <v>自然及人文环境</v>
      </c>
      <c r="R20" s="1223" t="s">
        <v>1536</v>
      </c>
      <c r="S20" s="1224">
        <f>F20</f>
        <v>100</v>
      </c>
      <c r="T20" s="1223" t="s">
        <v>1536</v>
      </c>
      <c r="U20" s="1224">
        <f>H20</f>
        <v>100</v>
      </c>
      <c r="V20" s="1223" t="s">
        <v>1536</v>
      </c>
      <c r="W20" s="1224">
        <f>J20</f>
        <v>100</v>
      </c>
      <c r="X20" s="1218"/>
      <c r="Y20" s="3406"/>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406"/>
      <c r="Q21" s="621"/>
      <c r="R21" s="1223"/>
      <c r="S21" s="1224"/>
      <c r="T21" s="1223"/>
      <c r="U21" s="1224"/>
      <c r="V21" s="1223"/>
      <c r="W21" s="1224"/>
      <c r="X21" s="1218"/>
      <c r="Y21" s="3406"/>
      <c r="Z21" s="1207"/>
      <c r="AA21" s="1207">
        <v>1</v>
      </c>
      <c r="AB21" s="1207">
        <v>1</v>
      </c>
      <c r="AC21" s="1207">
        <v>1</v>
      </c>
    </row>
    <row r="22" spans="1:29" ht="15">
      <c r="A22" s="1048"/>
      <c r="B22" s="1339" t="s">
        <v>1613</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06"/>
      <c r="Q22" s="621" t="str">
        <f>B22</f>
        <v>楼层</v>
      </c>
      <c r="R22" s="1223" t="s">
        <v>1536</v>
      </c>
      <c r="S22" s="1224">
        <f>F22</f>
        <v>100</v>
      </c>
      <c r="T22" s="1223" t="s">
        <v>1536</v>
      </c>
      <c r="U22" s="1224">
        <f>H22</f>
        <v>100</v>
      </c>
      <c r="V22" s="1223" t="s">
        <v>1536</v>
      </c>
      <c r="W22" s="1224">
        <f>J22</f>
        <v>100</v>
      </c>
      <c r="X22" s="1218"/>
      <c r="Y22" s="3406"/>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06"/>
      <c r="Q23" s="621">
        <f>B23</f>
        <v>111</v>
      </c>
      <c r="R23" s="1223" t="s">
        <v>1536</v>
      </c>
      <c r="S23" s="1224">
        <f>F23</f>
        <v>100</v>
      </c>
      <c r="T23" s="1223" t="s">
        <v>1536</v>
      </c>
      <c r="U23" s="1224">
        <f>H23</f>
        <v>100</v>
      </c>
      <c r="V23" s="1223" t="s">
        <v>1536</v>
      </c>
      <c r="W23" s="1224">
        <f>J23</f>
        <v>100</v>
      </c>
      <c r="X23" s="1218"/>
      <c r="Y23" s="3406"/>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06"/>
      <c r="Q24" s="621">
        <f t="shared" ref="Q24:Q34" si="11">B24</f>
        <v>111</v>
      </c>
      <c r="R24" s="1223" t="s">
        <v>1536</v>
      </c>
      <c r="S24" s="1224">
        <f>F24</f>
        <v>100</v>
      </c>
      <c r="T24" s="1223" t="s">
        <v>1536</v>
      </c>
      <c r="U24" s="1224">
        <f>H24</f>
        <v>100</v>
      </c>
      <c r="V24" s="1223" t="s">
        <v>1536</v>
      </c>
      <c r="W24" s="1224">
        <f>J24</f>
        <v>100</v>
      </c>
      <c r="X24" s="1218"/>
      <c r="Y24" s="3406"/>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406"/>
      <c r="Q25" s="790">
        <f t="shared" si="11"/>
        <v>111</v>
      </c>
      <c r="R25" s="1219" t="s">
        <v>1536</v>
      </c>
      <c r="S25" s="1220">
        <f>F25</f>
        <v>100</v>
      </c>
      <c r="T25" s="1219" t="s">
        <v>1536</v>
      </c>
      <c r="U25" s="1220">
        <f>H25</f>
        <v>100</v>
      </c>
      <c r="V25" s="1219" t="s">
        <v>1536</v>
      </c>
      <c r="W25" s="1220">
        <f>J25</f>
        <v>100</v>
      </c>
      <c r="X25" s="1221"/>
      <c r="Y25" s="3406"/>
      <c r="Z25" s="1231">
        <f>Q25</f>
        <v>111</v>
      </c>
      <c r="AA25" s="1207">
        <f t="shared" si="3"/>
        <v>1</v>
      </c>
      <c r="AB25" s="1207">
        <f t="shared" si="4"/>
        <v>1</v>
      </c>
      <c r="AC25" s="1207">
        <f t="shared" si="5"/>
        <v>1</v>
      </c>
    </row>
    <row r="26" spans="1:29" ht="28.5">
      <c r="A26" s="1387" t="s">
        <v>1554</v>
      </c>
      <c r="B26" s="1041" t="s">
        <v>1560</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39" t="s">
        <v>1556</v>
      </c>
      <c r="Q26" s="621" t="str">
        <f t="shared" si="11"/>
        <v>公共部分装修</v>
      </c>
      <c r="R26" s="1223" t="s">
        <v>1536</v>
      </c>
      <c r="S26" s="1224">
        <f t="shared" ref="S26:S34" si="12">F26</f>
        <v>100</v>
      </c>
      <c r="T26" s="1223" t="s">
        <v>1536</v>
      </c>
      <c r="U26" s="1224">
        <f t="shared" ref="U26:U34" si="13">H26</f>
        <v>100</v>
      </c>
      <c r="V26" s="1223" t="s">
        <v>1536</v>
      </c>
      <c r="W26" s="1224">
        <f t="shared" ref="W26:W34" si="14">J26</f>
        <v>100</v>
      </c>
      <c r="X26" s="1218"/>
      <c r="Y26" s="3407" t="s">
        <v>1556</v>
      </c>
      <c r="Z26" s="1207" t="str">
        <f t="shared" ref="Z26:Z34" si="15">Q26</f>
        <v>公共部分装修</v>
      </c>
      <c r="AA26" s="1207">
        <f t="shared" si="3"/>
        <v>1</v>
      </c>
      <c r="AB26" s="1207">
        <f t="shared" si="4"/>
        <v>1</v>
      </c>
      <c r="AC26" s="1207">
        <f t="shared" si="5"/>
        <v>1</v>
      </c>
    </row>
    <row r="27" spans="1:29" s="1006" customFormat="1" ht="15">
      <c r="A27" s="1101"/>
      <c r="B27" s="1045" t="s">
        <v>1636</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407"/>
      <c r="Q27" s="1413" t="str">
        <f t="shared" si="11"/>
        <v>成新率</v>
      </c>
      <c r="R27" s="1225" t="s">
        <v>1536</v>
      </c>
      <c r="S27" s="1226" t="e">
        <f t="shared" si="12"/>
        <v>#N/A</v>
      </c>
      <c r="T27" s="1225" t="s">
        <v>1536</v>
      </c>
      <c r="U27" s="1226" t="e">
        <f t="shared" si="13"/>
        <v>#N/A</v>
      </c>
      <c r="V27" s="1225" t="s">
        <v>1536</v>
      </c>
      <c r="W27" s="1226" t="e">
        <f t="shared" si="14"/>
        <v>#N/A</v>
      </c>
      <c r="X27" s="1227"/>
      <c r="Y27" s="3407"/>
      <c r="Z27" s="1232" t="str">
        <f t="shared" si="15"/>
        <v>成新率</v>
      </c>
      <c r="AA27" s="1207" t="e">
        <f t="shared" si="3"/>
        <v>#N/A</v>
      </c>
      <c r="AB27" s="1207" t="e">
        <f t="shared" si="4"/>
        <v>#N/A</v>
      </c>
      <c r="AC27" s="1207" t="e">
        <f t="shared" si="5"/>
        <v>#N/A</v>
      </c>
    </row>
    <row r="28" spans="1:29" ht="15">
      <c r="A28" s="1096"/>
      <c r="B28" s="1045" t="s">
        <v>1637</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407"/>
      <c r="Q28" s="621" t="str">
        <f t="shared" si="11"/>
        <v>物业等级</v>
      </c>
      <c r="R28" s="1223" t="s">
        <v>1536</v>
      </c>
      <c r="S28" s="1224">
        <f t="shared" si="12"/>
        <v>100</v>
      </c>
      <c r="T28" s="1223" t="s">
        <v>1536</v>
      </c>
      <c r="U28" s="1224">
        <f t="shared" si="13"/>
        <v>100</v>
      </c>
      <c r="V28" s="1223" t="s">
        <v>1536</v>
      </c>
      <c r="W28" s="1224">
        <f t="shared" si="14"/>
        <v>100</v>
      </c>
      <c r="X28" s="1218"/>
      <c r="Y28" s="3407"/>
      <c r="Z28" s="1207" t="str">
        <f t="shared" si="15"/>
        <v>物业等级</v>
      </c>
      <c r="AA28" s="1207">
        <f t="shared" si="3"/>
        <v>1</v>
      </c>
      <c r="AB28" s="1207">
        <f t="shared" si="4"/>
        <v>1</v>
      </c>
      <c r="AC28" s="1207">
        <f t="shared" si="5"/>
        <v>1</v>
      </c>
    </row>
    <row r="29" spans="1:29" ht="15">
      <c r="A29" s="1096"/>
      <c r="B29" s="1045" t="s">
        <v>1646</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407"/>
      <c r="Q29" s="621" t="str">
        <f t="shared" si="11"/>
        <v>有无电梯</v>
      </c>
      <c r="R29" s="1223" t="s">
        <v>1536</v>
      </c>
      <c r="S29" s="1224">
        <f t="shared" si="12"/>
        <v>100</v>
      </c>
      <c r="T29" s="1223" t="s">
        <v>1536</v>
      </c>
      <c r="U29" s="1224">
        <f t="shared" si="13"/>
        <v>100</v>
      </c>
      <c r="V29" s="1223" t="s">
        <v>1536</v>
      </c>
      <c r="W29" s="1224">
        <f t="shared" si="14"/>
        <v>100</v>
      </c>
      <c r="X29" s="1218"/>
      <c r="Y29" s="3407"/>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407"/>
      <c r="Q30" s="621" t="str">
        <f t="shared" si="11"/>
        <v>建筑面积</v>
      </c>
      <c r="R30" s="1223" t="s">
        <v>1536</v>
      </c>
      <c r="S30" s="1224" t="e">
        <f t="shared" si="12"/>
        <v>#N/A</v>
      </c>
      <c r="T30" s="1223" t="s">
        <v>1536</v>
      </c>
      <c r="U30" s="1224" t="e">
        <f t="shared" si="13"/>
        <v>#N/A</v>
      </c>
      <c r="V30" s="1223" t="s">
        <v>1536</v>
      </c>
      <c r="W30" s="1224" t="e">
        <f t="shared" si="14"/>
        <v>#N/A</v>
      </c>
      <c r="X30" s="1218"/>
      <c r="Y30" s="3407"/>
      <c r="Z30" s="1207" t="str">
        <f t="shared" si="15"/>
        <v>建筑面积</v>
      </c>
      <c r="AA30" s="1207" t="e">
        <f t="shared" si="3"/>
        <v>#N/A</v>
      </c>
      <c r="AB30" s="1207" t="e">
        <f t="shared" si="4"/>
        <v>#N/A</v>
      </c>
      <c r="AC30" s="1207" t="e">
        <f t="shared" si="5"/>
        <v>#N/A</v>
      </c>
    </row>
    <row r="31" spans="1:29" s="1004" customFormat="1" ht="15">
      <c r="A31" s="1098"/>
      <c r="B31" s="1045" t="s">
        <v>1647</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407"/>
      <c r="Q31" s="790" t="str">
        <f t="shared" si="11"/>
        <v>是否封闭</v>
      </c>
      <c r="R31" s="1219" t="s">
        <v>1536</v>
      </c>
      <c r="S31" s="1220">
        <f t="shared" si="12"/>
        <v>100</v>
      </c>
      <c r="T31" s="1219" t="s">
        <v>1536</v>
      </c>
      <c r="U31" s="1220">
        <f t="shared" si="13"/>
        <v>100</v>
      </c>
      <c r="V31" s="1219" t="s">
        <v>1536</v>
      </c>
      <c r="W31" s="1220">
        <f t="shared" si="14"/>
        <v>100</v>
      </c>
      <c r="X31" s="1221"/>
      <c r="Y31" s="3407"/>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407" t="s">
        <v>1556</v>
      </c>
      <c r="Q32" s="621">
        <f t="shared" si="11"/>
        <v>111</v>
      </c>
      <c r="R32" s="1223" t="s">
        <v>1536</v>
      </c>
      <c r="S32" s="1224">
        <f t="shared" si="12"/>
        <v>100</v>
      </c>
      <c r="T32" s="1223" t="s">
        <v>1536</v>
      </c>
      <c r="U32" s="1224">
        <f t="shared" si="13"/>
        <v>100</v>
      </c>
      <c r="V32" s="1223" t="s">
        <v>1536</v>
      </c>
      <c r="W32" s="1224">
        <f t="shared" si="14"/>
        <v>100</v>
      </c>
      <c r="X32" s="1218"/>
      <c r="Y32" s="3407" t="s">
        <v>1556</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407"/>
      <c r="Q33" s="621">
        <f t="shared" si="11"/>
        <v>111</v>
      </c>
      <c r="R33" s="1223" t="s">
        <v>1536</v>
      </c>
      <c r="S33" s="1224">
        <f t="shared" si="12"/>
        <v>100</v>
      </c>
      <c r="T33" s="1223" t="s">
        <v>1536</v>
      </c>
      <c r="U33" s="1224">
        <f t="shared" si="13"/>
        <v>100</v>
      </c>
      <c r="V33" s="1223" t="s">
        <v>1536</v>
      </c>
      <c r="W33" s="1224">
        <f t="shared" si="14"/>
        <v>100</v>
      </c>
      <c r="X33" s="1218"/>
      <c r="Y33" s="3407"/>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407"/>
      <c r="Q34" s="621">
        <f t="shared" si="11"/>
        <v>111</v>
      </c>
      <c r="R34" s="1223" t="s">
        <v>1536</v>
      </c>
      <c r="S34" s="1224">
        <f t="shared" si="12"/>
        <v>100</v>
      </c>
      <c r="T34" s="1223" t="s">
        <v>1536</v>
      </c>
      <c r="U34" s="1224">
        <f t="shared" si="13"/>
        <v>100</v>
      </c>
      <c r="V34" s="1223" t="s">
        <v>1536</v>
      </c>
      <c r="W34" s="1224">
        <f t="shared" si="14"/>
        <v>100</v>
      </c>
      <c r="X34" s="1218"/>
      <c r="Y34" s="3407"/>
      <c r="Z34" s="1207">
        <f t="shared" si="15"/>
        <v>111</v>
      </c>
      <c r="AA34" s="1207">
        <f t="shared" si="3"/>
        <v>1</v>
      </c>
      <c r="AB34" s="1207">
        <f t="shared" si="4"/>
        <v>1</v>
      </c>
      <c r="AC34" s="1207">
        <f t="shared" si="5"/>
        <v>1</v>
      </c>
    </row>
    <row r="35" spans="1:30" ht="15">
      <c r="A35" s="1103" t="s">
        <v>1567</v>
      </c>
      <c r="B35" s="1396"/>
      <c r="C35" s="1397" t="s">
        <v>124</v>
      </c>
      <c r="D35" s="1106"/>
      <c r="E35" s="1107"/>
      <c r="F35" s="1108"/>
      <c r="G35" s="1109"/>
      <c r="H35" s="1110"/>
      <c r="I35" s="1107"/>
      <c r="J35" s="1110"/>
      <c r="K35" s="1198"/>
      <c r="L35" s="1199"/>
      <c r="M35" s="1120"/>
      <c r="N35" s="1120"/>
      <c r="O35" s="1120"/>
      <c r="P35" s="3394" t="str">
        <f>A35</f>
        <v>成交单价（元/平方米）</v>
      </c>
      <c r="Q35" s="3394"/>
      <c r="R35" s="3395">
        <f>E35</f>
        <v>0</v>
      </c>
      <c r="S35" s="3395"/>
      <c r="T35" s="3395">
        <f>G35</f>
        <v>0</v>
      </c>
      <c r="U35" s="3395"/>
      <c r="V35" s="3395">
        <f>I35</f>
        <v>0</v>
      </c>
      <c r="W35" s="3395"/>
      <c r="X35" s="1160"/>
      <c r="Y35" s="1233"/>
      <c r="Z35" s="1160"/>
      <c r="AA35" s="1160"/>
      <c r="AB35" s="1160"/>
      <c r="AC35" s="1160"/>
    </row>
    <row r="36" spans="1:30" ht="15">
      <c r="A36" s="1111" t="s">
        <v>1568</v>
      </c>
      <c r="B36" s="1398"/>
      <c r="C36" s="1399" t="e">
        <f>R37</f>
        <v>#DIV/0!</v>
      </c>
      <c r="D36" s="1114" t="s">
        <v>1569</v>
      </c>
      <c r="E36" s="1400" t="e">
        <f>R36</f>
        <v>#DIV/0!</v>
      </c>
      <c r="F36" s="1115"/>
      <c r="G36" s="1399" t="e">
        <f>T36</f>
        <v>#DIV/0!</v>
      </c>
      <c r="H36" s="1115"/>
      <c r="I36" s="1400" t="e">
        <f>V36</f>
        <v>#DIV/0!</v>
      </c>
      <c r="J36" s="1115"/>
      <c r="K36" s="1200">
        <f>F36+H36+J36</f>
        <v>0</v>
      </c>
      <c r="L36" s="1199"/>
      <c r="M36" s="1120"/>
      <c r="N36" s="1120"/>
      <c r="O36" s="1120"/>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1160"/>
      <c r="Y36" s="1160"/>
      <c r="Z36" s="1160"/>
      <c r="AA36" s="1160"/>
      <c r="AB36" s="1160"/>
      <c r="AC36" s="1160"/>
    </row>
    <row r="37" spans="1:30" ht="15">
      <c r="A37" s="1117" t="s">
        <v>1570</v>
      </c>
      <c r="B37" s="1118"/>
      <c r="C37" s="1030" t="e">
        <f>R37</f>
        <v>#DIV/0!</v>
      </c>
      <c r="D37" s="1030"/>
      <c r="E37" s="1030"/>
      <c r="F37" s="1030"/>
      <c r="G37" s="1030"/>
      <c r="H37" s="1030"/>
      <c r="I37" s="1030"/>
      <c r="J37" s="1030"/>
      <c r="K37" s="1201"/>
      <c r="L37" s="1199"/>
      <c r="M37" s="1120"/>
      <c r="N37" s="1120"/>
      <c r="O37" s="1120"/>
      <c r="P37" s="3396" t="str">
        <f>A37</f>
        <v>估价对象XX用房的比较价值（楼面单价，元/平方米）</v>
      </c>
      <c r="Q37" s="3397"/>
      <c r="R37" s="3440" t="e">
        <f>IF(F1="售价",ROUND(IF(D36="简单平均",AVERAGE(R36:W36),R36*F36+T36*H36+V36*J36),0),ROUND(IF(D36="简单平均",AVERAGE(R36:V36),R36*F36+T36*H36+V36*J36),1))</f>
        <v>#DIV/0!</v>
      </c>
      <c r="S37" s="3440"/>
      <c r="T37" s="3440"/>
      <c r="U37" s="3440"/>
      <c r="V37" s="3440"/>
      <c r="W37" s="3440"/>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1571</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1572</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1573</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1574</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1534</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1575</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1537</v>
      </c>
      <c r="B49" s="1245"/>
      <c r="C49" s="1246" t="s">
        <v>1576</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1577</v>
      </c>
      <c r="B51" s="1250" t="s">
        <v>1540</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1543</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1545</v>
      </c>
      <c r="B61" s="1250" t="s">
        <v>1548</v>
      </c>
      <c r="C61" s="1270" t="s">
        <v>1578</v>
      </c>
      <c r="D61" s="1270" t="s">
        <v>1579</v>
      </c>
      <c r="E61" s="1270" t="s">
        <v>1580</v>
      </c>
      <c r="F61" s="1270" t="s">
        <v>1581</v>
      </c>
      <c r="G61" s="1270" t="s">
        <v>1582</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1648</v>
      </c>
      <c r="C63" s="1271" t="s">
        <v>1578</v>
      </c>
      <c r="D63" s="1271" t="s">
        <v>1579</v>
      </c>
      <c r="E63" s="1271" t="s">
        <v>1580</v>
      </c>
      <c r="F63" s="1271" t="s">
        <v>1581</v>
      </c>
      <c r="G63" s="1271" t="s">
        <v>1582</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1550</v>
      </c>
      <c r="C65" s="1188" t="s">
        <v>1583</v>
      </c>
      <c r="D65" s="1188" t="s">
        <v>1584</v>
      </c>
      <c r="E65" s="1188" t="s">
        <v>1585</v>
      </c>
      <c r="F65" s="1188" t="s">
        <v>1586</v>
      </c>
      <c r="G65" s="1188" t="s">
        <v>1587</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1551</v>
      </c>
      <c r="C67" s="1271" t="s">
        <v>1578</v>
      </c>
      <c r="D67" s="1271" t="s">
        <v>1579</v>
      </c>
      <c r="E67" s="1271" t="s">
        <v>1580</v>
      </c>
      <c r="F67" s="1271" t="s">
        <v>1581</v>
      </c>
      <c r="G67" s="1271" t="s">
        <v>1582</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1613</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1554</v>
      </c>
      <c r="B77" s="1250" t="s">
        <v>1560</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1636</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1637</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1646</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1647</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1649</v>
      </c>
      <c r="B1" s="1014"/>
      <c r="C1" s="1015" t="s">
        <v>1650</v>
      </c>
      <c r="D1" s="1016"/>
      <c r="E1" s="1016"/>
      <c r="F1" s="1017" t="s">
        <v>1519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1037</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1039</v>
      </c>
      <c r="B3" s="1021" t="e">
        <f>ROUND(IF(D3="",B2*10000/'数据-汇总表'!E3,B2*10000/D3),0)</f>
        <v>#DIV/0!</v>
      </c>
      <c r="C3" s="348" t="s">
        <v>1520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1521</v>
      </c>
      <c r="B4" s="1024"/>
      <c r="C4" s="3379" t="s">
        <v>1522</v>
      </c>
      <c r="D4" s="3380"/>
      <c r="E4" s="3381" t="s">
        <v>1523</v>
      </c>
      <c r="F4" s="3382"/>
      <c r="G4" s="3379" t="s">
        <v>1524</v>
      </c>
      <c r="H4" s="3380"/>
      <c r="I4" s="3379" t="s">
        <v>1525</v>
      </c>
      <c r="J4" s="3380"/>
      <c r="K4" s="1169" t="s">
        <v>1526</v>
      </c>
      <c r="L4" s="1170"/>
      <c r="M4" s="1120"/>
      <c r="N4" s="1120"/>
      <c r="O4" s="1120"/>
      <c r="P4" s="3412" t="s">
        <v>1527</v>
      </c>
      <c r="Q4" s="3413"/>
      <c r="R4" s="3418" t="s">
        <v>1523</v>
      </c>
      <c r="S4" s="3419"/>
      <c r="T4" s="3418" t="s">
        <v>1524</v>
      </c>
      <c r="U4" s="3419"/>
      <c r="V4" s="3395" t="s">
        <v>1525</v>
      </c>
      <c r="W4" s="3395"/>
      <c r="X4" s="1218"/>
      <c r="Y4" s="3418" t="s">
        <v>1527</v>
      </c>
      <c r="Z4" s="3419"/>
      <c r="AA4" s="3409" t="s">
        <v>1523</v>
      </c>
      <c r="AB4" s="3410" t="s">
        <v>1524</v>
      </c>
      <c r="AC4" s="3409" t="s">
        <v>1525</v>
      </c>
    </row>
    <row r="5" spans="1:29" ht="15">
      <c r="A5" s="1027"/>
      <c r="B5" s="1028"/>
      <c r="C5" s="3383" t="s">
        <v>1528</v>
      </c>
      <c r="D5" s="3384"/>
      <c r="E5" s="3385" t="s">
        <v>1529</v>
      </c>
      <c r="F5" s="3386"/>
      <c r="G5" s="3383" t="s">
        <v>1530</v>
      </c>
      <c r="H5" s="3384"/>
      <c r="I5" s="3383" t="s">
        <v>1531</v>
      </c>
      <c r="J5" s="3384"/>
      <c r="K5" s="1169"/>
      <c r="L5" s="1170"/>
      <c r="M5" s="1120"/>
      <c r="N5" s="1120"/>
      <c r="O5" s="1120"/>
      <c r="P5" s="3414"/>
      <c r="Q5" s="3415"/>
      <c r="R5" s="3420"/>
      <c r="S5" s="3421"/>
      <c r="T5" s="3420"/>
      <c r="U5" s="3421"/>
      <c r="V5" s="3395"/>
      <c r="W5" s="3395"/>
      <c r="X5" s="1218"/>
      <c r="Y5" s="3420"/>
      <c r="Z5" s="3421"/>
      <c r="AA5" s="3410"/>
      <c r="AB5" s="3410"/>
      <c r="AC5" s="3410"/>
    </row>
    <row r="6" spans="1:29" ht="15">
      <c r="A6" s="1029"/>
      <c r="B6" s="1030"/>
      <c r="C6" s="3387" t="s">
        <v>1532</v>
      </c>
      <c r="D6" s="3388"/>
      <c r="E6" s="3389" t="s">
        <v>1532</v>
      </c>
      <c r="F6" s="3390"/>
      <c r="G6" s="3387" t="s">
        <v>1532</v>
      </c>
      <c r="H6" s="3388"/>
      <c r="I6" s="3387" t="s">
        <v>1532</v>
      </c>
      <c r="J6" s="3388"/>
      <c r="K6" s="1169" t="s">
        <v>1533</v>
      </c>
      <c r="L6" s="1170"/>
      <c r="M6" s="1120"/>
      <c r="N6" s="1120"/>
      <c r="O6" s="1120"/>
      <c r="P6" s="3416"/>
      <c r="Q6" s="3417"/>
      <c r="R6" s="3420"/>
      <c r="S6" s="3421"/>
      <c r="T6" s="3422"/>
      <c r="U6" s="3423"/>
      <c r="V6" s="3395"/>
      <c r="W6" s="3395"/>
      <c r="X6" s="1218"/>
      <c r="Y6" s="3422"/>
      <c r="Z6" s="3423"/>
      <c r="AA6" s="3411"/>
      <c r="AB6" s="3411"/>
      <c r="AC6" s="3411"/>
    </row>
    <row r="7" spans="1:29" s="1004" customFormat="1" ht="15">
      <c r="A7" s="1032" t="s">
        <v>1534</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91" t="s">
        <v>1535</v>
      </c>
      <c r="Q7" s="3392"/>
      <c r="R7" s="1219" t="s">
        <v>1536</v>
      </c>
      <c r="S7" s="1220">
        <f t="shared" ref="S7:S15" si="0">F7</f>
        <v>0</v>
      </c>
      <c r="T7" s="1219" t="s">
        <v>1536</v>
      </c>
      <c r="U7" s="1220">
        <f t="shared" ref="U7:U15" si="1">H7</f>
        <v>0</v>
      </c>
      <c r="V7" s="1219" t="s">
        <v>1536</v>
      </c>
      <c r="W7" s="1220">
        <f t="shared" ref="W7:W15" si="2">J7</f>
        <v>0</v>
      </c>
      <c r="X7" s="1221"/>
      <c r="Y7" s="3391" t="s">
        <v>1535</v>
      </c>
      <c r="Z7" s="3393"/>
      <c r="AA7" s="1231" t="e">
        <f>D7/F7</f>
        <v>#DIV/0!</v>
      </c>
      <c r="AB7" s="1231" t="e">
        <f>D7/H7</f>
        <v>#DIV/0!</v>
      </c>
      <c r="AC7" s="1231" t="e">
        <f>D7/J7</f>
        <v>#DIV/0!</v>
      </c>
    </row>
    <row r="8" spans="1:29" s="1004" customFormat="1" ht="15">
      <c r="A8" s="1032" t="s">
        <v>1537</v>
      </c>
      <c r="B8" s="1033"/>
      <c r="C8" s="1039" t="s">
        <v>1576</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91" t="s">
        <v>1538</v>
      </c>
      <c r="Q8" s="3393"/>
      <c r="R8" s="1219" t="s">
        <v>1536</v>
      </c>
      <c r="S8" s="1220">
        <f t="shared" si="0"/>
        <v>0</v>
      </c>
      <c r="T8" s="1219" t="s">
        <v>1536</v>
      </c>
      <c r="U8" s="1220">
        <f t="shared" si="1"/>
        <v>0</v>
      </c>
      <c r="V8" s="1219" t="s">
        <v>1536</v>
      </c>
      <c r="W8" s="1220">
        <f t="shared" si="2"/>
        <v>0</v>
      </c>
      <c r="X8" s="1221"/>
      <c r="Y8" s="3391" t="s">
        <v>1538</v>
      </c>
      <c r="Z8" s="3393"/>
      <c r="AA8" s="1231" t="e">
        <f t="shared" ref="AA8:AA45" si="3">D8/F8</f>
        <v>#DIV/0!</v>
      </c>
      <c r="AB8" s="1231" t="e">
        <f t="shared" ref="AB8:AB45" si="4">D8/H8</f>
        <v>#DIV/0!</v>
      </c>
      <c r="AC8" s="1231" t="e">
        <f t="shared" ref="AC8:AC45" si="5">D8/J8</f>
        <v>#DIV/0!</v>
      </c>
    </row>
    <row r="9" spans="1:29" s="1004" customFormat="1">
      <c r="A9" s="1040" t="s">
        <v>1539</v>
      </c>
      <c r="B9" s="1041" t="s">
        <v>1540</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94" t="s">
        <v>1541</v>
      </c>
      <c r="Q9" s="790" t="str">
        <f t="shared" ref="Q9:Q15" si="6">B9</f>
        <v>用途</v>
      </c>
      <c r="R9" s="1219" t="s">
        <v>1536</v>
      </c>
      <c r="S9" s="1220">
        <f t="shared" si="0"/>
        <v>100</v>
      </c>
      <c r="T9" s="1219" t="s">
        <v>1536</v>
      </c>
      <c r="U9" s="1220">
        <f t="shared" si="1"/>
        <v>100</v>
      </c>
      <c r="V9" s="1219" t="s">
        <v>1536</v>
      </c>
      <c r="W9" s="1220">
        <f t="shared" si="2"/>
        <v>100</v>
      </c>
      <c r="X9" s="1221"/>
      <c r="Y9" s="3331" t="s">
        <v>1542</v>
      </c>
      <c r="Z9" s="1231" t="str">
        <f t="shared" ref="Z9:Z15" si="7">Q9</f>
        <v>用途</v>
      </c>
      <c r="AA9" s="1231">
        <f t="shared" si="3"/>
        <v>1</v>
      </c>
      <c r="AB9" s="1231">
        <f t="shared" si="4"/>
        <v>1</v>
      </c>
      <c r="AC9" s="1231">
        <f t="shared" si="5"/>
        <v>1</v>
      </c>
    </row>
    <row r="10" spans="1:29" s="1005" customFormat="1" ht="27">
      <c r="A10" s="1044"/>
      <c r="B10" s="1045" t="s">
        <v>1543</v>
      </c>
      <c r="C10" s="1046"/>
      <c r="D10" s="1047">
        <v>100</v>
      </c>
      <c r="E10" s="1335"/>
      <c r="F10" s="1047">
        <f>ROUND(100/'数据-取费表'!G16,0)</f>
        <v>125</v>
      </c>
      <c r="G10" s="1336"/>
      <c r="H10" s="1047">
        <f>ROUND(100/'数据-取费表'!G16,0)</f>
        <v>125</v>
      </c>
      <c r="I10" s="1336"/>
      <c r="J10" s="1047">
        <f>ROUND(100/'数据-取费表'!G16,0)</f>
        <v>125</v>
      </c>
      <c r="K10" s="1179"/>
      <c r="L10" s="1180"/>
      <c r="M10" s="1181"/>
      <c r="N10" s="1181"/>
      <c r="O10" s="1182"/>
      <c r="P10" s="3394"/>
      <c r="Q10" s="790" t="str">
        <f t="shared" si="6"/>
        <v>土地使用年限（年）</v>
      </c>
      <c r="R10" s="1219" t="s">
        <v>1536</v>
      </c>
      <c r="S10" s="1220">
        <f t="shared" si="0"/>
        <v>125</v>
      </c>
      <c r="T10" s="1219" t="s">
        <v>1536</v>
      </c>
      <c r="U10" s="1220">
        <f t="shared" si="1"/>
        <v>125</v>
      </c>
      <c r="V10" s="1219" t="s">
        <v>1536</v>
      </c>
      <c r="W10" s="1220">
        <f t="shared" si="2"/>
        <v>125</v>
      </c>
      <c r="X10" s="1221"/>
      <c r="Y10" s="3331"/>
      <c r="Z10" s="1231" t="str">
        <f t="shared" si="7"/>
        <v>土地使用年限（年）</v>
      </c>
      <c r="AA10" s="1231">
        <f t="shared" si="3"/>
        <v>0.8</v>
      </c>
      <c r="AB10" s="1231">
        <f t="shared" si="4"/>
        <v>0.8</v>
      </c>
      <c r="AC10" s="1231">
        <f t="shared" si="5"/>
        <v>0.8</v>
      </c>
    </row>
    <row r="11" spans="1:29" ht="15">
      <c r="A11" s="1048"/>
      <c r="B11" s="1045" t="s">
        <v>1544</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94"/>
      <c r="Q11" s="790" t="str">
        <f t="shared" si="6"/>
        <v>容积率</v>
      </c>
      <c r="R11" s="1219" t="s">
        <v>1536</v>
      </c>
      <c r="S11" s="1220" t="e">
        <f t="shared" si="0"/>
        <v>#N/A</v>
      </c>
      <c r="T11" s="1219" t="s">
        <v>1536</v>
      </c>
      <c r="U11" s="1220" t="e">
        <f t="shared" si="1"/>
        <v>#N/A</v>
      </c>
      <c r="V11" s="1219" t="s">
        <v>1536</v>
      </c>
      <c r="W11" s="1220" t="e">
        <f t="shared" si="2"/>
        <v>#N/A</v>
      </c>
      <c r="X11" s="1221"/>
      <c r="Y11" s="3331"/>
      <c r="Z11" s="1231" t="str">
        <f t="shared" si="7"/>
        <v>容积率</v>
      </c>
      <c r="AA11" s="1231" t="e">
        <f t="shared" si="3"/>
        <v>#N/A</v>
      </c>
      <c r="AB11" s="1231" t="e">
        <f t="shared" si="4"/>
        <v>#N/A</v>
      </c>
      <c r="AC11" s="1231" t="e">
        <f t="shared" si="5"/>
        <v>#N/A</v>
      </c>
    </row>
    <row r="12" spans="1:29" s="1004" customFormat="1" ht="15">
      <c r="A12" s="1051"/>
      <c r="B12" s="1052" t="s">
        <v>1651</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94"/>
      <c r="Q12" s="790" t="str">
        <f t="shared" si="6"/>
        <v>配建</v>
      </c>
      <c r="R12" s="1219" t="s">
        <v>1536</v>
      </c>
      <c r="S12" s="1220">
        <f t="shared" si="0"/>
        <v>100</v>
      </c>
      <c r="T12" s="1219" t="s">
        <v>1536</v>
      </c>
      <c r="U12" s="1220">
        <f t="shared" si="1"/>
        <v>100</v>
      </c>
      <c r="V12" s="1219" t="s">
        <v>1536</v>
      </c>
      <c r="W12" s="1220">
        <f t="shared" si="2"/>
        <v>100</v>
      </c>
      <c r="X12" s="1221"/>
      <c r="Y12" s="3331"/>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94"/>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94"/>
      <c r="Q14" s="790">
        <f t="shared" si="6"/>
        <v>111</v>
      </c>
      <c r="R14" s="1219" t="s">
        <v>1536</v>
      </c>
      <c r="S14" s="1220">
        <f t="shared" si="0"/>
        <v>100</v>
      </c>
      <c r="T14" s="1219" t="s">
        <v>1536</v>
      </c>
      <c r="U14" s="1220">
        <f t="shared" si="1"/>
        <v>100</v>
      </c>
      <c r="V14" s="1219" t="s">
        <v>1536</v>
      </c>
      <c r="W14" s="1220">
        <f t="shared" si="2"/>
        <v>100</v>
      </c>
      <c r="X14" s="1221"/>
      <c r="Y14" s="3331"/>
      <c r="Z14" s="1231">
        <f t="shared" si="7"/>
        <v>111</v>
      </c>
      <c r="AA14" s="1231">
        <f t="shared" si="3"/>
        <v>1</v>
      </c>
      <c r="AB14" s="1231">
        <f t="shared" si="4"/>
        <v>1</v>
      </c>
      <c r="AC14" s="1231">
        <f t="shared" si="5"/>
        <v>1</v>
      </c>
    </row>
    <row r="15" spans="1:29" ht="99.75">
      <c r="A15" s="1061" t="s">
        <v>1545</v>
      </c>
      <c r="B15" s="1337" t="s">
        <v>1546</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05" t="s">
        <v>1547</v>
      </c>
      <c r="Q15" s="621" t="str">
        <f t="shared" si="6"/>
        <v>居住社区成熟度</v>
      </c>
      <c r="R15" s="1223" t="s">
        <v>1536</v>
      </c>
      <c r="S15" s="1224">
        <f t="shared" si="0"/>
        <v>100</v>
      </c>
      <c r="T15" s="1223" t="s">
        <v>1536</v>
      </c>
      <c r="U15" s="1224">
        <f t="shared" si="1"/>
        <v>100</v>
      </c>
      <c r="V15" s="1223" t="s">
        <v>1536</v>
      </c>
      <c r="W15" s="1224">
        <f t="shared" si="2"/>
        <v>100</v>
      </c>
      <c r="X15" s="1218"/>
      <c r="Y15" s="3405" t="s">
        <v>1547</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06"/>
      <c r="Q16" s="621"/>
      <c r="R16" s="1223"/>
      <c r="S16" s="1224"/>
      <c r="T16" s="1223"/>
      <c r="U16" s="1224"/>
      <c r="V16" s="1223"/>
      <c r="W16" s="1224"/>
      <c r="X16" s="1218"/>
      <c r="Y16" s="3406"/>
      <c r="Z16" s="1207"/>
      <c r="AA16" s="1207">
        <v>1</v>
      </c>
      <c r="AB16" s="1207">
        <v>1</v>
      </c>
      <c r="AC16" s="1207">
        <v>1</v>
      </c>
    </row>
    <row r="17" spans="1:29" ht="71.25">
      <c r="A17" s="1048"/>
      <c r="B17" s="1339" t="s">
        <v>1609</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06"/>
      <c r="Q17" s="621" t="str">
        <f>B17</f>
        <v>商业繁华度</v>
      </c>
      <c r="R17" s="1223" t="s">
        <v>1536</v>
      </c>
      <c r="S17" s="1224">
        <f>F17</f>
        <v>100</v>
      </c>
      <c r="T17" s="1223" t="s">
        <v>1536</v>
      </c>
      <c r="U17" s="1224">
        <f>H17</f>
        <v>100</v>
      </c>
      <c r="V17" s="1223" t="s">
        <v>1536</v>
      </c>
      <c r="W17" s="1224">
        <f>J17</f>
        <v>100</v>
      </c>
      <c r="X17" s="1218"/>
      <c r="Y17" s="3406"/>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406"/>
      <c r="Q18" s="621"/>
      <c r="R18" s="1223"/>
      <c r="S18" s="1224"/>
      <c r="T18" s="1223"/>
      <c r="U18" s="1224"/>
      <c r="V18" s="1223"/>
      <c r="W18" s="1224"/>
      <c r="X18" s="1218"/>
      <c r="Y18" s="3406"/>
      <c r="Z18" s="1207"/>
      <c r="AA18" s="1207">
        <v>1</v>
      </c>
      <c r="AB18" s="1207">
        <v>1</v>
      </c>
      <c r="AC18" s="1207">
        <v>1</v>
      </c>
    </row>
    <row r="19" spans="1:29" ht="71.25">
      <c r="A19" s="1048"/>
      <c r="B19" s="1339" t="s">
        <v>1621</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406"/>
      <c r="Q19" s="621" t="str">
        <f>B19</f>
        <v>办公集聚程度</v>
      </c>
      <c r="R19" s="1223" t="s">
        <v>1536</v>
      </c>
      <c r="S19" s="1224">
        <f>F19</f>
        <v>100</v>
      </c>
      <c r="T19" s="1223" t="s">
        <v>1536</v>
      </c>
      <c r="U19" s="1224">
        <f>H19</f>
        <v>100</v>
      </c>
      <c r="V19" s="1223" t="s">
        <v>1536</v>
      </c>
      <c r="W19" s="1224">
        <f>J19</f>
        <v>100</v>
      </c>
      <c r="X19" s="1218"/>
      <c r="Y19" s="3406"/>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06"/>
      <c r="Q20" s="621"/>
      <c r="R20" s="1223"/>
      <c r="S20" s="1224"/>
      <c r="T20" s="1223"/>
      <c r="U20" s="1224"/>
      <c r="V20" s="1223"/>
      <c r="W20" s="1224"/>
      <c r="X20" s="1218"/>
      <c r="Y20" s="3406"/>
      <c r="Z20" s="1207"/>
      <c r="AA20" s="1207">
        <v>1</v>
      </c>
      <c r="AB20" s="1207">
        <v>1</v>
      </c>
      <c r="AC20" s="1207">
        <v>1</v>
      </c>
    </row>
    <row r="21" spans="1:29" ht="85.5">
      <c r="A21" s="1048"/>
      <c r="B21" s="1339" t="s">
        <v>1548</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406"/>
      <c r="Q21" s="621" t="str">
        <f>B21</f>
        <v>交通便捷度</v>
      </c>
      <c r="R21" s="1223" t="s">
        <v>1536</v>
      </c>
      <c r="S21" s="1224">
        <f>F21</f>
        <v>100</v>
      </c>
      <c r="T21" s="1223" t="s">
        <v>1536</v>
      </c>
      <c r="U21" s="1224">
        <f>H21</f>
        <v>100</v>
      </c>
      <c r="V21" s="1223" t="s">
        <v>1536</v>
      </c>
      <c r="W21" s="1224">
        <f>J21</f>
        <v>100</v>
      </c>
      <c r="X21" s="1218"/>
      <c r="Y21" s="3406"/>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406"/>
      <c r="Q22" s="621"/>
      <c r="R22" s="1223"/>
      <c r="S22" s="1224"/>
      <c r="T22" s="1223"/>
      <c r="U22" s="1224"/>
      <c r="V22" s="1223"/>
      <c r="W22" s="1224"/>
      <c r="X22" s="1218"/>
      <c r="Y22" s="3406"/>
      <c r="Z22" s="1207"/>
      <c r="AA22" s="1207">
        <v>1</v>
      </c>
      <c r="AB22" s="1207">
        <v>1</v>
      </c>
      <c r="AC22" s="1207">
        <v>1</v>
      </c>
    </row>
    <row r="23" spans="1:29" ht="15">
      <c r="A23" s="1027"/>
      <c r="B23" s="1339" t="s">
        <v>1652</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406"/>
      <c r="Q23" s="621" t="str">
        <f t="shared" ref="Q23:Q38" si="8">B23</f>
        <v>区域土地利用方向</v>
      </c>
      <c r="R23" s="1223" t="s">
        <v>1536</v>
      </c>
      <c r="S23" s="1224">
        <f>F23</f>
        <v>100</v>
      </c>
      <c r="T23" s="1223" t="s">
        <v>1536</v>
      </c>
      <c r="U23" s="1224">
        <f>H23</f>
        <v>100</v>
      </c>
      <c r="V23" s="1223" t="s">
        <v>1536</v>
      </c>
      <c r="W23" s="1224">
        <f>J23</f>
        <v>100</v>
      </c>
      <c r="X23" s="1218"/>
      <c r="Y23" s="3406"/>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406"/>
      <c r="Q24" s="621"/>
      <c r="R24" s="1223"/>
      <c r="S24" s="1224"/>
      <c r="T24" s="1223"/>
      <c r="U24" s="1224"/>
      <c r="V24" s="1223"/>
      <c r="W24" s="1224"/>
      <c r="X24" s="1218"/>
      <c r="Y24" s="3406"/>
      <c r="Z24" s="1207"/>
      <c r="AA24" s="1207"/>
      <c r="AB24" s="1207"/>
      <c r="AC24" s="1207"/>
    </row>
    <row r="25" spans="1:29" ht="57">
      <c r="A25" s="1027"/>
      <c r="B25" s="1343" t="s">
        <v>1653</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406"/>
      <c r="Q25" s="621" t="str">
        <f t="shared" si="8"/>
        <v>自然及人文环境状况</v>
      </c>
      <c r="R25" s="1223" t="s">
        <v>1536</v>
      </c>
      <c r="S25" s="1224">
        <f>F25</f>
        <v>100</v>
      </c>
      <c r="T25" s="1223" t="s">
        <v>1536</v>
      </c>
      <c r="U25" s="1224">
        <f>H25</f>
        <v>100</v>
      </c>
      <c r="V25" s="1223" t="s">
        <v>1536</v>
      </c>
      <c r="W25" s="1224">
        <f>J25</f>
        <v>100</v>
      </c>
      <c r="X25" s="1218"/>
      <c r="Y25" s="3406"/>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406"/>
      <c r="Q26" s="621"/>
      <c r="R26" s="1223"/>
      <c r="S26" s="1224"/>
      <c r="T26" s="1223"/>
      <c r="U26" s="1224"/>
      <c r="V26" s="1223"/>
      <c r="W26" s="1224"/>
      <c r="X26" s="1218"/>
      <c r="Y26" s="3406"/>
      <c r="Z26" s="1207"/>
      <c r="AA26" s="1207">
        <v>1</v>
      </c>
      <c r="AB26" s="1207">
        <v>1</v>
      </c>
      <c r="AC26" s="1207">
        <v>1</v>
      </c>
    </row>
    <row r="27" spans="1:29" s="1004" customFormat="1" ht="42.75">
      <c r="A27" s="1077"/>
      <c r="B27" s="1343" t="s">
        <v>1549</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406"/>
      <c r="Q27" s="790" t="str">
        <f t="shared" si="8"/>
        <v>公共配套设施</v>
      </c>
      <c r="R27" s="1219" t="s">
        <v>1536</v>
      </c>
      <c r="S27" s="1220">
        <f>F27</f>
        <v>100</v>
      </c>
      <c r="T27" s="1219" t="s">
        <v>1536</v>
      </c>
      <c r="U27" s="1220">
        <f>H27</f>
        <v>100</v>
      </c>
      <c r="V27" s="1219" t="s">
        <v>1536</v>
      </c>
      <c r="W27" s="1220">
        <f>J27</f>
        <v>100</v>
      </c>
      <c r="X27" s="1221"/>
      <c r="Y27" s="3406"/>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406"/>
      <c r="Q28" s="790"/>
      <c r="R28" s="1219"/>
      <c r="S28" s="1220"/>
      <c r="T28" s="1219"/>
      <c r="U28" s="1220"/>
      <c r="V28" s="1219"/>
      <c r="W28" s="1220"/>
      <c r="X28" s="1221"/>
      <c r="Y28" s="3406"/>
      <c r="Z28" s="1231"/>
      <c r="AA28" s="1207">
        <v>1</v>
      </c>
      <c r="AB28" s="1207">
        <v>1</v>
      </c>
      <c r="AC28" s="1207">
        <v>1</v>
      </c>
    </row>
    <row r="29" spans="1:29" s="1004" customFormat="1" ht="28.5">
      <c r="A29" s="1077"/>
      <c r="B29" s="1343" t="s">
        <v>1550</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406"/>
      <c r="Q29" s="790" t="str">
        <f t="shared" ref="Q29" si="9">B29</f>
        <v>基础设施水平</v>
      </c>
      <c r="R29" s="1219" t="s">
        <v>1536</v>
      </c>
      <c r="S29" s="1220">
        <f>F29</f>
        <v>100</v>
      </c>
      <c r="T29" s="1219" t="s">
        <v>1536</v>
      </c>
      <c r="U29" s="1220">
        <f>H29</f>
        <v>100</v>
      </c>
      <c r="V29" s="1219" t="s">
        <v>1536</v>
      </c>
      <c r="W29" s="1220">
        <f>J29</f>
        <v>100</v>
      </c>
      <c r="X29" s="1221"/>
      <c r="Y29" s="3406"/>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406"/>
      <c r="Q30" s="790"/>
      <c r="R30" s="1219"/>
      <c r="S30" s="1220"/>
      <c r="T30" s="1219"/>
      <c r="U30" s="1220"/>
      <c r="V30" s="1219"/>
      <c r="W30" s="1220"/>
      <c r="X30" s="1221"/>
      <c r="Y30" s="3406"/>
      <c r="Z30" s="1231"/>
      <c r="AA30" s="1207">
        <v>1</v>
      </c>
      <c r="AB30" s="1207">
        <v>1</v>
      </c>
      <c r="AC30" s="1207">
        <v>1</v>
      </c>
    </row>
    <row r="31" spans="1:29" ht="15">
      <c r="A31" s="1048"/>
      <c r="B31" s="1094" t="s">
        <v>1610</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06"/>
      <c r="Q31" s="621" t="str">
        <f t="shared" si="8"/>
        <v>临街状况</v>
      </c>
      <c r="R31" s="1223" t="s">
        <v>1536</v>
      </c>
      <c r="S31" s="1224">
        <f t="shared" ref="S31:S45" si="10">F31</f>
        <v>100</v>
      </c>
      <c r="T31" s="1223" t="s">
        <v>1536</v>
      </c>
      <c r="U31" s="1224">
        <f t="shared" ref="U31:U45" si="11">H31</f>
        <v>100</v>
      </c>
      <c r="V31" s="1223" t="s">
        <v>1536</v>
      </c>
      <c r="W31" s="1224">
        <f t="shared" ref="W31:W45" si="12">J31</f>
        <v>100</v>
      </c>
      <c r="X31" s="1218"/>
      <c r="Y31" s="3406"/>
      <c r="Z31" s="1207" t="str">
        <f t="shared" ref="Z31:Z45" si="13">Q31</f>
        <v>临街状况</v>
      </c>
      <c r="AA31" s="1207">
        <f t="shared" si="3"/>
        <v>1</v>
      </c>
      <c r="AB31" s="1207">
        <f t="shared" si="4"/>
        <v>1</v>
      </c>
      <c r="AC31" s="1207">
        <f t="shared" si="5"/>
        <v>1</v>
      </c>
    </row>
    <row r="32" spans="1:29" ht="27">
      <c r="A32" s="1048"/>
      <c r="B32" s="1343" t="s">
        <v>1623</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06"/>
      <c r="Q32" s="621" t="str">
        <f t="shared" si="8"/>
        <v>毗邻道路的类型与等级</v>
      </c>
      <c r="R32" s="1223" t="s">
        <v>1536</v>
      </c>
      <c r="S32" s="1224">
        <f t="shared" si="10"/>
        <v>100</v>
      </c>
      <c r="T32" s="1223" t="s">
        <v>1536</v>
      </c>
      <c r="U32" s="1224">
        <f t="shared" si="11"/>
        <v>100</v>
      </c>
      <c r="V32" s="1223" t="s">
        <v>1536</v>
      </c>
      <c r="W32" s="1224">
        <f t="shared" si="12"/>
        <v>100</v>
      </c>
      <c r="X32" s="1218"/>
      <c r="Y32" s="3406"/>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06"/>
      <c r="Q33" s="621"/>
      <c r="R33" s="1223"/>
      <c r="S33" s="1224"/>
      <c r="T33" s="1223"/>
      <c r="U33" s="1224"/>
      <c r="V33" s="1223"/>
      <c r="W33" s="1224"/>
      <c r="X33" s="1218"/>
      <c r="Y33" s="3406"/>
      <c r="Z33" s="1207"/>
      <c r="AA33" s="1207">
        <v>1</v>
      </c>
      <c r="AB33" s="1207">
        <v>1</v>
      </c>
      <c r="AC33" s="1207">
        <v>1</v>
      </c>
    </row>
    <row r="34" spans="1:29" ht="15">
      <c r="A34" s="1048"/>
      <c r="B34" s="1045" t="s">
        <v>1654</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06"/>
      <c r="Q34" s="621" t="str">
        <f t="shared" si="8"/>
        <v>土地级别</v>
      </c>
      <c r="R34" s="1223" t="s">
        <v>1536</v>
      </c>
      <c r="S34" s="1224">
        <f t="shared" si="10"/>
        <v>100</v>
      </c>
      <c r="T34" s="1223" t="s">
        <v>1536</v>
      </c>
      <c r="U34" s="1224">
        <f t="shared" si="11"/>
        <v>100</v>
      </c>
      <c r="V34" s="1223" t="s">
        <v>1536</v>
      </c>
      <c r="W34" s="1224">
        <f t="shared" si="12"/>
        <v>100</v>
      </c>
      <c r="X34" s="1218"/>
      <c r="Y34" s="3406"/>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06"/>
      <c r="Q35" s="621">
        <f t="shared" si="8"/>
        <v>111</v>
      </c>
      <c r="R35" s="1223" t="s">
        <v>1536</v>
      </c>
      <c r="S35" s="1224">
        <f t="shared" si="10"/>
        <v>100</v>
      </c>
      <c r="T35" s="1223" t="s">
        <v>1536</v>
      </c>
      <c r="U35" s="1224">
        <f t="shared" si="11"/>
        <v>100</v>
      </c>
      <c r="V35" s="1223" t="s">
        <v>1536</v>
      </c>
      <c r="W35" s="1224">
        <f t="shared" si="12"/>
        <v>100</v>
      </c>
      <c r="X35" s="1218"/>
      <c r="Y35" s="3406"/>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39" t="s">
        <v>1556</v>
      </c>
      <c r="Q36" s="621">
        <f t="shared" si="8"/>
        <v>111</v>
      </c>
      <c r="R36" s="1223" t="s">
        <v>1536</v>
      </c>
      <c r="S36" s="1224">
        <f t="shared" si="10"/>
        <v>100</v>
      </c>
      <c r="T36" s="1223" t="s">
        <v>1536</v>
      </c>
      <c r="U36" s="1224">
        <f t="shared" si="11"/>
        <v>100</v>
      </c>
      <c r="V36" s="1223" t="s">
        <v>1536</v>
      </c>
      <c r="W36" s="1224">
        <f t="shared" si="12"/>
        <v>100</v>
      </c>
      <c r="X36" s="1218"/>
      <c r="Y36" s="3407" t="s">
        <v>1556</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07"/>
      <c r="Q37" s="621">
        <f t="shared" si="8"/>
        <v>111</v>
      </c>
      <c r="R37" s="1225" t="s">
        <v>1536</v>
      </c>
      <c r="S37" s="1226">
        <f t="shared" si="10"/>
        <v>100</v>
      </c>
      <c r="T37" s="1225" t="s">
        <v>1536</v>
      </c>
      <c r="U37" s="1226">
        <f t="shared" si="11"/>
        <v>100</v>
      </c>
      <c r="V37" s="1225" t="s">
        <v>1536</v>
      </c>
      <c r="W37" s="1226">
        <f t="shared" si="12"/>
        <v>100</v>
      </c>
      <c r="X37" s="1227"/>
      <c r="Y37" s="3407"/>
      <c r="Z37" s="1232">
        <f t="shared" si="13"/>
        <v>111</v>
      </c>
      <c r="AA37" s="1207">
        <f t="shared" si="3"/>
        <v>1</v>
      </c>
      <c r="AB37" s="1207">
        <f t="shared" si="4"/>
        <v>1</v>
      </c>
      <c r="AC37" s="1207">
        <f t="shared" si="5"/>
        <v>1</v>
      </c>
    </row>
    <row r="38" spans="1:29" ht="15">
      <c r="A38" s="1096" t="s">
        <v>1554</v>
      </c>
      <c r="B38" s="1094" t="s">
        <v>1655</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407"/>
      <c r="Q38" s="621" t="str">
        <f t="shared" si="8"/>
        <v>宗地面积</v>
      </c>
      <c r="R38" s="1223" t="s">
        <v>1536</v>
      </c>
      <c r="S38" s="1224" t="e">
        <f t="shared" si="10"/>
        <v>#N/A</v>
      </c>
      <c r="T38" s="1223" t="s">
        <v>1536</v>
      </c>
      <c r="U38" s="1224" t="e">
        <f t="shared" si="11"/>
        <v>#N/A</v>
      </c>
      <c r="V38" s="1223" t="s">
        <v>1536</v>
      </c>
      <c r="W38" s="1224" t="e">
        <f t="shared" si="12"/>
        <v>#N/A</v>
      </c>
      <c r="X38" s="1218"/>
      <c r="Y38" s="3407"/>
      <c r="Z38" s="1207" t="str">
        <f t="shared" si="13"/>
        <v>宗地面积</v>
      </c>
      <c r="AA38" s="1207" t="e">
        <f t="shared" si="3"/>
        <v>#N/A</v>
      </c>
      <c r="AB38" s="1207" t="e">
        <f t="shared" si="4"/>
        <v>#N/A</v>
      </c>
      <c r="AC38" s="1207" t="e">
        <f t="shared" si="5"/>
        <v>#N/A</v>
      </c>
    </row>
    <row r="39" spans="1:29" ht="15">
      <c r="A39" s="1096"/>
      <c r="B39" s="1045" t="s">
        <v>1656</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407"/>
      <c r="Q39" s="621" t="str">
        <f t="shared" ref="Q39:Q45" si="14">B39</f>
        <v>宗地形状</v>
      </c>
      <c r="R39" s="1223" t="s">
        <v>1536</v>
      </c>
      <c r="S39" s="1224">
        <f t="shared" si="10"/>
        <v>100</v>
      </c>
      <c r="T39" s="1223" t="s">
        <v>1536</v>
      </c>
      <c r="U39" s="1224">
        <f t="shared" si="11"/>
        <v>100</v>
      </c>
      <c r="V39" s="1223" t="s">
        <v>1536</v>
      </c>
      <c r="W39" s="1224">
        <f t="shared" si="12"/>
        <v>100</v>
      </c>
      <c r="X39" s="1218"/>
      <c r="Y39" s="3407"/>
      <c r="Z39" s="1207" t="str">
        <f t="shared" si="13"/>
        <v>宗地形状</v>
      </c>
      <c r="AA39" s="1207">
        <f t="shared" si="3"/>
        <v>1</v>
      </c>
      <c r="AB39" s="1207">
        <f t="shared" si="4"/>
        <v>1</v>
      </c>
      <c r="AC39" s="1207">
        <f t="shared" si="5"/>
        <v>1</v>
      </c>
    </row>
    <row r="40" spans="1:29" ht="15">
      <c r="A40" s="1096"/>
      <c r="B40" s="1045" t="s">
        <v>1657</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07"/>
      <c r="Q40" s="621" t="str">
        <f t="shared" si="14"/>
        <v>临街宽度及深度</v>
      </c>
      <c r="R40" s="1223" t="s">
        <v>1536</v>
      </c>
      <c r="S40" s="1224">
        <f t="shared" si="10"/>
        <v>100</v>
      </c>
      <c r="T40" s="1223" t="s">
        <v>1536</v>
      </c>
      <c r="U40" s="1224">
        <f t="shared" si="11"/>
        <v>100</v>
      </c>
      <c r="V40" s="1223" t="s">
        <v>1536</v>
      </c>
      <c r="W40" s="1224">
        <f t="shared" si="12"/>
        <v>100</v>
      </c>
      <c r="X40" s="1218"/>
      <c r="Y40" s="3407"/>
      <c r="Z40" s="1207" t="str">
        <f t="shared" si="13"/>
        <v>临街宽度及深度</v>
      </c>
      <c r="AA40" s="1207">
        <f t="shared" si="3"/>
        <v>1</v>
      </c>
      <c r="AB40" s="1207">
        <f t="shared" si="4"/>
        <v>1</v>
      </c>
      <c r="AC40" s="1207">
        <f t="shared" si="5"/>
        <v>1</v>
      </c>
    </row>
    <row r="41" spans="1:29" s="1004" customFormat="1" ht="15">
      <c r="A41" s="1098"/>
      <c r="B41" s="1045" t="s">
        <v>1658</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07"/>
      <c r="Q41" s="621" t="str">
        <f t="shared" si="14"/>
        <v>宗地开发程度</v>
      </c>
      <c r="R41" s="1219" t="s">
        <v>1536</v>
      </c>
      <c r="S41" s="1220">
        <f t="shared" si="10"/>
        <v>100</v>
      </c>
      <c r="T41" s="1219" t="s">
        <v>1536</v>
      </c>
      <c r="U41" s="1220">
        <f t="shared" si="11"/>
        <v>100</v>
      </c>
      <c r="V41" s="1219" t="s">
        <v>1536</v>
      </c>
      <c r="W41" s="1220">
        <f t="shared" si="12"/>
        <v>100</v>
      </c>
      <c r="X41" s="1221"/>
      <c r="Y41" s="3407"/>
      <c r="Z41" s="1231" t="str">
        <f t="shared" si="13"/>
        <v>宗地开发程度</v>
      </c>
      <c r="AA41" s="1231">
        <f t="shared" si="3"/>
        <v>1</v>
      </c>
      <c r="AB41" s="1231">
        <f t="shared" si="4"/>
        <v>1</v>
      </c>
      <c r="AC41" s="1231">
        <f t="shared" si="5"/>
        <v>1</v>
      </c>
    </row>
    <row r="42" spans="1:29" ht="15">
      <c r="A42" s="1096"/>
      <c r="B42" s="1045" t="s">
        <v>1659</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407" t="s">
        <v>1556</v>
      </c>
      <c r="Q42" s="621" t="str">
        <f t="shared" si="14"/>
        <v>工程地质条件</v>
      </c>
      <c r="R42" s="1223" t="s">
        <v>1536</v>
      </c>
      <c r="S42" s="1224">
        <f t="shared" si="10"/>
        <v>100</v>
      </c>
      <c r="T42" s="1223" t="s">
        <v>1536</v>
      </c>
      <c r="U42" s="1224">
        <f t="shared" si="11"/>
        <v>100</v>
      </c>
      <c r="V42" s="1223" t="s">
        <v>1536</v>
      </c>
      <c r="W42" s="1224">
        <f t="shared" si="12"/>
        <v>100</v>
      </c>
      <c r="X42" s="1218"/>
      <c r="Y42" s="3407" t="s">
        <v>1556</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07"/>
      <c r="Q43" s="621">
        <f t="shared" si="14"/>
        <v>111</v>
      </c>
      <c r="R43" s="1223" t="s">
        <v>1536</v>
      </c>
      <c r="S43" s="1224">
        <f t="shared" si="10"/>
        <v>100</v>
      </c>
      <c r="T43" s="1223" t="s">
        <v>1536</v>
      </c>
      <c r="U43" s="1224">
        <f t="shared" si="11"/>
        <v>100</v>
      </c>
      <c r="V43" s="1223" t="s">
        <v>1536</v>
      </c>
      <c r="W43" s="1224">
        <f t="shared" si="12"/>
        <v>100</v>
      </c>
      <c r="X43" s="1218"/>
      <c r="Y43" s="3407"/>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07"/>
      <c r="Q44" s="621">
        <f t="shared" si="14"/>
        <v>111</v>
      </c>
      <c r="R44" s="1223" t="s">
        <v>1536</v>
      </c>
      <c r="S44" s="1224">
        <f t="shared" si="10"/>
        <v>100</v>
      </c>
      <c r="T44" s="1223" t="s">
        <v>1536</v>
      </c>
      <c r="U44" s="1224">
        <f t="shared" si="11"/>
        <v>100</v>
      </c>
      <c r="V44" s="1223" t="s">
        <v>1536</v>
      </c>
      <c r="W44" s="1224">
        <f t="shared" si="12"/>
        <v>100</v>
      </c>
      <c r="X44" s="1218"/>
      <c r="Y44" s="3407"/>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07"/>
      <c r="Q45" s="621">
        <f t="shared" si="14"/>
        <v>111</v>
      </c>
      <c r="R45" s="1225" t="s">
        <v>1536</v>
      </c>
      <c r="S45" s="1226">
        <f t="shared" si="10"/>
        <v>100</v>
      </c>
      <c r="T45" s="1225" t="s">
        <v>1536</v>
      </c>
      <c r="U45" s="1226">
        <f t="shared" si="11"/>
        <v>100</v>
      </c>
      <c r="V45" s="1225" t="s">
        <v>1536</v>
      </c>
      <c r="W45" s="1226">
        <f t="shared" si="12"/>
        <v>100</v>
      </c>
      <c r="X45" s="1227"/>
      <c r="Y45" s="3407"/>
      <c r="Z45" s="1232">
        <f t="shared" si="13"/>
        <v>111</v>
      </c>
      <c r="AA45" s="1207">
        <f t="shared" si="3"/>
        <v>1</v>
      </c>
      <c r="AB45" s="1207">
        <f t="shared" si="4"/>
        <v>1</v>
      </c>
      <c r="AC45" s="1207">
        <f t="shared" si="5"/>
        <v>1</v>
      </c>
    </row>
    <row r="46" spans="1:29" ht="15">
      <c r="A46" s="1103" t="s">
        <v>1641</v>
      </c>
      <c r="B46" s="1104" t="s">
        <v>1660</v>
      </c>
      <c r="C46" s="1105" t="s">
        <v>124</v>
      </c>
      <c r="D46" s="1106"/>
      <c r="E46" s="1107"/>
      <c r="F46" s="1108"/>
      <c r="G46" s="1109"/>
      <c r="H46" s="1110"/>
      <c r="I46" s="1107"/>
      <c r="J46" s="1110"/>
      <c r="K46" s="1198"/>
      <c r="L46" s="1199"/>
      <c r="M46" s="1120"/>
      <c r="N46" s="1120"/>
      <c r="O46" s="1120"/>
      <c r="P46" s="3394" t="str">
        <f>A46</f>
        <v>成交单价</v>
      </c>
      <c r="Q46" s="3394"/>
      <c r="R46" s="3395">
        <f>E46</f>
        <v>0</v>
      </c>
      <c r="S46" s="3395"/>
      <c r="T46" s="3395">
        <f>G46</f>
        <v>0</v>
      </c>
      <c r="U46" s="3395"/>
      <c r="V46" s="3395">
        <f>I46</f>
        <v>0</v>
      </c>
      <c r="W46" s="3395"/>
      <c r="X46" s="1160"/>
      <c r="Y46" s="1233"/>
      <c r="Z46" s="1160"/>
      <c r="AA46" s="1160"/>
      <c r="AB46" s="1160"/>
      <c r="AC46" s="1160"/>
    </row>
    <row r="47" spans="1:29" ht="15">
      <c r="A47" s="1111" t="s">
        <v>1568</v>
      </c>
      <c r="B47" s="1112"/>
      <c r="C47" s="1113" t="e">
        <f>R48</f>
        <v>#DIV/0!</v>
      </c>
      <c r="D47" s="1114" t="s">
        <v>1569</v>
      </c>
      <c r="E47" s="1113" t="e">
        <f>R47</f>
        <v>#DIV/0!</v>
      </c>
      <c r="F47" s="1115"/>
      <c r="G47" s="1116" t="e">
        <f>T47</f>
        <v>#DIV/0!</v>
      </c>
      <c r="H47" s="1115"/>
      <c r="I47" s="1113" t="e">
        <f>V47</f>
        <v>#DIV/0!</v>
      </c>
      <c r="J47" s="1115"/>
      <c r="K47" s="1200">
        <f>F47+H47+J47</f>
        <v>0</v>
      </c>
      <c r="L47" s="1199"/>
      <c r="M47" s="1120"/>
      <c r="N47" s="1120"/>
      <c r="O47" s="1120"/>
      <c r="P47" s="3394" t="str">
        <f>A47</f>
        <v>比较价值（元/平方米）</v>
      </c>
      <c r="Q47" s="3394"/>
      <c r="R47" s="3441" t="e">
        <f>ROUND(PRODUCT(R46,AA7:AA45),0)</f>
        <v>#DIV/0!</v>
      </c>
      <c r="S47" s="3441"/>
      <c r="T47" s="3441" t="e">
        <f>ROUND(PRODUCT(T46,AB7:AB45),0)</f>
        <v>#DIV/0!</v>
      </c>
      <c r="U47" s="3441"/>
      <c r="V47" s="3441" t="e">
        <f>ROUND(PRODUCT(V46,AC7:AC45),0)</f>
        <v>#DIV/0!</v>
      </c>
      <c r="W47" s="3441"/>
      <c r="X47" s="1160"/>
      <c r="Y47" s="1160"/>
      <c r="Z47" s="1160"/>
      <c r="AA47" s="1160"/>
      <c r="AB47" s="1160"/>
      <c r="AC47" s="1160"/>
    </row>
    <row r="48" spans="1:29" ht="15">
      <c r="A48" s="1117" t="s">
        <v>1661</v>
      </c>
      <c r="B48" s="1118"/>
      <c r="C48" s="1119" t="e">
        <f>R48</f>
        <v>#DIV/0!</v>
      </c>
      <c r="D48" s="1119"/>
      <c r="E48" s="1119"/>
      <c r="F48" s="1119"/>
      <c r="G48" s="1119"/>
      <c r="H48" s="1119"/>
      <c r="I48" s="1119"/>
      <c r="J48" s="1119"/>
      <c r="K48" s="1201"/>
      <c r="L48" s="1199"/>
      <c r="M48" s="1120"/>
      <c r="N48" s="1120"/>
      <c r="O48" s="1120"/>
      <c r="P48" s="3396" t="str">
        <f>A48</f>
        <v>估价对象XX用房的比较价值（楼面单价，元/平方米）</v>
      </c>
      <c r="Q48" s="3397"/>
      <c r="R48" s="3442" t="e">
        <f>ROUND(IF(D47="简单平均",AVERAGE(R47:W47),R47*F47+T47*H47+V47*J47),0)</f>
        <v>#DIV/0!</v>
      </c>
      <c r="S48" s="3442"/>
      <c r="T48" s="3442"/>
      <c r="U48" s="3442"/>
      <c r="V48" s="3442"/>
      <c r="W48" s="3442"/>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1571</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1572</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1573</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1662</v>
      </c>
      <c r="B55" s="1130" t="s">
        <v>1663</v>
      </c>
      <c r="C55" s="1131" t="s">
        <v>1664</v>
      </c>
      <c r="D55" s="1132" t="s">
        <v>1665</v>
      </c>
      <c r="E55" s="1133" t="s">
        <v>1666</v>
      </c>
      <c r="F55" s="1346" t="s">
        <v>1667</v>
      </c>
      <c r="G55" s="3379" t="s">
        <v>1668</v>
      </c>
      <c r="H55" s="3443"/>
      <c r="I55" s="1350" t="s">
        <v>1669</v>
      </c>
      <c r="J55" s="1351">
        <f>项目基本情况!F35</f>
        <v>0</v>
      </c>
      <c r="K55" s="1208" t="s">
        <v>1670</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1671</v>
      </c>
      <c r="B56" s="1136" t="e">
        <f>C48</f>
        <v>#DIV/0!</v>
      </c>
      <c r="C56" s="1137">
        <v>1</v>
      </c>
      <c r="D56" s="1138">
        <v>1</v>
      </c>
      <c r="E56" s="1137">
        <f>'数据-汇总表'!E8+'数据-汇总表'!E9</f>
        <v>12749.85</v>
      </c>
      <c r="F56" s="1347" t="e">
        <f t="shared" ref="F56:F64" si="15">ROUND(B56*E56/10000,0)</f>
        <v>#DIV/0!</v>
      </c>
      <c r="G56" s="3399"/>
      <c r="H56" s="3394"/>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1672</v>
      </c>
      <c r="B57" s="362" t="e">
        <f>ROUND($C$48*C57*D57,0)</f>
        <v>#DIV/0!</v>
      </c>
      <c r="C57" s="511">
        <f t="shared" ref="C57:C64" si="16">IF($C$55="北京市系数",I57,J57)</f>
        <v>0</v>
      </c>
      <c r="D57" s="1141">
        <v>0.25</v>
      </c>
      <c r="E57" s="1142"/>
      <c r="F57" s="1347" t="e">
        <f t="shared" si="15"/>
        <v>#DIV/0!</v>
      </c>
      <c r="G57" s="1143" t="s">
        <v>1673</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1674</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1675</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1676</v>
      </c>
      <c r="B60" s="362" t="e">
        <f t="shared" si="17"/>
        <v>#DIV/0!</v>
      </c>
      <c r="C60" s="511">
        <f t="shared" si="16"/>
        <v>0</v>
      </c>
      <c r="D60" s="1141">
        <v>0.25</v>
      </c>
      <c r="E60" s="361">
        <f>'数据-汇总表'!E11</f>
        <v>0</v>
      </c>
      <c r="F60" s="1347" t="e">
        <f t="shared" si="15"/>
        <v>#DIV/0!</v>
      </c>
      <c r="G60" s="1147" t="s">
        <v>1677</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1678</v>
      </c>
      <c r="B61" s="362" t="e">
        <f t="shared" si="17"/>
        <v>#DIV/0!</v>
      </c>
      <c r="C61" s="511">
        <f t="shared" si="16"/>
        <v>0</v>
      </c>
      <c r="D61" s="1141">
        <v>0.25</v>
      </c>
      <c r="E61" s="361">
        <f>'数据-汇总表'!E12</f>
        <v>0</v>
      </c>
      <c r="F61" s="1347" t="e">
        <f t="shared" si="15"/>
        <v>#DIV/0!</v>
      </c>
      <c r="G61" s="1148" t="s">
        <v>1679</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1680</v>
      </c>
      <c r="B62" s="362" t="e">
        <f t="shared" si="17"/>
        <v>#DIV/0!</v>
      </c>
      <c r="C62" s="511">
        <f t="shared" si="16"/>
        <v>0</v>
      </c>
      <c r="D62" s="1141">
        <v>0.25</v>
      </c>
      <c r="E62" s="361">
        <f>'数据-汇总表'!E13</f>
        <v>0</v>
      </c>
      <c r="F62" s="1347" t="e">
        <f t="shared" si="15"/>
        <v>#DIV/0!</v>
      </c>
      <c r="G62" s="1148" t="s">
        <v>1681</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1682</v>
      </c>
      <c r="B63" s="362" t="e">
        <f t="shared" si="17"/>
        <v>#DIV/0!</v>
      </c>
      <c r="C63" s="511">
        <f t="shared" si="16"/>
        <v>0</v>
      </c>
      <c r="D63" s="1141">
        <v>0.25</v>
      </c>
      <c r="E63" s="361">
        <f>'数据-汇总表'!E14</f>
        <v>0</v>
      </c>
      <c r="F63" s="1347" t="e">
        <f t="shared" si="15"/>
        <v>#DIV/0!</v>
      </c>
      <c r="G63" s="1147" t="s">
        <v>1673</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1683</v>
      </c>
      <c r="B64" s="362" t="e">
        <f t="shared" si="17"/>
        <v>#DIV/0!</v>
      </c>
      <c r="C64" s="511">
        <f t="shared" si="16"/>
        <v>0</v>
      </c>
      <c r="D64" s="1141">
        <v>0.25</v>
      </c>
      <c r="E64" s="361">
        <f>'数据-汇总表'!E15</f>
        <v>0</v>
      </c>
      <c r="F64" s="1347" t="e">
        <f t="shared" si="15"/>
        <v>#DIV/0!</v>
      </c>
      <c r="G64" s="1149" t="s">
        <v>1677</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1684</v>
      </c>
      <c r="B65" s="1152" t="s">
        <v>1685</v>
      </c>
      <c r="C65" s="1152" t="s">
        <v>1685</v>
      </c>
      <c r="D65" s="1152" t="s">
        <v>1685</v>
      </c>
      <c r="E65" s="1152">
        <f>IF(B46="楼面地价",SUM(E56:E64),'数据-汇总表'!D3)</f>
        <v>12749.85</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1574</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1686</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1687</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1575</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1537</v>
      </c>
      <c r="B72" s="1245"/>
      <c r="C72" s="1246" t="s">
        <v>1576</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1577</v>
      </c>
      <c r="B74" s="1250" t="s">
        <v>1540</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1543</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1544</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1545</v>
      </c>
      <c r="B87" s="1250" t="s">
        <v>1546</v>
      </c>
      <c r="C87" s="1270" t="s">
        <v>1578</v>
      </c>
      <c r="D87" s="1270" t="s">
        <v>1579</v>
      </c>
      <c r="E87" s="1270" t="s">
        <v>1580</v>
      </c>
      <c r="F87" s="1270" t="s">
        <v>1581</v>
      </c>
      <c r="G87" s="1270" t="s">
        <v>1582</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1609</v>
      </c>
      <c r="C89" s="1271" t="s">
        <v>1578</v>
      </c>
      <c r="D89" s="1271" t="s">
        <v>1579</v>
      </c>
      <c r="E89" s="1271" t="s">
        <v>1580</v>
      </c>
      <c r="F89" s="1271" t="s">
        <v>1581</v>
      </c>
      <c r="G89" s="1271" t="s">
        <v>1582</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1621</v>
      </c>
      <c r="C91" s="1271" t="s">
        <v>1578</v>
      </c>
      <c r="D91" s="1271" t="s">
        <v>1579</v>
      </c>
      <c r="E91" s="1271" t="s">
        <v>1580</v>
      </c>
      <c r="F91" s="1271" t="s">
        <v>1581</v>
      </c>
      <c r="G91" s="1271" t="s">
        <v>1582</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1548</v>
      </c>
      <c r="C93" s="1271" t="s">
        <v>1578</v>
      </c>
      <c r="D93" s="1271" t="s">
        <v>1579</v>
      </c>
      <c r="E93" s="1271" t="s">
        <v>1580</v>
      </c>
      <c r="F93" s="1271" t="s">
        <v>1581</v>
      </c>
      <c r="G93" s="1271" t="s">
        <v>1582</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1652</v>
      </c>
      <c r="C95" s="1271" t="s">
        <v>1578</v>
      </c>
      <c r="D95" s="1271" t="s">
        <v>1579</v>
      </c>
      <c r="E95" s="1271" t="s">
        <v>1580</v>
      </c>
      <c r="F95" s="1271" t="s">
        <v>1581</v>
      </c>
      <c r="G95" s="1271" t="s">
        <v>1582</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1653</v>
      </c>
      <c r="C97" s="1270" t="s">
        <v>1578</v>
      </c>
      <c r="D97" s="1270" t="s">
        <v>1579</v>
      </c>
      <c r="E97" s="1270" t="s">
        <v>1580</v>
      </c>
      <c r="F97" s="1270" t="s">
        <v>1581</v>
      </c>
      <c r="G97" s="1270" t="s">
        <v>1582</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1549</v>
      </c>
      <c r="C99" s="1270" t="s">
        <v>1578</v>
      </c>
      <c r="D99" s="1270" t="s">
        <v>1579</v>
      </c>
      <c r="E99" s="1270" t="s">
        <v>1580</v>
      </c>
      <c r="F99" s="1270" t="s">
        <v>1581</v>
      </c>
      <c r="G99" s="1270" t="s">
        <v>1582</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1550</v>
      </c>
      <c r="C101" s="1188" t="s">
        <v>1583</v>
      </c>
      <c r="D101" s="1188" t="s">
        <v>1584</v>
      </c>
      <c r="E101" s="1188" t="s">
        <v>1585</v>
      </c>
      <c r="F101" s="1188" t="s">
        <v>1586</v>
      </c>
      <c r="G101" s="1188" t="s">
        <v>1587</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1688</v>
      </c>
      <c r="D103" s="1254" t="s">
        <v>1689</v>
      </c>
      <c r="E103" s="1254" t="s">
        <v>1690</v>
      </c>
      <c r="F103" s="1254" t="s">
        <v>1691</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1623</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1654</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1554</v>
      </c>
      <c r="B115" s="1250" t="s">
        <v>1655</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1656</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1657</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1658</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1659</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1649</v>
      </c>
      <c r="B1" s="1014"/>
      <c r="C1" s="1015" t="s">
        <v>1627</v>
      </c>
      <c r="D1" s="1016"/>
      <c r="E1" s="1016"/>
      <c r="F1" s="1017" t="s">
        <v>1519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1037</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1039</v>
      </c>
      <c r="B3" s="1021" t="e">
        <f>ROUND(IF(D3="",B2*10000/'数据-汇总表'!E3,B2*10000/D3),0)</f>
        <v>#DIV/0!</v>
      </c>
      <c r="C3" s="348" t="s">
        <v>1520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1521</v>
      </c>
      <c r="B4" s="1024"/>
      <c r="C4" s="3379" t="s">
        <v>1522</v>
      </c>
      <c r="D4" s="3380"/>
      <c r="E4" s="3381" t="s">
        <v>1523</v>
      </c>
      <c r="F4" s="3382"/>
      <c r="G4" s="3379" t="s">
        <v>1524</v>
      </c>
      <c r="H4" s="3380"/>
      <c r="I4" s="3379" t="s">
        <v>1525</v>
      </c>
      <c r="J4" s="3380"/>
      <c r="K4" s="1169" t="s">
        <v>1526</v>
      </c>
      <c r="L4" s="1170"/>
      <c r="M4" s="1120"/>
      <c r="N4" s="1120"/>
      <c r="O4" s="1120"/>
      <c r="P4" s="3412" t="s">
        <v>1527</v>
      </c>
      <c r="Q4" s="3413"/>
      <c r="R4" s="3418" t="s">
        <v>1523</v>
      </c>
      <c r="S4" s="3419"/>
      <c r="T4" s="3418" t="s">
        <v>1524</v>
      </c>
      <c r="U4" s="3419"/>
      <c r="V4" s="3395" t="s">
        <v>1525</v>
      </c>
      <c r="W4" s="3395"/>
      <c r="X4" s="1218"/>
      <c r="Y4" s="3418" t="s">
        <v>1527</v>
      </c>
      <c r="Z4" s="3419"/>
      <c r="AA4" s="3409" t="s">
        <v>1523</v>
      </c>
      <c r="AB4" s="3410" t="s">
        <v>1524</v>
      </c>
      <c r="AC4" s="3409" t="s">
        <v>1525</v>
      </c>
    </row>
    <row r="5" spans="1:29" ht="15">
      <c r="A5" s="1027"/>
      <c r="B5" s="1028"/>
      <c r="C5" s="3383" t="s">
        <v>1528</v>
      </c>
      <c r="D5" s="3384"/>
      <c r="E5" s="3385" t="s">
        <v>1529</v>
      </c>
      <c r="F5" s="3386"/>
      <c r="G5" s="3383" t="s">
        <v>1530</v>
      </c>
      <c r="H5" s="3384"/>
      <c r="I5" s="3383" t="s">
        <v>1531</v>
      </c>
      <c r="J5" s="3384"/>
      <c r="K5" s="1169"/>
      <c r="L5" s="1170"/>
      <c r="M5" s="1120"/>
      <c r="N5" s="1120"/>
      <c r="O5" s="1120"/>
      <c r="P5" s="3414"/>
      <c r="Q5" s="3415"/>
      <c r="R5" s="3420"/>
      <c r="S5" s="3421"/>
      <c r="T5" s="3420"/>
      <c r="U5" s="3421"/>
      <c r="V5" s="3395"/>
      <c r="W5" s="3395"/>
      <c r="X5" s="1218"/>
      <c r="Y5" s="3420"/>
      <c r="Z5" s="3421"/>
      <c r="AA5" s="3410"/>
      <c r="AB5" s="3410"/>
      <c r="AC5" s="3410"/>
    </row>
    <row r="6" spans="1:29" ht="15">
      <c r="A6" s="1029"/>
      <c r="B6" s="1030"/>
      <c r="C6" s="3444" t="s">
        <v>1692</v>
      </c>
      <c r="D6" s="3445"/>
      <c r="E6" s="3446" t="s">
        <v>1692</v>
      </c>
      <c r="F6" s="3447"/>
      <c r="G6" s="3444" t="s">
        <v>1692</v>
      </c>
      <c r="H6" s="3445"/>
      <c r="I6" s="3444" t="s">
        <v>1692</v>
      </c>
      <c r="J6" s="3445"/>
      <c r="K6" s="1169" t="s">
        <v>1533</v>
      </c>
      <c r="L6" s="1170"/>
      <c r="M6" s="1120"/>
      <c r="N6" s="1120"/>
      <c r="O6" s="1120"/>
      <c r="P6" s="3416"/>
      <c r="Q6" s="3417"/>
      <c r="R6" s="3420"/>
      <c r="S6" s="3421"/>
      <c r="T6" s="3422"/>
      <c r="U6" s="3423"/>
      <c r="V6" s="3395"/>
      <c r="W6" s="3395"/>
      <c r="X6" s="1218"/>
      <c r="Y6" s="3422"/>
      <c r="Z6" s="3423"/>
      <c r="AA6" s="3411"/>
      <c r="AB6" s="3411"/>
      <c r="AC6" s="3411"/>
    </row>
    <row r="7" spans="1:29" s="1004" customFormat="1" ht="15">
      <c r="A7" s="1032" t="s">
        <v>1534</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91" t="s">
        <v>1535</v>
      </c>
      <c r="Q7" s="3392"/>
      <c r="R7" s="1219" t="s">
        <v>1536</v>
      </c>
      <c r="S7" s="1220">
        <f t="shared" ref="S7:S15" si="0">F7</f>
        <v>0</v>
      </c>
      <c r="T7" s="1219" t="s">
        <v>1536</v>
      </c>
      <c r="U7" s="1220">
        <f t="shared" ref="U7:U15" si="1">H7</f>
        <v>0</v>
      </c>
      <c r="V7" s="1219" t="s">
        <v>1536</v>
      </c>
      <c r="W7" s="1220">
        <f t="shared" ref="W7:W15" si="2">J7</f>
        <v>0</v>
      </c>
      <c r="X7" s="1221"/>
      <c r="Y7" s="3391" t="s">
        <v>1535</v>
      </c>
      <c r="Z7" s="3393"/>
      <c r="AA7" s="1231" t="e">
        <f>D7/F7</f>
        <v>#DIV/0!</v>
      </c>
      <c r="AB7" s="1231" t="e">
        <f>D7/H7</f>
        <v>#DIV/0!</v>
      </c>
      <c r="AC7" s="1231" t="e">
        <f>D7/J7</f>
        <v>#DIV/0!</v>
      </c>
    </row>
    <row r="8" spans="1:29" s="1004" customFormat="1" ht="15">
      <c r="A8" s="1032" t="s">
        <v>1537</v>
      </c>
      <c r="B8" s="1033"/>
      <c r="C8" s="1039" t="s">
        <v>1576</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91" t="s">
        <v>1538</v>
      </c>
      <c r="Q8" s="3393"/>
      <c r="R8" s="1219" t="s">
        <v>1536</v>
      </c>
      <c r="S8" s="1220">
        <f t="shared" si="0"/>
        <v>0</v>
      </c>
      <c r="T8" s="1219" t="s">
        <v>1536</v>
      </c>
      <c r="U8" s="1220">
        <f t="shared" si="1"/>
        <v>0</v>
      </c>
      <c r="V8" s="1219" t="s">
        <v>1536</v>
      </c>
      <c r="W8" s="1220">
        <f t="shared" si="2"/>
        <v>0</v>
      </c>
      <c r="X8" s="1221"/>
      <c r="Y8" s="3391" t="s">
        <v>1538</v>
      </c>
      <c r="Z8" s="3393"/>
      <c r="AA8" s="1231" t="e">
        <f t="shared" ref="AA8:AA40" si="3">D8/F8</f>
        <v>#DIV/0!</v>
      </c>
      <c r="AB8" s="1231" t="e">
        <f t="shared" ref="AB8:AB40" si="4">D8/H8</f>
        <v>#DIV/0!</v>
      </c>
      <c r="AC8" s="1231" t="e">
        <f t="shared" ref="AC8:AC40" si="5">D8/J8</f>
        <v>#DIV/0!</v>
      </c>
    </row>
    <row r="9" spans="1:29" s="1004" customFormat="1">
      <c r="A9" s="1040" t="s">
        <v>1539</v>
      </c>
      <c r="B9" s="1041" t="s">
        <v>1540</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94" t="s">
        <v>1541</v>
      </c>
      <c r="Q9" s="790" t="str">
        <f t="shared" ref="Q9:Q15" si="6">B9</f>
        <v>用途</v>
      </c>
      <c r="R9" s="1219" t="s">
        <v>1536</v>
      </c>
      <c r="S9" s="1220">
        <f t="shared" si="0"/>
        <v>100</v>
      </c>
      <c r="T9" s="1219" t="s">
        <v>1536</v>
      </c>
      <c r="U9" s="1220">
        <f t="shared" si="1"/>
        <v>100</v>
      </c>
      <c r="V9" s="1219" t="s">
        <v>1536</v>
      </c>
      <c r="W9" s="1220">
        <f t="shared" si="2"/>
        <v>100</v>
      </c>
      <c r="X9" s="1221"/>
      <c r="Y9" s="3331" t="s">
        <v>1542</v>
      </c>
      <c r="Z9" s="1231" t="str">
        <f t="shared" ref="Z9:Z15" si="7">Q9</f>
        <v>用途</v>
      </c>
      <c r="AA9" s="1231">
        <f t="shared" si="3"/>
        <v>1</v>
      </c>
      <c r="AB9" s="1231">
        <f t="shared" si="4"/>
        <v>1</v>
      </c>
      <c r="AC9" s="1231">
        <f t="shared" si="5"/>
        <v>1</v>
      </c>
    </row>
    <row r="10" spans="1:29" s="1005" customFormat="1" ht="27">
      <c r="A10" s="1044"/>
      <c r="B10" s="1045" t="s">
        <v>1543</v>
      </c>
      <c r="C10" s="1046"/>
      <c r="D10" s="1047">
        <v>100</v>
      </c>
      <c r="E10" s="1046"/>
      <c r="F10" s="1047">
        <f>ROUND(100/'数据-取费表'!G16,0)</f>
        <v>125</v>
      </c>
      <c r="G10" s="1046"/>
      <c r="H10" s="1047">
        <f>ROUND(100/'数据-取费表'!G16,0)</f>
        <v>125</v>
      </c>
      <c r="I10" s="1046"/>
      <c r="J10" s="1047">
        <f>ROUND(100/'数据-取费表'!G16,0)</f>
        <v>125</v>
      </c>
      <c r="K10" s="1179"/>
      <c r="L10" s="1180"/>
      <c r="M10" s="1181"/>
      <c r="N10" s="1181"/>
      <c r="O10" s="1182"/>
      <c r="P10" s="3394"/>
      <c r="Q10" s="790" t="str">
        <f t="shared" si="6"/>
        <v>土地使用年限（年）</v>
      </c>
      <c r="R10" s="1219" t="s">
        <v>1536</v>
      </c>
      <c r="S10" s="1220">
        <f t="shared" si="0"/>
        <v>125</v>
      </c>
      <c r="T10" s="1219" t="s">
        <v>1536</v>
      </c>
      <c r="U10" s="1220">
        <f t="shared" si="1"/>
        <v>125</v>
      </c>
      <c r="V10" s="1219" t="s">
        <v>1536</v>
      </c>
      <c r="W10" s="1220">
        <f t="shared" si="2"/>
        <v>125</v>
      </c>
      <c r="X10" s="1221"/>
      <c r="Y10" s="3331"/>
      <c r="Z10" s="1231" t="str">
        <f t="shared" si="7"/>
        <v>土地使用年限（年）</v>
      </c>
      <c r="AA10" s="1231">
        <f t="shared" si="3"/>
        <v>0.8</v>
      </c>
      <c r="AB10" s="1231">
        <f t="shared" si="4"/>
        <v>0.8</v>
      </c>
      <c r="AC10" s="1231">
        <f t="shared" si="5"/>
        <v>0.8</v>
      </c>
    </row>
    <row r="11" spans="1:29" ht="15">
      <c r="A11" s="1048"/>
      <c r="B11" s="1045" t="s">
        <v>1544</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94"/>
      <c r="Q11" s="790" t="str">
        <f t="shared" si="6"/>
        <v>容积率</v>
      </c>
      <c r="R11" s="1219" t="s">
        <v>1536</v>
      </c>
      <c r="S11" s="1220" t="e">
        <f t="shared" si="0"/>
        <v>#N/A</v>
      </c>
      <c r="T11" s="1219" t="s">
        <v>1536</v>
      </c>
      <c r="U11" s="1220" t="e">
        <f t="shared" si="1"/>
        <v>#N/A</v>
      </c>
      <c r="V11" s="1219" t="s">
        <v>1536</v>
      </c>
      <c r="W11" s="1220" t="e">
        <f t="shared" si="2"/>
        <v>#N/A</v>
      </c>
      <c r="X11" s="1221"/>
      <c r="Y11" s="333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94"/>
      <c r="Q12" s="790">
        <f t="shared" si="6"/>
        <v>111</v>
      </c>
      <c r="R12" s="1219" t="s">
        <v>1536</v>
      </c>
      <c r="S12" s="1220">
        <f t="shared" si="0"/>
        <v>100</v>
      </c>
      <c r="T12" s="1219" t="s">
        <v>1536</v>
      </c>
      <c r="U12" s="1220">
        <f t="shared" si="1"/>
        <v>100</v>
      </c>
      <c r="V12" s="1219" t="s">
        <v>1536</v>
      </c>
      <c r="W12" s="1220">
        <f t="shared" si="2"/>
        <v>100</v>
      </c>
      <c r="X12" s="1221"/>
      <c r="Y12" s="3331"/>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94"/>
      <c r="Q13" s="790">
        <f t="shared" si="6"/>
        <v>111</v>
      </c>
      <c r="R13" s="1219" t="s">
        <v>1536</v>
      </c>
      <c r="S13" s="1220">
        <f t="shared" si="0"/>
        <v>100</v>
      </c>
      <c r="T13" s="1219" t="s">
        <v>1536</v>
      </c>
      <c r="U13" s="1220">
        <f t="shared" si="1"/>
        <v>100</v>
      </c>
      <c r="V13" s="1219" t="s">
        <v>1536</v>
      </c>
      <c r="W13" s="1220">
        <f t="shared" si="2"/>
        <v>100</v>
      </c>
      <c r="X13" s="1221"/>
      <c r="Y13" s="3331"/>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94"/>
      <c r="Q14" s="790">
        <f t="shared" si="6"/>
        <v>111</v>
      </c>
      <c r="R14" s="1219" t="s">
        <v>1536</v>
      </c>
      <c r="S14" s="1220">
        <f t="shared" si="0"/>
        <v>100</v>
      </c>
      <c r="T14" s="1219" t="s">
        <v>1536</v>
      </c>
      <c r="U14" s="1220">
        <f t="shared" si="1"/>
        <v>100</v>
      </c>
      <c r="V14" s="1219" t="s">
        <v>1536</v>
      </c>
      <c r="W14" s="1220">
        <f t="shared" si="2"/>
        <v>100</v>
      </c>
      <c r="X14" s="1221"/>
      <c r="Y14" s="3331"/>
      <c r="Z14" s="1231">
        <f t="shared" si="7"/>
        <v>111</v>
      </c>
      <c r="AA14" s="1231">
        <f t="shared" si="3"/>
        <v>1</v>
      </c>
      <c r="AB14" s="1231">
        <f t="shared" si="4"/>
        <v>1</v>
      </c>
      <c r="AC14" s="1231">
        <f t="shared" si="5"/>
        <v>1</v>
      </c>
    </row>
    <row r="15" spans="1:29" ht="57">
      <c r="A15" s="1061" t="s">
        <v>1545</v>
      </c>
      <c r="B15" s="1062" t="s">
        <v>1628</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05" t="s">
        <v>1547</v>
      </c>
      <c r="Q15" s="621" t="str">
        <f t="shared" si="6"/>
        <v>产业集聚程度</v>
      </c>
      <c r="R15" s="1223" t="s">
        <v>1536</v>
      </c>
      <c r="S15" s="1224">
        <f t="shared" si="0"/>
        <v>100</v>
      </c>
      <c r="T15" s="1223" t="s">
        <v>1536</v>
      </c>
      <c r="U15" s="1224">
        <f t="shared" si="1"/>
        <v>100</v>
      </c>
      <c r="V15" s="1223" t="s">
        <v>1536</v>
      </c>
      <c r="W15" s="1224">
        <f t="shared" si="2"/>
        <v>100</v>
      </c>
      <c r="X15" s="1218"/>
      <c r="Y15" s="3405" t="s">
        <v>1547</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06"/>
      <c r="Q16" s="621"/>
      <c r="R16" s="1223"/>
      <c r="S16" s="1224"/>
      <c r="T16" s="1223"/>
      <c r="U16" s="1224"/>
      <c r="V16" s="1223"/>
      <c r="W16" s="1224"/>
      <c r="X16" s="1218"/>
      <c r="Y16" s="3406"/>
      <c r="Z16" s="1207"/>
      <c r="AA16" s="1207">
        <v>1</v>
      </c>
      <c r="AB16" s="1207">
        <v>1</v>
      </c>
      <c r="AC16" s="1207">
        <v>1</v>
      </c>
    </row>
    <row r="17" spans="1:29" ht="85.5">
      <c r="A17" s="1048"/>
      <c r="B17" s="1071" t="s">
        <v>1548</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06"/>
      <c r="Q17" s="621" t="str">
        <f>B17</f>
        <v>交通便捷度</v>
      </c>
      <c r="R17" s="1223" t="s">
        <v>1536</v>
      </c>
      <c r="S17" s="1224">
        <f>F17</f>
        <v>100</v>
      </c>
      <c r="T17" s="1223" t="s">
        <v>1536</v>
      </c>
      <c r="U17" s="1224">
        <f>H17</f>
        <v>100</v>
      </c>
      <c r="V17" s="1223" t="s">
        <v>1536</v>
      </c>
      <c r="W17" s="1224">
        <f>J17</f>
        <v>100</v>
      </c>
      <c r="X17" s="1218"/>
      <c r="Y17" s="3406"/>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06"/>
      <c r="Q18" s="621"/>
      <c r="R18" s="1223"/>
      <c r="S18" s="1224"/>
      <c r="T18" s="1223"/>
      <c r="U18" s="1224"/>
      <c r="V18" s="1223"/>
      <c r="W18" s="1224"/>
      <c r="X18" s="1218"/>
      <c r="Y18" s="3406"/>
      <c r="Z18" s="1207"/>
      <c r="AA18" s="1207">
        <v>1</v>
      </c>
      <c r="AB18" s="1207">
        <v>1</v>
      </c>
      <c r="AC18" s="1207">
        <v>1</v>
      </c>
    </row>
    <row r="19" spans="1:29" ht="15">
      <c r="A19" s="1048"/>
      <c r="B19" s="1071" t="s">
        <v>1652</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06"/>
      <c r="Q19" s="621" t="str">
        <f t="shared" ref="Q19:Q34" si="8">B19</f>
        <v>区域土地利用方向</v>
      </c>
      <c r="R19" s="1223" t="s">
        <v>1536</v>
      </c>
      <c r="S19" s="1224">
        <f>F19</f>
        <v>100</v>
      </c>
      <c r="T19" s="1223" t="s">
        <v>1536</v>
      </c>
      <c r="U19" s="1224">
        <f>H19</f>
        <v>100</v>
      </c>
      <c r="V19" s="1223" t="s">
        <v>1536</v>
      </c>
      <c r="W19" s="1224">
        <f>J19</f>
        <v>100</v>
      </c>
      <c r="X19" s="1218"/>
      <c r="Y19" s="3406"/>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06"/>
      <c r="Q20" s="621"/>
      <c r="R20" s="1223"/>
      <c r="S20" s="1224"/>
      <c r="T20" s="1223"/>
      <c r="U20" s="1224"/>
      <c r="V20" s="1223"/>
      <c r="W20" s="1224"/>
      <c r="X20" s="1218"/>
      <c r="Y20" s="3406"/>
      <c r="Z20" s="1207"/>
      <c r="AA20" s="1207"/>
      <c r="AB20" s="1207"/>
      <c r="AC20" s="1207"/>
    </row>
    <row r="21" spans="1:29" ht="71.25">
      <c r="A21" s="1027"/>
      <c r="B21" s="1071" t="s">
        <v>1693</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06"/>
      <c r="Q21" s="621" t="str">
        <f t="shared" si="8"/>
        <v>环境状况</v>
      </c>
      <c r="R21" s="1223" t="s">
        <v>1536</v>
      </c>
      <c r="S21" s="1224">
        <f>F21</f>
        <v>100</v>
      </c>
      <c r="T21" s="1223" t="s">
        <v>1536</v>
      </c>
      <c r="U21" s="1224">
        <f>H21</f>
        <v>100</v>
      </c>
      <c r="V21" s="1223" t="s">
        <v>1536</v>
      </c>
      <c r="W21" s="1224">
        <f>J21</f>
        <v>100</v>
      </c>
      <c r="X21" s="1218"/>
      <c r="Y21" s="3406"/>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06"/>
      <c r="Q22" s="621"/>
      <c r="R22" s="1223"/>
      <c r="S22" s="1224"/>
      <c r="T22" s="1223"/>
      <c r="U22" s="1224"/>
      <c r="V22" s="1223"/>
      <c r="W22" s="1224"/>
      <c r="X22" s="1218"/>
      <c r="Y22" s="3406"/>
      <c r="Z22" s="1207"/>
      <c r="AA22" s="1207">
        <v>1</v>
      </c>
      <c r="AB22" s="1207">
        <v>1</v>
      </c>
      <c r="AC22" s="1207">
        <v>1</v>
      </c>
    </row>
    <row r="23" spans="1:29" s="1004" customFormat="1" ht="42.75">
      <c r="A23" s="1077"/>
      <c r="B23" s="1078" t="s">
        <v>1549</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06"/>
      <c r="Q23" s="790" t="str">
        <f t="shared" si="8"/>
        <v>公共配套设施</v>
      </c>
      <c r="R23" s="1219" t="s">
        <v>1536</v>
      </c>
      <c r="S23" s="1220">
        <f>F23</f>
        <v>100</v>
      </c>
      <c r="T23" s="1219" t="s">
        <v>1536</v>
      </c>
      <c r="U23" s="1220">
        <f>H23</f>
        <v>100</v>
      </c>
      <c r="V23" s="1219" t="s">
        <v>1536</v>
      </c>
      <c r="W23" s="1220">
        <f>J23</f>
        <v>100</v>
      </c>
      <c r="X23" s="1221"/>
      <c r="Y23" s="3406"/>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06"/>
      <c r="Q24" s="790"/>
      <c r="R24" s="1219"/>
      <c r="S24" s="1220"/>
      <c r="T24" s="1219"/>
      <c r="U24" s="1220"/>
      <c r="V24" s="1219"/>
      <c r="W24" s="1220"/>
      <c r="X24" s="1221"/>
      <c r="Y24" s="3406"/>
      <c r="Z24" s="1231"/>
      <c r="AA24" s="1231">
        <v>1</v>
      </c>
      <c r="AB24" s="1231">
        <v>1</v>
      </c>
      <c r="AC24" s="1231">
        <v>1</v>
      </c>
    </row>
    <row r="25" spans="1:29" s="1004" customFormat="1" ht="28.5">
      <c r="A25" s="1077"/>
      <c r="B25" s="1078" t="s">
        <v>1550</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06"/>
      <c r="Q25" s="790" t="str">
        <f t="shared" ref="Q25" si="9">B25</f>
        <v>基础设施水平</v>
      </c>
      <c r="R25" s="1219" t="s">
        <v>1536</v>
      </c>
      <c r="S25" s="1220">
        <f>F25</f>
        <v>100</v>
      </c>
      <c r="T25" s="1219" t="s">
        <v>1536</v>
      </c>
      <c r="U25" s="1220">
        <f>H25</f>
        <v>100</v>
      </c>
      <c r="V25" s="1219" t="s">
        <v>1536</v>
      </c>
      <c r="W25" s="1220">
        <f>J25</f>
        <v>100</v>
      </c>
      <c r="X25" s="1221"/>
      <c r="Y25" s="3406"/>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06"/>
      <c r="Q26" s="790"/>
      <c r="R26" s="1219"/>
      <c r="S26" s="1220"/>
      <c r="T26" s="1219"/>
      <c r="U26" s="1220"/>
      <c r="V26" s="1219"/>
      <c r="W26" s="1220"/>
      <c r="X26" s="1221"/>
      <c r="Y26" s="3406"/>
      <c r="Z26" s="1231"/>
      <c r="AA26" s="1231">
        <v>1</v>
      </c>
      <c r="AB26" s="1231">
        <v>1</v>
      </c>
      <c r="AC26" s="1231">
        <v>1</v>
      </c>
    </row>
    <row r="27" spans="1:29" ht="15">
      <c r="A27" s="1048"/>
      <c r="B27" s="1075" t="s">
        <v>1610</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06"/>
      <c r="Q27" s="621" t="str">
        <f t="shared" si="8"/>
        <v>临街状况</v>
      </c>
      <c r="R27" s="1223" t="s">
        <v>1536</v>
      </c>
      <c r="S27" s="1224">
        <f t="shared" ref="S27:S40" si="10">F27</f>
        <v>100</v>
      </c>
      <c r="T27" s="1223" t="s">
        <v>1536</v>
      </c>
      <c r="U27" s="1224">
        <f t="shared" ref="U27:U40" si="11">H27</f>
        <v>100</v>
      </c>
      <c r="V27" s="1223" t="s">
        <v>1536</v>
      </c>
      <c r="W27" s="1224">
        <f t="shared" ref="W27:W40" si="12">J27</f>
        <v>100</v>
      </c>
      <c r="X27" s="1218"/>
      <c r="Y27" s="3406"/>
      <c r="Z27" s="1207" t="str">
        <f t="shared" ref="Z27:Z40" si="13">Q27</f>
        <v>临街状况</v>
      </c>
      <c r="AA27" s="1207">
        <f t="shared" si="3"/>
        <v>1</v>
      </c>
      <c r="AB27" s="1207">
        <f t="shared" si="4"/>
        <v>1</v>
      </c>
      <c r="AC27" s="1207">
        <f t="shared" si="5"/>
        <v>1</v>
      </c>
    </row>
    <row r="28" spans="1:29" ht="27">
      <c r="A28" s="1048"/>
      <c r="B28" s="1078" t="s">
        <v>1623</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06"/>
      <c r="Q28" s="621" t="str">
        <f t="shared" si="8"/>
        <v>毗邻道路的类型与等级</v>
      </c>
      <c r="R28" s="1223" t="s">
        <v>1536</v>
      </c>
      <c r="S28" s="1224">
        <f t="shared" si="10"/>
        <v>100</v>
      </c>
      <c r="T28" s="1223" t="s">
        <v>1536</v>
      </c>
      <c r="U28" s="1224">
        <f t="shared" si="11"/>
        <v>100</v>
      </c>
      <c r="V28" s="1223" t="s">
        <v>1536</v>
      </c>
      <c r="W28" s="1224">
        <f t="shared" si="12"/>
        <v>100</v>
      </c>
      <c r="X28" s="1218"/>
      <c r="Y28" s="3406"/>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06"/>
      <c r="Q29" s="621"/>
      <c r="R29" s="1223"/>
      <c r="S29" s="1224"/>
      <c r="T29" s="1223"/>
      <c r="U29" s="1224"/>
      <c r="V29" s="1223"/>
      <c r="W29" s="1224"/>
      <c r="X29" s="1218"/>
      <c r="Y29" s="3406"/>
      <c r="Z29" s="1207"/>
      <c r="AA29" s="1207">
        <v>1</v>
      </c>
      <c r="AB29" s="1207">
        <v>1</v>
      </c>
      <c r="AC29" s="1207">
        <v>1</v>
      </c>
    </row>
    <row r="30" spans="1:29" ht="15">
      <c r="A30" s="1048"/>
      <c r="B30" s="1047" t="s">
        <v>1654</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06"/>
      <c r="Q30" s="621" t="str">
        <f t="shared" si="8"/>
        <v>土地级别</v>
      </c>
      <c r="R30" s="1223" t="s">
        <v>1536</v>
      </c>
      <c r="S30" s="1224">
        <f t="shared" si="10"/>
        <v>100</v>
      </c>
      <c r="T30" s="1223" t="s">
        <v>1536</v>
      </c>
      <c r="U30" s="1224">
        <f t="shared" si="11"/>
        <v>100</v>
      </c>
      <c r="V30" s="1223" t="s">
        <v>1536</v>
      </c>
      <c r="W30" s="1224">
        <f t="shared" si="12"/>
        <v>100</v>
      </c>
      <c r="X30" s="1218"/>
      <c r="Y30" s="3406"/>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06"/>
      <c r="Q31" s="621">
        <f t="shared" si="8"/>
        <v>111</v>
      </c>
      <c r="R31" s="1223" t="s">
        <v>1536</v>
      </c>
      <c r="S31" s="1224">
        <f t="shared" si="10"/>
        <v>100</v>
      </c>
      <c r="T31" s="1223" t="s">
        <v>1536</v>
      </c>
      <c r="U31" s="1224">
        <f t="shared" si="11"/>
        <v>100</v>
      </c>
      <c r="V31" s="1223" t="s">
        <v>1536</v>
      </c>
      <c r="W31" s="1224">
        <f t="shared" si="12"/>
        <v>100</v>
      </c>
      <c r="X31" s="1218"/>
      <c r="Y31" s="3406"/>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39" t="s">
        <v>1556</v>
      </c>
      <c r="Q32" s="621">
        <f t="shared" si="8"/>
        <v>111</v>
      </c>
      <c r="R32" s="1223" t="s">
        <v>1536</v>
      </c>
      <c r="S32" s="1224">
        <f t="shared" si="10"/>
        <v>100</v>
      </c>
      <c r="T32" s="1223" t="s">
        <v>1536</v>
      </c>
      <c r="U32" s="1224">
        <f t="shared" si="11"/>
        <v>100</v>
      </c>
      <c r="V32" s="1223" t="s">
        <v>1536</v>
      </c>
      <c r="W32" s="1224">
        <f t="shared" si="12"/>
        <v>100</v>
      </c>
      <c r="X32" s="1218"/>
      <c r="Y32" s="3407" t="s">
        <v>1556</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07"/>
      <c r="Q33" s="621">
        <f t="shared" si="8"/>
        <v>111</v>
      </c>
      <c r="R33" s="1225" t="s">
        <v>1536</v>
      </c>
      <c r="S33" s="1226">
        <f t="shared" si="10"/>
        <v>100</v>
      </c>
      <c r="T33" s="1225" t="s">
        <v>1536</v>
      </c>
      <c r="U33" s="1226">
        <f t="shared" si="11"/>
        <v>100</v>
      </c>
      <c r="V33" s="1225" t="s">
        <v>1536</v>
      </c>
      <c r="W33" s="1226">
        <f t="shared" si="12"/>
        <v>100</v>
      </c>
      <c r="X33" s="1227"/>
      <c r="Y33" s="3407"/>
      <c r="Z33" s="1232">
        <f t="shared" si="13"/>
        <v>111</v>
      </c>
      <c r="AA33" s="1207">
        <f t="shared" si="3"/>
        <v>1</v>
      </c>
      <c r="AB33" s="1207">
        <f t="shared" si="4"/>
        <v>1</v>
      </c>
      <c r="AC33" s="1207">
        <f t="shared" si="5"/>
        <v>1</v>
      </c>
    </row>
    <row r="34" spans="1:31" ht="15">
      <c r="A34" s="1061" t="s">
        <v>1554</v>
      </c>
      <c r="B34" s="1094" t="s">
        <v>1655</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07"/>
      <c r="Q34" s="621" t="str">
        <f t="shared" si="8"/>
        <v>宗地面积</v>
      </c>
      <c r="R34" s="1223" t="s">
        <v>1536</v>
      </c>
      <c r="S34" s="1224" t="e">
        <f t="shared" si="10"/>
        <v>#N/A</v>
      </c>
      <c r="T34" s="1223" t="s">
        <v>1536</v>
      </c>
      <c r="U34" s="1224" t="e">
        <f t="shared" si="11"/>
        <v>#N/A</v>
      </c>
      <c r="V34" s="1223" t="s">
        <v>1536</v>
      </c>
      <c r="W34" s="1224" t="e">
        <f t="shared" si="12"/>
        <v>#N/A</v>
      </c>
      <c r="X34" s="1218"/>
      <c r="Y34" s="3407"/>
      <c r="Z34" s="1207" t="str">
        <f t="shared" si="13"/>
        <v>宗地面积</v>
      </c>
      <c r="AA34" s="1207" t="e">
        <f t="shared" si="3"/>
        <v>#N/A</v>
      </c>
      <c r="AB34" s="1207" t="e">
        <f t="shared" si="4"/>
        <v>#N/A</v>
      </c>
      <c r="AC34" s="1207" t="e">
        <f t="shared" si="5"/>
        <v>#N/A</v>
      </c>
    </row>
    <row r="35" spans="1:31" ht="15">
      <c r="A35" s="1096"/>
      <c r="B35" s="1045" t="s">
        <v>1656</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07"/>
      <c r="Q35" s="621" t="str">
        <f t="shared" ref="Q35:Q40" si="14">B35</f>
        <v>宗地形状</v>
      </c>
      <c r="R35" s="1223" t="s">
        <v>1536</v>
      </c>
      <c r="S35" s="1224">
        <f t="shared" si="10"/>
        <v>100</v>
      </c>
      <c r="T35" s="1223" t="s">
        <v>1536</v>
      </c>
      <c r="U35" s="1224">
        <f t="shared" si="11"/>
        <v>100</v>
      </c>
      <c r="V35" s="1223" t="s">
        <v>1536</v>
      </c>
      <c r="W35" s="1224">
        <f t="shared" si="12"/>
        <v>100</v>
      </c>
      <c r="X35" s="1218"/>
      <c r="Y35" s="3407"/>
      <c r="Z35" s="1207" t="str">
        <f t="shared" si="13"/>
        <v>宗地形状</v>
      </c>
      <c r="AA35" s="1207">
        <f t="shared" si="3"/>
        <v>1</v>
      </c>
      <c r="AB35" s="1207">
        <f t="shared" si="4"/>
        <v>1</v>
      </c>
      <c r="AC35" s="1207">
        <f t="shared" si="5"/>
        <v>1</v>
      </c>
    </row>
    <row r="36" spans="1:31" s="1004" customFormat="1" ht="15">
      <c r="A36" s="1098"/>
      <c r="B36" s="1045" t="s">
        <v>1658</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07"/>
      <c r="Q36" s="621" t="str">
        <f t="shared" si="14"/>
        <v>宗地开发程度</v>
      </c>
      <c r="R36" s="1219" t="s">
        <v>1536</v>
      </c>
      <c r="S36" s="1220">
        <f t="shared" si="10"/>
        <v>100</v>
      </c>
      <c r="T36" s="1219" t="s">
        <v>1536</v>
      </c>
      <c r="U36" s="1220">
        <f t="shared" si="11"/>
        <v>100</v>
      </c>
      <c r="V36" s="1219" t="s">
        <v>1536</v>
      </c>
      <c r="W36" s="1220">
        <f t="shared" si="12"/>
        <v>100</v>
      </c>
      <c r="X36" s="1221"/>
      <c r="Y36" s="3407"/>
      <c r="Z36" s="1231" t="str">
        <f t="shared" si="13"/>
        <v>宗地开发程度</v>
      </c>
      <c r="AA36" s="1231">
        <f t="shared" si="3"/>
        <v>1</v>
      </c>
      <c r="AB36" s="1231">
        <f t="shared" si="4"/>
        <v>1</v>
      </c>
      <c r="AC36" s="1231">
        <f t="shared" si="5"/>
        <v>1</v>
      </c>
    </row>
    <row r="37" spans="1:31" ht="15">
      <c r="A37" s="1096"/>
      <c r="B37" s="1045" t="s">
        <v>1659</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07" t="s">
        <v>1556</v>
      </c>
      <c r="Q37" s="621" t="str">
        <f t="shared" si="14"/>
        <v>工程地质条件</v>
      </c>
      <c r="R37" s="1223" t="s">
        <v>1536</v>
      </c>
      <c r="S37" s="1224">
        <f t="shared" si="10"/>
        <v>100</v>
      </c>
      <c r="T37" s="1223" t="s">
        <v>1536</v>
      </c>
      <c r="U37" s="1224">
        <f t="shared" si="11"/>
        <v>100</v>
      </c>
      <c r="V37" s="1223" t="s">
        <v>1536</v>
      </c>
      <c r="W37" s="1224">
        <f t="shared" si="12"/>
        <v>100</v>
      </c>
      <c r="X37" s="1218"/>
      <c r="Y37" s="3407" t="s">
        <v>1556</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07"/>
      <c r="Q38" s="621">
        <f t="shared" si="14"/>
        <v>111</v>
      </c>
      <c r="R38" s="1223" t="s">
        <v>1536</v>
      </c>
      <c r="S38" s="1224">
        <f t="shared" si="10"/>
        <v>100</v>
      </c>
      <c r="T38" s="1223" t="s">
        <v>1536</v>
      </c>
      <c r="U38" s="1224">
        <f t="shared" si="11"/>
        <v>100</v>
      </c>
      <c r="V38" s="1223" t="s">
        <v>1536</v>
      </c>
      <c r="W38" s="1224">
        <f t="shared" si="12"/>
        <v>100</v>
      </c>
      <c r="X38" s="1218"/>
      <c r="Y38" s="3407"/>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07"/>
      <c r="Q39" s="621">
        <f t="shared" si="14"/>
        <v>111</v>
      </c>
      <c r="R39" s="1223" t="s">
        <v>1536</v>
      </c>
      <c r="S39" s="1224">
        <f t="shared" si="10"/>
        <v>100</v>
      </c>
      <c r="T39" s="1223" t="s">
        <v>1536</v>
      </c>
      <c r="U39" s="1224">
        <f t="shared" si="11"/>
        <v>100</v>
      </c>
      <c r="V39" s="1223" t="s">
        <v>1536</v>
      </c>
      <c r="W39" s="1224">
        <f t="shared" si="12"/>
        <v>100</v>
      </c>
      <c r="X39" s="1218"/>
      <c r="Y39" s="3407"/>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07"/>
      <c r="Q40" s="621">
        <f t="shared" si="14"/>
        <v>111</v>
      </c>
      <c r="R40" s="1225" t="s">
        <v>1536</v>
      </c>
      <c r="S40" s="1226">
        <f t="shared" si="10"/>
        <v>100</v>
      </c>
      <c r="T40" s="1225" t="s">
        <v>1536</v>
      </c>
      <c r="U40" s="1226">
        <f t="shared" si="11"/>
        <v>100</v>
      </c>
      <c r="V40" s="1225" t="s">
        <v>1536</v>
      </c>
      <c r="W40" s="1226">
        <f t="shared" si="12"/>
        <v>100</v>
      </c>
      <c r="X40" s="1227"/>
      <c r="Y40" s="3407"/>
      <c r="Z40" s="1232">
        <f t="shared" si="13"/>
        <v>111</v>
      </c>
      <c r="AA40" s="1207">
        <f t="shared" si="3"/>
        <v>1</v>
      </c>
      <c r="AB40" s="1207">
        <f t="shared" si="4"/>
        <v>1</v>
      </c>
      <c r="AC40" s="1207">
        <f t="shared" si="5"/>
        <v>1</v>
      </c>
    </row>
    <row r="41" spans="1:31" ht="15">
      <c r="A41" s="1103" t="s">
        <v>1641</v>
      </c>
      <c r="B41" s="1104" t="s">
        <v>1694</v>
      </c>
      <c r="C41" s="1105" t="s">
        <v>124</v>
      </c>
      <c r="D41" s="1106"/>
      <c r="E41" s="1107"/>
      <c r="F41" s="1108"/>
      <c r="G41" s="1109"/>
      <c r="H41" s="1110"/>
      <c r="I41" s="1107"/>
      <c r="J41" s="1110"/>
      <c r="K41" s="1198"/>
      <c r="L41" s="1199"/>
      <c r="M41" s="1120"/>
      <c r="N41" s="1120"/>
      <c r="O41" s="1120"/>
      <c r="P41" s="3394" t="str">
        <f>A41</f>
        <v>成交单价</v>
      </c>
      <c r="Q41" s="3394"/>
      <c r="R41" s="3395">
        <f>E41</f>
        <v>0</v>
      </c>
      <c r="S41" s="3395"/>
      <c r="T41" s="3395">
        <f>G41</f>
        <v>0</v>
      </c>
      <c r="U41" s="3395"/>
      <c r="V41" s="3395">
        <f>I41</f>
        <v>0</v>
      </c>
      <c r="W41" s="3395"/>
      <c r="X41" s="1160"/>
      <c r="Y41" s="1233"/>
      <c r="Z41" s="1160"/>
      <c r="AA41" s="1160"/>
      <c r="AB41" s="1160"/>
      <c r="AC41" s="1160"/>
    </row>
    <row r="42" spans="1:31" ht="15">
      <c r="A42" s="1111" t="s">
        <v>1568</v>
      </c>
      <c r="B42" s="1112"/>
      <c r="C42" s="1113" t="e">
        <f>R43</f>
        <v>#DIV/0!</v>
      </c>
      <c r="D42" s="1114" t="s">
        <v>1569</v>
      </c>
      <c r="E42" s="1113" t="e">
        <f>R42</f>
        <v>#DIV/0!</v>
      </c>
      <c r="F42" s="1115"/>
      <c r="G42" s="1116" t="e">
        <f>T42</f>
        <v>#DIV/0!</v>
      </c>
      <c r="H42" s="1115"/>
      <c r="I42" s="1113" t="e">
        <f>V42</f>
        <v>#DIV/0!</v>
      </c>
      <c r="J42" s="1115"/>
      <c r="K42" s="1200">
        <f>F42+H42+J42</f>
        <v>0</v>
      </c>
      <c r="L42" s="1199"/>
      <c r="M42" s="1120"/>
      <c r="N42" s="1120"/>
      <c r="O42" s="1120"/>
      <c r="P42" s="3394" t="str">
        <f>A42</f>
        <v>比较价值（元/平方米）</v>
      </c>
      <c r="Q42" s="3394"/>
      <c r="R42" s="3441" t="e">
        <f>ROUND(PRODUCT(R41,AA7:AA40),0)</f>
        <v>#DIV/0!</v>
      </c>
      <c r="S42" s="3441"/>
      <c r="T42" s="3441" t="e">
        <f>ROUND(PRODUCT(T41,AB7:AB40),0)</f>
        <v>#DIV/0!</v>
      </c>
      <c r="U42" s="3441"/>
      <c r="V42" s="3441" t="e">
        <f>ROUND(PRODUCT(V41,AC7:AC40),0)</f>
        <v>#DIV/0!</v>
      </c>
      <c r="W42" s="3441"/>
      <c r="X42" s="1160"/>
      <c r="Y42" s="1160"/>
      <c r="Z42" s="1160"/>
      <c r="AA42" s="1160"/>
      <c r="AB42" s="1160"/>
      <c r="AC42" s="1160"/>
    </row>
    <row r="43" spans="1:31" ht="15">
      <c r="A43" s="1117" t="s">
        <v>1570</v>
      </c>
      <c r="B43" s="1118"/>
      <c r="C43" s="1119" t="e">
        <f>R43</f>
        <v>#DIV/0!</v>
      </c>
      <c r="D43" s="1119"/>
      <c r="E43" s="1119"/>
      <c r="F43" s="1119"/>
      <c r="G43" s="1119"/>
      <c r="H43" s="1119"/>
      <c r="I43" s="1119"/>
      <c r="J43" s="1119"/>
      <c r="K43" s="1201"/>
      <c r="L43" s="1199"/>
      <c r="M43" s="1120"/>
      <c r="N43" s="1120"/>
      <c r="O43" s="1120"/>
      <c r="P43" s="3396" t="str">
        <f>A43</f>
        <v>估价对象XX用房的比较价值（楼面单价，元/平方米）</v>
      </c>
      <c r="Q43" s="3397"/>
      <c r="R43" s="3442" t="e">
        <f>ROUND(IF(D42="简单平均",AVERAGE(R42:W42),R42*F42+T42*H42+V42*J42),0)</f>
        <v>#DIV/0!</v>
      </c>
      <c r="S43" s="3442"/>
      <c r="T43" s="3442"/>
      <c r="U43" s="3442"/>
      <c r="V43" s="3442"/>
      <c r="W43" s="3442"/>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1571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1572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1573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1662</v>
      </c>
      <c r="B50" s="1130" t="s">
        <v>1663</v>
      </c>
      <c r="C50" s="1131" t="s">
        <v>1664</v>
      </c>
      <c r="D50" s="1132" t="s">
        <v>1665</v>
      </c>
      <c r="E50" s="1133" t="s">
        <v>1666</v>
      </c>
      <c r="F50" s="1134" t="s">
        <v>1667</v>
      </c>
      <c r="G50" s="3379" t="s">
        <v>1668</v>
      </c>
      <c r="H50" s="3443"/>
      <c r="I50" s="1207" t="s">
        <v>1695</v>
      </c>
      <c r="J50" s="1207">
        <f>项目基本情况!F35</f>
        <v>0</v>
      </c>
      <c r="K50" s="1208" t="s">
        <v>1670</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1671</v>
      </c>
      <c r="B51" s="1136" t="e">
        <f>C43</f>
        <v>#DIV/0!</v>
      </c>
      <c r="C51" s="1137">
        <v>1</v>
      </c>
      <c r="D51" s="1138">
        <v>1</v>
      </c>
      <c r="E51" s="1137">
        <f>'数据-汇总表'!E8+'数据-汇总表'!E9</f>
        <v>12749.85</v>
      </c>
      <c r="F51" s="1139" t="e">
        <f t="shared" ref="F51:F60" si="15">ROUND(B51*E51/10000,0)</f>
        <v>#DIV/0!</v>
      </c>
      <c r="G51" s="3399"/>
      <c r="H51" s="3394"/>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1672</v>
      </c>
      <c r="B52" s="362" t="e">
        <f>ROUND($C$43*C52*D52,0)</f>
        <v>#DIV/0!</v>
      </c>
      <c r="C52" s="511">
        <f t="shared" ref="C52:C60" si="16">IF($C$50="北京市系数",I52,J52)</f>
        <v>0</v>
      </c>
      <c r="D52" s="1141">
        <v>0.25</v>
      </c>
      <c r="E52" s="1142"/>
      <c r="F52" s="1139" t="e">
        <f t="shared" si="15"/>
        <v>#DIV/0!</v>
      </c>
      <c r="G52" s="1143" t="s">
        <v>1673</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1674</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1675</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1676</v>
      </c>
      <c r="B56" s="362" t="e">
        <f t="shared" si="17"/>
        <v>#DIV/0!</v>
      </c>
      <c r="C56" s="511">
        <f t="shared" si="16"/>
        <v>0</v>
      </c>
      <c r="D56" s="1141">
        <v>0.25</v>
      </c>
      <c r="E56" s="361">
        <f>'数据-汇总表'!E11</f>
        <v>0</v>
      </c>
      <c r="F56" s="1139" t="e">
        <f t="shared" si="15"/>
        <v>#DIV/0!</v>
      </c>
      <c r="G56" s="1147" t="s">
        <v>1677</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1678</v>
      </c>
      <c r="B57" s="362" t="e">
        <f t="shared" si="17"/>
        <v>#DIV/0!</v>
      </c>
      <c r="C57" s="511">
        <f t="shared" si="16"/>
        <v>0</v>
      </c>
      <c r="D57" s="1141">
        <v>0.25</v>
      </c>
      <c r="E57" s="361">
        <f>'数据-汇总表'!E12</f>
        <v>0</v>
      </c>
      <c r="F57" s="1139" t="e">
        <f t="shared" si="15"/>
        <v>#DIV/0!</v>
      </c>
      <c r="G57" s="1148" t="s">
        <v>1679</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1680</v>
      </c>
      <c r="B58" s="362" t="e">
        <f t="shared" si="17"/>
        <v>#DIV/0!</v>
      </c>
      <c r="C58" s="511">
        <f t="shared" si="16"/>
        <v>0</v>
      </c>
      <c r="D58" s="1141">
        <v>0.25</v>
      </c>
      <c r="E58" s="361">
        <f>'数据-汇总表'!E13</f>
        <v>0</v>
      </c>
      <c r="F58" s="1139" t="e">
        <f t="shared" si="15"/>
        <v>#DIV/0!</v>
      </c>
      <c r="G58" s="1148" t="s">
        <v>1681</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1682</v>
      </c>
      <c r="B59" s="362" t="e">
        <f t="shared" si="17"/>
        <v>#DIV/0!</v>
      </c>
      <c r="C59" s="511">
        <f t="shared" si="16"/>
        <v>0</v>
      </c>
      <c r="D59" s="1141">
        <v>0.25</v>
      </c>
      <c r="E59" s="361">
        <f>'数据-汇总表'!E14</f>
        <v>0</v>
      </c>
      <c r="F59" s="1139" t="e">
        <f t="shared" si="15"/>
        <v>#DIV/0!</v>
      </c>
      <c r="G59" s="1147" t="s">
        <v>1673</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1683</v>
      </c>
      <c r="B60" s="362" t="e">
        <f t="shared" si="17"/>
        <v>#DIV/0!</v>
      </c>
      <c r="C60" s="511">
        <f t="shared" si="16"/>
        <v>0</v>
      </c>
      <c r="D60" s="1141">
        <v>0.25</v>
      </c>
      <c r="E60" s="361">
        <f>'数据-汇总表'!E15</f>
        <v>0</v>
      </c>
      <c r="F60" s="1139" t="e">
        <f t="shared" si="15"/>
        <v>#DIV/0!</v>
      </c>
      <c r="G60" s="1149" t="s">
        <v>1677</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1684</v>
      </c>
      <c r="B61" s="1152" t="s">
        <v>1685</v>
      </c>
      <c r="C61" s="1152" t="s">
        <v>1685</v>
      </c>
      <c r="D61" s="1152" t="s">
        <v>1685</v>
      </c>
      <c r="E61" s="1152">
        <f>IF(B41="楼面地价",SUM(E51:E60),'数据-汇总表'!D3)</f>
        <v>67351.83</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1574</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1686</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1696</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1575</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1537</v>
      </c>
      <c r="B68" s="1245"/>
      <c r="C68" s="1246" t="s">
        <v>1576</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1577</v>
      </c>
      <c r="B70" s="1250" t="s">
        <v>1540</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1543</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1544</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1545</v>
      </c>
      <c r="B83" s="1250" t="s">
        <v>1628</v>
      </c>
      <c r="C83" s="1270" t="s">
        <v>1578</v>
      </c>
      <c r="D83" s="1270" t="s">
        <v>1579</v>
      </c>
      <c r="E83" s="1270" t="s">
        <v>1580</v>
      </c>
      <c r="F83" s="1270" t="s">
        <v>1581</v>
      </c>
      <c r="G83" s="1270" t="s">
        <v>1582</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1548</v>
      </c>
      <c r="C85" s="1271" t="s">
        <v>1578</v>
      </c>
      <c r="D85" s="1271" t="s">
        <v>1579</v>
      </c>
      <c r="E85" s="1271" t="s">
        <v>1580</v>
      </c>
      <c r="F85" s="1271" t="s">
        <v>1581</v>
      </c>
      <c r="G85" s="1271" t="s">
        <v>1582</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1652</v>
      </c>
      <c r="C87" s="1270" t="s">
        <v>1578</v>
      </c>
      <c r="D87" s="1270" t="s">
        <v>1579</v>
      </c>
      <c r="E87" s="1270" t="s">
        <v>1580</v>
      </c>
      <c r="F87" s="1270" t="s">
        <v>1581</v>
      </c>
      <c r="G87" s="1270" t="s">
        <v>1582</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1653</v>
      </c>
      <c r="C89" s="1270" t="s">
        <v>1578</v>
      </c>
      <c r="D89" s="1270" t="s">
        <v>1579</v>
      </c>
      <c r="E89" s="1270" t="s">
        <v>1580</v>
      </c>
      <c r="F89" s="1270" t="s">
        <v>1581</v>
      </c>
      <c r="G89" s="1270" t="s">
        <v>1582</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1549</v>
      </c>
      <c r="C91" s="1270" t="s">
        <v>1578</v>
      </c>
      <c r="D91" s="1270" t="s">
        <v>1579</v>
      </c>
      <c r="E91" s="1270" t="s">
        <v>1580</v>
      </c>
      <c r="F91" s="1270" t="s">
        <v>1581</v>
      </c>
      <c r="G91" s="1270" t="s">
        <v>1582</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1550</v>
      </c>
      <c r="C93" s="1188" t="s">
        <v>1583</v>
      </c>
      <c r="D93" s="1188" t="s">
        <v>1584</v>
      </c>
      <c r="E93" s="1188" t="s">
        <v>1585</v>
      </c>
      <c r="F93" s="1188" t="s">
        <v>1586</v>
      </c>
      <c r="G93" s="1188" t="s">
        <v>1587</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1688</v>
      </c>
      <c r="D95" s="1254" t="s">
        <v>1689</v>
      </c>
      <c r="E95" s="1254" t="s">
        <v>1690</v>
      </c>
      <c r="F95" s="1254" t="s">
        <v>1691</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1623</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1654</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1554</v>
      </c>
      <c r="B107" s="1250" t="s">
        <v>1655</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1656</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1658</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1659</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1697</v>
      </c>
      <c r="C1" s="3448" t="s">
        <v>1698</v>
      </c>
      <c r="D1" s="3449"/>
      <c r="E1" s="3449"/>
      <c r="F1" s="3449"/>
      <c r="G1" s="3449"/>
      <c r="H1" s="3449"/>
      <c r="I1" s="3449"/>
      <c r="J1" s="3449"/>
      <c r="K1" s="3449"/>
      <c r="L1" s="3449"/>
      <c r="M1" s="3449"/>
      <c r="N1" s="3449"/>
      <c r="O1" s="3449"/>
      <c r="P1" s="3449"/>
      <c r="Q1" s="3449"/>
      <c r="R1" s="3449"/>
      <c r="S1" s="3450"/>
      <c r="T1" s="896" t="s">
        <v>1699</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1700</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1701</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1702</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1703</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1704</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1705</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1706</v>
      </c>
      <c r="B17" s="928" t="s">
        <v>1707</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1708</v>
      </c>
      <c r="E19" s="938"/>
      <c r="F19" s="938"/>
      <c r="G19" s="938"/>
      <c r="H19" s="939"/>
      <c r="I19" s="936"/>
      <c r="J19" s="936"/>
      <c r="K19" s="936"/>
      <c r="L19" s="936"/>
      <c r="M19" s="936"/>
      <c r="N19" s="936"/>
      <c r="O19" s="936"/>
      <c r="P19" s="936"/>
      <c r="Q19" s="936"/>
      <c r="R19" s="936"/>
      <c r="S19" s="935"/>
    </row>
    <row r="20" spans="1:45" ht="15.75">
      <c r="A20" s="940" t="s">
        <v>1709</v>
      </c>
      <c r="B20" s="941" t="e">
        <f ca="1">IF(D20="——",S22,S22-F20)</f>
        <v>#REF!</v>
      </c>
      <c r="C20" s="936"/>
      <c r="D20" s="942"/>
      <c r="E20" s="943"/>
      <c r="F20" s="896" t="e">
        <f ca="1">SUMIF(INDIRECT("'"&amp;H20&amp;"'"&amp;"!A:A"),"承租人权益价值",INDIRECT("'"&amp;H20&amp;"'"&amp;"!c:c"))</f>
        <v>#REF!</v>
      </c>
      <c r="G20" s="896" t="s">
        <v>854</v>
      </c>
      <c r="H20" s="944"/>
      <c r="I20" s="936"/>
      <c r="J20" s="936"/>
      <c r="K20" s="936"/>
      <c r="L20" s="936"/>
      <c r="M20" s="936"/>
      <c r="N20" s="936"/>
      <c r="O20" s="936"/>
      <c r="P20" s="936"/>
      <c r="Q20" s="936"/>
      <c r="R20" s="936"/>
      <c r="S20" s="935"/>
    </row>
    <row r="21" spans="1:45" ht="15.75">
      <c r="A21" s="940" t="s">
        <v>1710</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1711</v>
      </c>
      <c r="B22" s="946">
        <f>SUM(B24:B10000)</f>
        <v>0</v>
      </c>
      <c r="C22" s="3451" t="s">
        <v>124</v>
      </c>
      <c r="D22" s="3452"/>
      <c r="E22" s="3452"/>
      <c r="F22" s="3452"/>
      <c r="G22" s="3452"/>
      <c r="H22" s="3452"/>
      <c r="I22" s="3452"/>
      <c r="J22" s="3452"/>
      <c r="K22" s="3452"/>
      <c r="L22" s="3452"/>
      <c r="M22" s="3452"/>
      <c r="N22" s="3452"/>
      <c r="O22" s="3452"/>
      <c r="P22" s="3452"/>
      <c r="Q22" s="3453"/>
      <c r="R22" s="946" t="e">
        <f>ROUND(S22*10000/B22,0)</f>
        <v>#DIV/0!</v>
      </c>
      <c r="S22" s="946">
        <f>SUM(S24:S10000)</f>
        <v>0</v>
      </c>
    </row>
    <row r="23" spans="1:45" s="891" customFormat="1" ht="24">
      <c r="A23" s="949" t="s">
        <v>1712</v>
      </c>
      <c r="B23" s="949" t="s">
        <v>469</v>
      </c>
      <c r="C23" s="949" t="s">
        <v>1699</v>
      </c>
      <c r="D23" s="949" t="str">
        <f>B5</f>
        <v>修正项2</v>
      </c>
      <c r="E23" s="949" t="s">
        <v>1699</v>
      </c>
      <c r="F23" s="949" t="str">
        <f>B7</f>
        <v>修正项3</v>
      </c>
      <c r="G23" s="949" t="s">
        <v>1699</v>
      </c>
      <c r="H23" s="949" t="str">
        <f>B9</f>
        <v>修正项4</v>
      </c>
      <c r="I23" s="949" t="s">
        <v>1699</v>
      </c>
      <c r="J23" s="949" t="str">
        <f>B11</f>
        <v>修正项5</v>
      </c>
      <c r="K23" s="949" t="s">
        <v>1699</v>
      </c>
      <c r="L23" s="949" t="str">
        <f>B13</f>
        <v>修正项6</v>
      </c>
      <c r="M23" s="949" t="s">
        <v>1699</v>
      </c>
      <c r="N23" s="949" t="str">
        <f>B15</f>
        <v>修正项7</v>
      </c>
      <c r="O23" s="949" t="s">
        <v>1699</v>
      </c>
      <c r="P23" s="949" t="str">
        <f>B17</f>
        <v>楼层</v>
      </c>
      <c r="Q23" s="949" t="s">
        <v>1699</v>
      </c>
      <c r="R23" s="949" t="s">
        <v>1713</v>
      </c>
      <c r="S23" s="949" t="s">
        <v>1714</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1715</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Q72" sqref="Q72"/>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1716</v>
      </c>
      <c r="B1" s="677"/>
      <c r="C1" s="677"/>
      <c r="D1" s="677"/>
      <c r="E1" s="677"/>
      <c r="F1" s="878"/>
      <c r="G1" s="878"/>
      <c r="H1" s="878"/>
      <c r="I1" s="878"/>
      <c r="J1" s="878"/>
      <c r="K1" s="878"/>
      <c r="L1" s="878"/>
      <c r="M1" s="878"/>
      <c r="N1" s="878"/>
      <c r="O1" s="878"/>
      <c r="P1" s="878"/>
    </row>
    <row r="2" spans="1:16" ht="15.75">
      <c r="A2" s="879" t="s">
        <v>97</v>
      </c>
      <c r="B2" s="880">
        <f ca="1">SUMIF(B6:B13,"&lt;&gt;#ref!",B6:B13)</f>
        <v>10258</v>
      </c>
      <c r="C2" s="879" t="s">
        <v>1717</v>
      </c>
      <c r="D2" s="879" t="s">
        <v>1718</v>
      </c>
      <c r="E2" s="881">
        <f ca="1">SUMIF(E6:E13,"&lt;&gt;#ref!",E6:E13)</f>
        <v>67351.83</v>
      </c>
      <c r="F2" s="878"/>
      <c r="G2" s="878"/>
      <c r="H2" s="878"/>
      <c r="I2" s="878"/>
      <c r="J2" s="878"/>
      <c r="K2" s="878"/>
      <c r="L2" s="878"/>
      <c r="M2" s="878"/>
      <c r="N2" s="878"/>
      <c r="O2" s="878"/>
      <c r="P2" s="878"/>
    </row>
    <row r="3" spans="1:16" ht="15.75">
      <c r="A3" s="879" t="s">
        <v>1719</v>
      </c>
      <c r="B3" s="880">
        <f ca="1">ROUND(B2*10000/E2,0)</f>
        <v>1523</v>
      </c>
      <c r="C3" s="879" t="s">
        <v>1720</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1721</v>
      </c>
      <c r="B5" s="884" t="s">
        <v>1722</v>
      </c>
      <c r="C5" s="885"/>
      <c r="D5" s="878"/>
      <c r="E5" s="886" t="s">
        <v>1723</v>
      </c>
      <c r="F5" s="878"/>
      <c r="G5" s="878"/>
      <c r="H5" s="878"/>
      <c r="I5" s="878"/>
      <c r="J5" s="878"/>
      <c r="K5" s="878"/>
      <c r="L5" s="878"/>
      <c r="M5" s="878"/>
      <c r="N5" s="878"/>
      <c r="O5" s="878"/>
      <c r="P5" s="878"/>
    </row>
    <row r="6" spans="1:16" ht="15.75">
      <c r="A6" s="887" t="s">
        <v>1724</v>
      </c>
      <c r="B6" s="880">
        <f ca="1">SUMIF(INDIRECT("'"&amp;A6&amp;"'"&amp;"!A:A"),"总价",INDIRECT("'"&amp;A6&amp;"'"&amp;"!B:B"))</f>
        <v>10258</v>
      </c>
      <c r="C6" s="879" t="s">
        <v>1717</v>
      </c>
      <c r="D6" s="878"/>
      <c r="E6" s="881">
        <f ca="1">SUMIF(INDIRECT("'"&amp;A6&amp;"'"&amp;"!C:C"),"建筑面积",INDIRECT("'"&amp;A6&amp;"'"&amp;"!D:D"))</f>
        <v>67351.83</v>
      </c>
      <c r="F6" s="878"/>
      <c r="G6" s="878"/>
      <c r="H6" s="878"/>
      <c r="I6" s="878"/>
      <c r="J6" s="878"/>
      <c r="K6" s="878"/>
      <c r="L6" s="878"/>
      <c r="M6" s="878"/>
      <c r="N6" s="878"/>
      <c r="O6" s="878"/>
      <c r="P6" s="878"/>
    </row>
    <row r="7" spans="1:16" ht="15.75">
      <c r="A7" s="887"/>
      <c r="B7" s="880" t="e">
        <f ca="1">SUMIF(INDIRECT("'"&amp;A7&amp;"'"&amp;"!A:A"),"总价",INDIRECT("'"&amp;A7&amp;"'"&amp;"!B:B"))</f>
        <v>#REF!</v>
      </c>
      <c r="C7" s="879" t="s">
        <v>1717</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1717</v>
      </c>
      <c r="D8" s="878"/>
      <c r="E8" s="881" t="e">
        <f t="shared" ca="1" si="0"/>
        <v>#REF!</v>
      </c>
      <c r="F8" s="878"/>
      <c r="G8" s="878"/>
      <c r="H8" s="878"/>
      <c r="I8" s="878"/>
      <c r="J8" s="878"/>
      <c r="K8" s="878"/>
      <c r="L8" s="878"/>
      <c r="M8" s="878"/>
      <c r="N8" s="878"/>
      <c r="O8" s="878"/>
      <c r="P8" s="878"/>
    </row>
    <row r="9" spans="1:16" ht="15.75">
      <c r="A9" s="887"/>
      <c r="B9" s="880" t="e">
        <f t="shared" ca="1" si="1"/>
        <v>#REF!</v>
      </c>
      <c r="C9" s="879" t="s">
        <v>1717</v>
      </c>
      <c r="D9" s="878"/>
      <c r="E9" s="881" t="e">
        <f t="shared" ca="1" si="0"/>
        <v>#REF!</v>
      </c>
      <c r="F9" s="878"/>
      <c r="G9" s="878"/>
      <c r="H9" s="878"/>
      <c r="I9" s="878"/>
      <c r="J9" s="878"/>
      <c r="K9" s="878"/>
      <c r="L9" s="878"/>
      <c r="M9" s="878"/>
      <c r="N9" s="878"/>
      <c r="O9" s="878"/>
      <c r="P9" s="878"/>
    </row>
    <row r="10" spans="1:16" ht="15.75">
      <c r="A10" s="887"/>
      <c r="B10" s="880" t="e">
        <f t="shared" ca="1" si="1"/>
        <v>#REF!</v>
      </c>
      <c r="C10" s="879" t="s">
        <v>1717</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1717</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1717</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1717</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E85" sqref="E85"/>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1725</v>
      </c>
      <c r="B1" s="342"/>
      <c r="C1" s="345" t="s">
        <v>1520</v>
      </c>
      <c r="D1" s="506">
        <f>SUM(D33:D34,D37:D42)</f>
        <v>67351.83</v>
      </c>
      <c r="E1" s="507"/>
      <c r="F1" s="507"/>
      <c r="G1" s="507"/>
      <c r="H1" s="507"/>
      <c r="I1" s="507"/>
      <c r="J1" s="507"/>
      <c r="K1" s="499"/>
      <c r="L1" s="705" t="s">
        <v>1726</v>
      </c>
      <c r="M1" s="706">
        <f>SUMPRODUCT((区片价!B5:B9=I2)*(区片价!C3:G3=E2)*(区片价!C5:G9))</f>
        <v>0</v>
      </c>
      <c r="N1" s="707">
        <f>SUMPRODUCT((因素修正幅度!B5:B9=I2)*(因素修正幅度!C3:G3=E2)*(因素修正幅度!C5:G9))</f>
        <v>0</v>
      </c>
      <c r="O1" s="500"/>
      <c r="P1" s="500"/>
      <c r="Q1" s="499"/>
      <c r="R1" s="794" t="s">
        <v>1727</v>
      </c>
      <c r="S1" s="794" t="s">
        <v>1728</v>
      </c>
      <c r="T1" s="794" t="s">
        <v>1729</v>
      </c>
      <c r="U1" s="794" t="s">
        <v>1730</v>
      </c>
      <c r="V1" s="794" t="s">
        <v>1731</v>
      </c>
      <c r="W1" s="795"/>
      <c r="X1" s="795"/>
      <c r="Y1" s="795"/>
      <c r="Z1" s="795"/>
      <c r="AA1" s="795"/>
      <c r="AB1" s="795"/>
      <c r="AC1" s="806"/>
      <c r="AD1" s="807"/>
      <c r="AE1" s="807"/>
      <c r="AF1" s="807"/>
      <c r="AG1" s="807"/>
      <c r="AH1" s="807"/>
      <c r="AI1" s="807"/>
      <c r="AJ1" s="816"/>
    </row>
    <row r="2" spans="1:36" ht="15.75">
      <c r="A2" s="345" t="s">
        <v>1037</v>
      </c>
      <c r="B2" s="349">
        <f>C30</f>
        <v>10258</v>
      </c>
      <c r="C2" s="508" t="s">
        <v>1038</v>
      </c>
      <c r="D2" s="509" t="s">
        <v>1732</v>
      </c>
      <c r="E2" s="510" t="s">
        <v>408</v>
      </c>
      <c r="F2" s="509" t="s">
        <v>1733</v>
      </c>
      <c r="G2" s="511" t="str">
        <f>IF(E2="商业",项目基本情况!B37,IF(E2="办公",项目基本情况!C37,IF(E2="住宅",项目基本情况!D37,IF(E2="工业",项目基本情况!E37,项目基本情况!F37))))</f>
        <v>七级</v>
      </c>
      <c r="H2" s="509" t="s">
        <v>1734</v>
      </c>
      <c r="I2" s="511" t="str">
        <f>IF(E2="商业",项目基本情况!B38,IF(E2="办公",项目基本情况!C38,IF(E2="住宅",项目基本情况!D38,IF(E2="工业",项目基本情况!E38,项目基本情况!F38))))</f>
        <v>Ⅶ-亦1</v>
      </c>
      <c r="J2" s="507"/>
      <c r="K2" s="499"/>
      <c r="L2" s="708" t="s">
        <v>1735</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2161</v>
      </c>
      <c r="U2" s="797"/>
      <c r="V2" s="796">
        <f>ROUND(T2*U2/10000,0)</f>
        <v>0</v>
      </c>
      <c r="W2" s="795"/>
      <c r="X2" s="795"/>
      <c r="Y2" s="795"/>
      <c r="Z2" s="795"/>
      <c r="AA2" s="795"/>
      <c r="AB2" s="795"/>
      <c r="AC2" s="806"/>
      <c r="AD2" s="807"/>
      <c r="AE2" s="807"/>
      <c r="AF2" s="807"/>
      <c r="AG2" s="807"/>
      <c r="AH2" s="807"/>
      <c r="AI2" s="807"/>
      <c r="AJ2" s="816"/>
    </row>
    <row r="3" spans="1:36" ht="15.75">
      <c r="A3" s="348" t="s">
        <v>1039</v>
      </c>
      <c r="B3" s="349">
        <f>ROUND(B2*10000/D1,0)</f>
        <v>1523</v>
      </c>
      <c r="C3" s="508" t="s">
        <v>1040</v>
      </c>
      <c r="D3" s="509" t="s">
        <v>1736</v>
      </c>
      <c r="E3" s="512" t="s">
        <v>1737</v>
      </c>
      <c r="F3" s="513" t="s">
        <v>1738</v>
      </c>
      <c r="G3" s="514">
        <f>IF(F3="宗地容积率",'数据-汇总表'!I4,IF(F3="估价对象容积率",'数据-汇总表'!I6,'数据-汇总表'!I7))</f>
        <v>1</v>
      </c>
      <c r="H3" s="509" t="s">
        <v>1739</v>
      </c>
      <c r="I3" s="710"/>
      <c r="J3" s="507" t="s">
        <v>1740</v>
      </c>
      <c r="K3" s="499"/>
      <c r="L3" s="708" t="s">
        <v>1741</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1703</v>
      </c>
      <c r="U3" s="797"/>
      <c r="V3" s="796">
        <f t="shared" ref="V3:V16" si="1">ROUND(T3*U3/10000,0)</f>
        <v>0</v>
      </c>
      <c r="W3" s="795"/>
      <c r="X3" s="795"/>
      <c r="Y3" s="795"/>
      <c r="Z3" s="795"/>
      <c r="AA3" s="795"/>
      <c r="AB3" s="795"/>
      <c r="AC3" s="806"/>
      <c r="AD3" s="807"/>
      <c r="AE3" s="807"/>
      <c r="AF3" s="807"/>
      <c r="AG3" s="807"/>
      <c r="AH3" s="807"/>
      <c r="AI3" s="807"/>
      <c r="AJ3" s="816"/>
    </row>
    <row r="4" spans="1:36" ht="15.75">
      <c r="A4" s="3454"/>
      <c r="B4" s="3455"/>
      <c r="C4" s="3455"/>
      <c r="D4" s="3456"/>
      <c r="E4" s="3456"/>
      <c r="F4" s="3456"/>
      <c r="G4" s="3456"/>
      <c r="H4" s="3456"/>
      <c r="I4" s="3456"/>
      <c r="J4" s="3457"/>
      <c r="K4" s="499"/>
      <c r="L4" s="708" t="s">
        <v>1742</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1439</v>
      </c>
      <c r="U4" s="797"/>
      <c r="V4" s="796">
        <f t="shared" si="1"/>
        <v>0</v>
      </c>
      <c r="W4" s="795"/>
      <c r="X4" s="795"/>
      <c r="Y4" s="795"/>
      <c r="Z4" s="795"/>
      <c r="AA4" s="795"/>
      <c r="AB4" s="795"/>
      <c r="AC4" s="806"/>
      <c r="AD4" s="807"/>
      <c r="AE4" s="807"/>
      <c r="AF4" s="807"/>
      <c r="AG4" s="807"/>
      <c r="AH4" s="807"/>
      <c r="AI4" s="807"/>
      <c r="AJ4" s="816"/>
    </row>
    <row r="5" spans="1:36" s="498" customFormat="1" ht="15">
      <c r="A5" s="515" t="s">
        <v>943</v>
      </c>
      <c r="B5" s="516" t="s">
        <v>1743</v>
      </c>
      <c r="C5" s="517">
        <f>ROUND(IF(E2="商业",C6*C7*C17+C20,(IF(E2="住宅",C6*C13*C17+C20,IF(E2="办公",C6*C12*C17+C20,C6+C20)))),0)</f>
        <v>1615</v>
      </c>
      <c r="D5" s="518">
        <f>ROUND(C6*C17+C20,0)</f>
        <v>1615</v>
      </c>
      <c r="E5" s="518"/>
      <c r="F5" s="519"/>
      <c r="G5" s="520"/>
      <c r="H5" s="520"/>
      <c r="I5" s="520"/>
      <c r="J5" s="711"/>
      <c r="K5" s="712"/>
      <c r="L5" s="708" t="s">
        <v>1744</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1269</v>
      </c>
      <c r="U5" s="797"/>
      <c r="V5" s="796">
        <f t="shared" si="1"/>
        <v>0</v>
      </c>
      <c r="W5" s="795"/>
      <c r="X5" s="795"/>
      <c r="Y5" s="795"/>
      <c r="Z5" s="795"/>
      <c r="AA5" s="795"/>
      <c r="AB5" s="795"/>
      <c r="AC5" s="808"/>
      <c r="AD5" s="809"/>
      <c r="AE5" s="809"/>
      <c r="AF5" s="809"/>
      <c r="AG5" s="809"/>
      <c r="AH5" s="809"/>
      <c r="AI5" s="809"/>
      <c r="AJ5" s="817"/>
    </row>
    <row r="6" spans="1:36" ht="15">
      <c r="A6" s="521" t="s">
        <v>1042</v>
      </c>
      <c r="B6" s="522" t="s">
        <v>1745</v>
      </c>
      <c r="C6" s="523">
        <f>SUMIF(L1:L12,G2,M1:M12)</f>
        <v>1690</v>
      </c>
      <c r="D6" s="524"/>
      <c r="E6" s="525"/>
      <c r="F6" s="525"/>
      <c r="G6" s="526"/>
      <c r="H6" s="526"/>
      <c r="I6" s="526"/>
      <c r="J6" s="713"/>
      <c r="K6" s="714"/>
      <c r="L6" s="708" t="s">
        <v>1746</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1220</v>
      </c>
      <c r="U6" s="797"/>
      <c r="V6" s="796">
        <f t="shared" si="1"/>
        <v>0</v>
      </c>
      <c r="W6" s="795"/>
      <c r="X6" s="795"/>
      <c r="Y6" s="795"/>
      <c r="Z6" s="795"/>
      <c r="AA6" s="795"/>
      <c r="AB6" s="795"/>
      <c r="AC6" s="808"/>
      <c r="AD6" s="809"/>
      <c r="AE6" s="809"/>
      <c r="AF6" s="809"/>
      <c r="AG6" s="809"/>
      <c r="AH6" s="809"/>
      <c r="AI6" s="809"/>
      <c r="AJ6" s="817"/>
    </row>
    <row r="7" spans="1:36" ht="24">
      <c r="A7" s="527" t="s">
        <v>1747</v>
      </c>
      <c r="B7" s="528" t="s">
        <v>1748</v>
      </c>
      <c r="C7" s="529">
        <f>IF(C8="不临65条商业街",1,ROUND(1+(1.6*E8+1.2*E9+0.8*E10+0.4*E11)*C9,4))</f>
        <v>1</v>
      </c>
      <c r="D7" s="530" t="s">
        <v>1749</v>
      </c>
      <c r="E7" s="531"/>
      <c r="F7" s="532"/>
      <c r="G7" s="533"/>
      <c r="H7" s="533"/>
      <c r="I7" s="533"/>
      <c r="J7" s="715"/>
      <c r="K7" s="714"/>
      <c r="L7" s="708" t="s">
        <v>1750</v>
      </c>
      <c r="M7" s="709">
        <f>SUMPRODUCT((区片价!B190:B233=I2)*(区片价!C3:G3=E2)*(区片价!C190:G233))</f>
        <v>1690</v>
      </c>
      <c r="N7" s="707">
        <f>SUMPRODUCT((因素修正幅度!B190:B233=I2)*(因素修正幅度!C3:G3=E2)*(因素修正幅度!C190:G233))</f>
        <v>0.13</v>
      </c>
      <c r="O7" s="499"/>
      <c r="P7" s="499"/>
      <c r="Q7" s="499"/>
      <c r="R7" s="794">
        <v>6</v>
      </c>
      <c r="S7" s="798"/>
      <c r="T7" s="796">
        <f t="shared" si="0"/>
        <v>0</v>
      </c>
      <c r="U7" s="797"/>
      <c r="V7" s="796">
        <f t="shared" si="1"/>
        <v>0</v>
      </c>
      <c r="W7" s="799" t="s">
        <v>1751</v>
      </c>
      <c r="X7" s="800" t="str">
        <f>G2</f>
        <v>七级</v>
      </c>
      <c r="Y7" s="800" t="s">
        <v>1752</v>
      </c>
      <c r="Z7" s="810">
        <f>G3</f>
        <v>1</v>
      </c>
      <c r="AA7" s="795"/>
      <c r="AB7" s="795"/>
      <c r="AC7" s="806"/>
      <c r="AD7" s="807"/>
      <c r="AE7" s="807"/>
      <c r="AF7" s="807"/>
      <c r="AG7" s="807"/>
      <c r="AH7" s="807"/>
      <c r="AI7" s="807"/>
      <c r="AJ7" s="816"/>
    </row>
    <row r="8" spans="1:36" ht="25.5">
      <c r="A8" s="534"/>
      <c r="B8" s="509" t="s">
        <v>1753</v>
      </c>
      <c r="C8" s="535" t="s">
        <v>1754</v>
      </c>
      <c r="D8" s="536" t="s">
        <v>1755</v>
      </c>
      <c r="E8" s="537" t="e">
        <f>ROUND(C11/E7,4)</f>
        <v>#DIV/0!</v>
      </c>
      <c r="F8" s="538" t="s">
        <v>1756</v>
      </c>
      <c r="G8" s="539"/>
      <c r="H8" s="539"/>
      <c r="I8" s="539"/>
      <c r="J8" s="716"/>
      <c r="K8" s="499"/>
      <c r="L8" s="708" t="s">
        <v>1757</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58" t="s">
        <v>1758</v>
      </c>
      <c r="X8" s="3459"/>
      <c r="Y8" s="811" t="s">
        <v>1759</v>
      </c>
      <c r="Z8" s="811" t="s">
        <v>1760</v>
      </c>
      <c r="AA8" s="811" t="s">
        <v>1761</v>
      </c>
      <c r="AB8" s="811" t="s">
        <v>1762</v>
      </c>
      <c r="AC8" s="811" t="s">
        <v>1763</v>
      </c>
      <c r="AD8" s="811" t="s">
        <v>1764</v>
      </c>
      <c r="AE8" s="811" t="s">
        <v>1765</v>
      </c>
      <c r="AF8" s="811" t="s">
        <v>1766</v>
      </c>
      <c r="AG8" s="811" t="s">
        <v>1767</v>
      </c>
      <c r="AH8" s="811" t="s">
        <v>1768</v>
      </c>
      <c r="AI8" s="811" t="s">
        <v>1769</v>
      </c>
      <c r="AJ8" s="811" t="s">
        <v>1770</v>
      </c>
    </row>
    <row r="9" spans="1:36" ht="15">
      <c r="A9" s="534"/>
      <c r="B9" s="509" t="s">
        <v>1771</v>
      </c>
      <c r="C9" s="540">
        <f>SUMIF(修正!C71:C138,C8,修正!E71:E138)</f>
        <v>0</v>
      </c>
      <c r="D9" s="511" t="s">
        <v>1772</v>
      </c>
      <c r="E9" s="511" t="e">
        <f>ROUND(C11/E7,4)</f>
        <v>#DIV/0!</v>
      </c>
      <c r="F9" s="538" t="s">
        <v>1773</v>
      </c>
      <c r="G9" s="539"/>
      <c r="H9" s="539"/>
      <c r="I9" s="539"/>
      <c r="J9" s="716"/>
      <c r="K9" s="499"/>
      <c r="L9" s="708" t="s">
        <v>1774</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72"/>
      <c r="X9" s="801" t="s">
        <v>1775</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1776</v>
      </c>
      <c r="C10" s="511">
        <f>SUMIF(修正!C71:C138,C8,修正!F71:F138)</f>
        <v>0</v>
      </c>
      <c r="D10" s="511" t="s">
        <v>1777</v>
      </c>
      <c r="E10" s="511" t="e">
        <f>ROUND(C11/E7,4)</f>
        <v>#DIV/0!</v>
      </c>
      <c r="F10" s="538" t="s">
        <v>1778</v>
      </c>
      <c r="G10" s="539"/>
      <c r="H10" s="539"/>
      <c r="I10" s="539"/>
      <c r="J10" s="716"/>
      <c r="K10" s="499"/>
      <c r="L10" s="708" t="s">
        <v>1779</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7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1780</v>
      </c>
      <c r="C11" s="543">
        <f>C10/4</f>
        <v>0</v>
      </c>
      <c r="D11" s="543" t="s">
        <v>1781</v>
      </c>
      <c r="E11" s="543" t="e">
        <f>ROUND(C11/E7,4)</f>
        <v>#DIV/0!</v>
      </c>
      <c r="F11" s="544" t="s">
        <v>1782</v>
      </c>
      <c r="G11" s="545"/>
      <c r="H11" s="545"/>
      <c r="I11" s="545"/>
      <c r="J11" s="717"/>
      <c r="K11" s="499"/>
      <c r="L11" s="708" t="s">
        <v>1783</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1784</v>
      </c>
      <c r="B12" s="546" t="s">
        <v>1785</v>
      </c>
      <c r="C12" s="547">
        <v>1</v>
      </c>
      <c r="D12" s="548" t="s">
        <v>1786</v>
      </c>
      <c r="E12" s="549" t="s">
        <v>1787</v>
      </c>
      <c r="F12" s="550"/>
      <c r="G12" s="551"/>
      <c r="H12" s="551"/>
      <c r="I12" s="551"/>
      <c r="J12" s="718"/>
      <c r="K12" s="499"/>
      <c r="L12" s="719" t="s">
        <v>1788</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1789</v>
      </c>
      <c r="B13" s="552" t="s">
        <v>1790</v>
      </c>
      <c r="C13" s="529">
        <f>ROUND(C16*D16*E16*F16*G16*H16*I16*J16,4)</f>
        <v>0</v>
      </c>
      <c r="D13" s="553" t="s">
        <v>1791</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1792</v>
      </c>
      <c r="C14" s="558" t="s">
        <v>1793</v>
      </c>
      <c r="D14" s="559" t="s">
        <v>1794</v>
      </c>
      <c r="E14" s="560" t="s">
        <v>1795</v>
      </c>
      <c r="F14" s="561" t="s">
        <v>1796</v>
      </c>
      <c r="G14" s="561" t="s">
        <v>1796</v>
      </c>
      <c r="H14" s="561" t="s">
        <v>1796</v>
      </c>
      <c r="I14" s="561" t="s">
        <v>1796</v>
      </c>
      <c r="J14" s="561" t="s">
        <v>1796</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1797</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1699</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1798</v>
      </c>
      <c r="B17" s="572" t="s">
        <v>1799</v>
      </c>
      <c r="C17" s="573">
        <f>ROUND(IF(OR(E2="工业",E2="公共服务"),1,IF(AND(E18=0,E19=0),1,IF(AND(E18=J24,E19=G19),0.8,IF(E19=0,1+E17*(-0.2),1+E17*G17*(-0.2))))),4)</f>
        <v>1</v>
      </c>
      <c r="D17" s="574" t="s">
        <v>1800</v>
      </c>
      <c r="E17" s="573">
        <f>ROUND(G18/I18,2)</f>
        <v>0</v>
      </c>
      <c r="F17" s="574" t="s">
        <v>1801</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1802</v>
      </c>
      <c r="E18" s="579"/>
      <c r="F18" s="580" t="s">
        <v>1803</v>
      </c>
      <c r="G18" s="577">
        <f>ROUND(1-(1/(POWER(1+G24,E18))),4)</f>
        <v>0</v>
      </c>
      <c r="H18" s="580" t="s">
        <v>1804</v>
      </c>
      <c r="I18" s="577">
        <f>ROUND(1-(1/(POWER(1+G24,J24))),4)</f>
        <v>0.91279999999999994</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1805</v>
      </c>
      <c r="E19" s="584"/>
      <c r="F19" s="585" t="s">
        <v>1806</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64" t="s">
        <v>1807</v>
      </c>
      <c r="B20" s="586" t="s">
        <v>1808</v>
      </c>
      <c r="C20" s="587">
        <f>ROUND(IF(F21="与级别开发程度一致",0,(G21-E21)/C21),0)</f>
        <v>-75</v>
      </c>
      <c r="D20" s="588" t="s">
        <v>1809</v>
      </c>
      <c r="E20" s="589"/>
      <c r="F20" s="3460" t="s">
        <v>1810</v>
      </c>
      <c r="G20" s="3461"/>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65"/>
      <c r="B21" s="591" t="s">
        <v>1811</v>
      </c>
      <c r="C21" s="592">
        <f>IF(E3="M4科研用地",SUMPRODUCT((修正!A2:A7=E3)*(修正!B1:M1=G2)*(修正!B2:M7)),SUMPRODUCT((修正!A2:A7=E2)*(修正!B1:M1=G2)*(修正!B2:M7)))</f>
        <v>1.2</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954</v>
      </c>
      <c r="B22" s="598" t="s">
        <v>1812</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959</v>
      </c>
      <c r="B23" s="603" t="s">
        <v>1813</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5" t="s">
        <v>1814</v>
      </c>
      <c r="E23" s="606">
        <v>44197</v>
      </c>
      <c r="F23" s="605" t="s">
        <v>1815</v>
      </c>
      <c r="G23" s="607">
        <f>'数据-取费表'!B2</f>
        <v>45791</v>
      </c>
      <c r="H23" s="608" t="s">
        <v>1816</v>
      </c>
      <c r="I23" s="738" t="str">
        <f>IF(H23="季度增幅（自定义）",SUMIF(N25:N28,E2,O25:O28),"")</f>
        <v/>
      </c>
      <c r="J23" s="739" t="s">
        <v>1817</v>
      </c>
      <c r="K23" s="735"/>
      <c r="L23" s="740" t="s">
        <v>1818</v>
      </c>
      <c r="M23" s="741">
        <f>ROUND(SUMIF(地价!B2:G2,E2,地价!B16:G16),0)</f>
        <v>318</v>
      </c>
      <c r="N23" s="742" t="s">
        <v>1819</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962</v>
      </c>
      <c r="B24" s="610" t="s">
        <v>1820</v>
      </c>
      <c r="C24" s="611">
        <f>ROUND(POWER(1+G24,J24-I24)*(POWER(1+G24,I24)-1)/(POWER(1+G24,J24)-1),4)</f>
        <v>0.80110000000000003</v>
      </c>
      <c r="D24" s="612" t="s">
        <v>1821</v>
      </c>
      <c r="E24" s="613">
        <f>存贷款利率!E27/100</f>
        <v>4.3499999999999997E-2</v>
      </c>
      <c r="F24" s="612" t="s">
        <v>1822</v>
      </c>
      <c r="G24" s="614">
        <f>SUMIF(M30:Q30,E2,M33:Q33)</f>
        <v>0.05</v>
      </c>
      <c r="H24" s="612" t="s">
        <v>1823</v>
      </c>
      <c r="I24" s="744">
        <f>SUMIF('数据-取费表'!C6:C15,E2,'数据-取费表'!F6:F15)/COUNTIF('数据-取费表'!C6:C15,E2)</f>
        <v>26.93</v>
      </c>
      <c r="J24" s="745">
        <f>IF(E2="住宅",70,IF(E2="商业",40,50))</f>
        <v>50</v>
      </c>
      <c r="K24" s="735"/>
      <c r="L24" s="746" t="s">
        <v>1824</v>
      </c>
      <c r="M24" s="747">
        <f>ROUND(SUMPRODUCT((地价!A4:A16=YEAR(G23)&amp;"-"&amp;ROUNDUP(MONTH(G23)/3,0))*(地价!B2:G2=E2)*(地价!B4:G16)),0)</f>
        <v>0</v>
      </c>
      <c r="N24" s="748" t="s">
        <v>1825</v>
      </c>
      <c r="O24" s="749" t="s">
        <v>1826</v>
      </c>
      <c r="P24" s="750" t="s">
        <v>1827</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984</v>
      </c>
      <c r="B25" s="616" t="s">
        <v>1828</v>
      </c>
      <c r="C25" s="617">
        <f>IF(B25="容积率修正",IF(G3&lt;10,D26,J26),C27)</f>
        <v>1.0583</v>
      </c>
      <c r="D25" s="618"/>
      <c r="E25" s="618"/>
      <c r="F25" s="618"/>
      <c r="G25" s="618"/>
      <c r="H25" s="618"/>
      <c r="I25" s="618"/>
      <c r="J25" s="751"/>
      <c r="K25" s="735"/>
      <c r="L25" s="736"/>
      <c r="M25" s="736"/>
      <c r="N25" s="752" t="s">
        <v>1829</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1830</v>
      </c>
      <c r="B26" s="620" t="s">
        <v>1831</v>
      </c>
      <c r="C26" s="620" t="s">
        <v>1832</v>
      </c>
      <c r="D26" s="621">
        <f>IF(E26=G26,F26,IF(G3&lt;10,ROUND(F26+(H26-F26)*(G3-E26)/(G26-E26),4),"——"))</f>
        <v>1.0583</v>
      </c>
      <c r="E26" s="514">
        <f>ROUNDDOWN(G3,1)</f>
        <v>1</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4">
        <f>ROUNDUP(G3,1)</f>
        <v>1</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20" t="s">
        <v>1833</v>
      </c>
      <c r="J26" s="755" t="str">
        <f>IF(G3&gt;=10,D115,"——")</f>
        <v>——</v>
      </c>
      <c r="K26" s="735"/>
      <c r="L26" s="736"/>
      <c r="M26" s="736"/>
      <c r="N26" s="752" t="s">
        <v>1834</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1835</v>
      </c>
      <c r="B27" s="622" t="s">
        <v>1836</v>
      </c>
      <c r="C27" s="623">
        <f>ROUND(IF(I3&lt;6,SUMPRODUCT((B106:B110=I3)*(C105:N105=G2)*(C106:N110)),SUMIF(C105:N105,G2,C112:N112)),4)</f>
        <v>0</v>
      </c>
      <c r="D27" s="507"/>
      <c r="E27" s="507"/>
      <c r="F27" s="624"/>
      <c r="G27" s="625"/>
      <c r="H27" s="626"/>
      <c r="I27" s="756"/>
      <c r="J27" s="757"/>
      <c r="K27" s="499"/>
      <c r="L27" s="500"/>
      <c r="M27" s="500"/>
      <c r="N27" s="752" t="s">
        <v>1837</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1838</v>
      </c>
      <c r="B28" s="603" t="s">
        <v>1839</v>
      </c>
      <c r="C28" s="604">
        <f>SUMIF(A47:A101,E2,B47:B101)</f>
        <v>1.0227999999999999</v>
      </c>
      <c r="D28" s="627"/>
      <c r="E28" s="628"/>
      <c r="F28" s="628"/>
      <c r="G28" s="628"/>
      <c r="H28" s="628"/>
      <c r="I28" s="628"/>
      <c r="J28" s="758"/>
      <c r="K28" s="735"/>
      <c r="L28" s="736"/>
      <c r="M28" s="736"/>
      <c r="N28" s="759" t="s">
        <v>1840</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1841</v>
      </c>
      <c r="B29" s="629" t="s">
        <v>1842</v>
      </c>
      <c r="C29" s="630"/>
      <c r="D29" s="533"/>
      <c r="E29" s="533"/>
      <c r="F29" s="631"/>
      <c r="G29" s="533"/>
      <c r="H29" s="533"/>
      <c r="I29" s="533"/>
      <c r="J29" s="715"/>
      <c r="K29" s="499"/>
      <c r="L29" s="500"/>
      <c r="M29" s="500"/>
      <c r="N29" s="762" t="s">
        <v>1843</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1844</v>
      </c>
      <c r="C30" s="633">
        <f>IF(B25="容积率修正",E33+SUM(E37:E42),SUM(V2:V16)+SUM(E37:E42))</f>
        <v>10258</v>
      </c>
      <c r="D30" s="634"/>
      <c r="E30" s="507"/>
      <c r="F30" s="635"/>
      <c r="G30" s="507"/>
      <c r="H30" s="507"/>
      <c r="I30" s="507"/>
      <c r="J30" s="765"/>
      <c r="K30" s="499"/>
      <c r="L30" s="766" t="s">
        <v>1732</v>
      </c>
      <c r="M30" s="767" t="s">
        <v>1845</v>
      </c>
      <c r="N30" s="767" t="s">
        <v>1846</v>
      </c>
      <c r="O30" s="767" t="s">
        <v>1847</v>
      </c>
      <c r="P30" s="767" t="s">
        <v>1848</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1849</v>
      </c>
      <c r="C31" s="636">
        <f>E34+SUM(I37:I42)</f>
        <v>0</v>
      </c>
      <c r="D31" s="637"/>
      <c r="E31" s="638"/>
      <c r="F31" s="639"/>
      <c r="G31" s="638"/>
      <c r="H31" s="638"/>
      <c r="I31" s="638"/>
      <c r="J31" s="768"/>
      <c r="K31" s="499"/>
      <c r="L31" s="769" t="s">
        <v>1850</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1851</v>
      </c>
      <c r="C32" s="642" t="s">
        <v>1852</v>
      </c>
      <c r="D32" s="642" t="s">
        <v>571</v>
      </c>
      <c r="E32" s="643" t="s">
        <v>1853</v>
      </c>
      <c r="F32" s="644"/>
      <c r="G32" s="555"/>
      <c r="H32" s="555"/>
      <c r="I32" s="555"/>
      <c r="J32" s="721"/>
      <c r="K32" s="499"/>
      <c r="L32" s="770" t="s">
        <v>1822</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1854</v>
      </c>
      <c r="C33" s="647">
        <f>ROUND(C5*C22*C23*C24*C25*C28,0)</f>
        <v>1523</v>
      </c>
      <c r="D33" s="648">
        <f>'数据-基础表'!A3</f>
        <v>67351.83</v>
      </c>
      <c r="E33" s="649">
        <f>ROUND(C33*D33/10000,0)</f>
        <v>10258</v>
      </c>
      <c r="F33" s="650" t="s">
        <v>1855</v>
      </c>
      <c r="G33" s="651"/>
      <c r="H33" s="651"/>
      <c r="I33" s="651"/>
      <c r="J33" s="772"/>
      <c r="K33" s="499"/>
      <c r="L33" s="773" t="s">
        <v>1856</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1857</v>
      </c>
      <c r="C34" s="593">
        <f>ROUND(IF(E2="工业",C33*M42,IF(B25="楼层修正",SUM(V2:V16)*M41*10000/D34,C33*M41)),0)</f>
        <v>228</v>
      </c>
      <c r="D34" s="654"/>
      <c r="E34" s="649">
        <f>ROUND(IF(B25="楼层修正",SUM(V2:V16)*M40,C34*D34/10000),0)</f>
        <v>0</v>
      </c>
      <c r="F34" s="655" t="s">
        <v>1858</v>
      </c>
      <c r="G34" s="656"/>
      <c r="H34" s="656"/>
      <c r="I34" s="656"/>
      <c r="J34" s="775"/>
      <c r="K34" s="499"/>
      <c r="L34" s="773" t="s">
        <v>1859</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1860</v>
      </c>
      <c r="C35" s="659" t="s">
        <v>1861</v>
      </c>
      <c r="D35" s="555"/>
      <c r="E35" s="660"/>
      <c r="F35" s="660"/>
      <c r="G35" s="553" t="s">
        <v>1858</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1852</v>
      </c>
      <c r="D36" s="663" t="s">
        <v>571</v>
      </c>
      <c r="E36" s="663" t="s">
        <v>1853</v>
      </c>
      <c r="F36" s="506" t="s">
        <v>1862</v>
      </c>
      <c r="G36" s="664" t="s">
        <v>1852</v>
      </c>
      <c r="H36" s="664" t="s">
        <v>571</v>
      </c>
      <c r="I36" s="664" t="s">
        <v>1853</v>
      </c>
      <c r="J36" s="393"/>
      <c r="K36" s="674" t="s">
        <v>1863</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66"/>
      <c r="B37" s="665" t="s">
        <v>1864</v>
      </c>
      <c r="C37" s="647">
        <f>ROUND(D5*C22*C23*C24*C28*F37,0)</f>
        <v>863</v>
      </c>
      <c r="D37" s="648"/>
      <c r="E37" s="511">
        <f>ROUND(C37*D37/10000,0)</f>
        <v>0</v>
      </c>
      <c r="F37" s="511">
        <f>SUMIF(修正!A57:A68,G2,修正!B57:B68)</f>
        <v>0.6</v>
      </c>
      <c r="G37" s="511">
        <f>ROUND(IF(E2="工业",C37*$M$42,C37*$M$41),0)</f>
        <v>129</v>
      </c>
      <c r="H37" s="511">
        <f>D37</f>
        <v>0</v>
      </c>
      <c r="I37" s="511">
        <f>ROUND(G37*H37/10000,0)</f>
        <v>0</v>
      </c>
      <c r="J37" s="779"/>
      <c r="K37" s="780" t="s">
        <v>1865</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67"/>
      <c r="B38" s="558" t="s">
        <v>1866</v>
      </c>
      <c r="C38" s="647">
        <f>ROUND(D5*C22*C23*C24*C28*F38,0)</f>
        <v>432</v>
      </c>
      <c r="D38" s="648"/>
      <c r="E38" s="511">
        <f t="shared" ref="E38:E42" si="4">ROUND(C38*D38/10000,0)</f>
        <v>0</v>
      </c>
      <c r="F38" s="511">
        <f>SUMIF(修正!A57:A68,G2,修正!C57:C68)</f>
        <v>0.3</v>
      </c>
      <c r="G38" s="511">
        <f>ROUND(IF(E2="工业",C38*$M$42,C38*$M$41),0)</f>
        <v>65</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67"/>
      <c r="B39" s="558" t="s">
        <v>1867</v>
      </c>
      <c r="C39" s="647">
        <f>ROUND(D5*C22*C23*C24*C28*F39,0)</f>
        <v>360</v>
      </c>
      <c r="D39" s="648"/>
      <c r="E39" s="511">
        <f t="shared" si="4"/>
        <v>0</v>
      </c>
      <c r="F39" s="511">
        <f>SUMIF(修正!A57:A68,G2,修正!D57:D68)</f>
        <v>0.25</v>
      </c>
      <c r="G39" s="511">
        <f>ROUND(IF(E2="工业",C39*$M$42,C39*$M$41),0)</f>
        <v>54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1868</v>
      </c>
      <c r="C40" s="511">
        <f>ROUND(D5*C22*C23*C24*C28*F40,0)</f>
        <v>360</v>
      </c>
      <c r="D40" s="648"/>
      <c r="E40" s="511">
        <f t="shared" si="4"/>
        <v>0</v>
      </c>
      <c r="F40" s="647">
        <f>SUMIF(修正!A57:A68,G2,修正!E57:E68)</f>
        <v>0.25</v>
      </c>
      <c r="G40" s="511">
        <f>ROUND(IF(E2="工业",C40*$M$42,C40*$M$41),0)</f>
        <v>54</v>
      </c>
      <c r="H40" s="511">
        <f t="shared" si="5"/>
        <v>0</v>
      </c>
      <c r="I40" s="511">
        <f t="shared" si="6"/>
        <v>0</v>
      </c>
      <c r="J40" s="781"/>
      <c r="L40" s="782" t="s">
        <v>1869</v>
      </c>
      <c r="M40" s="783"/>
      <c r="Z40" s="670"/>
      <c r="AA40" s="670"/>
      <c r="AB40" s="670"/>
      <c r="AC40" s="670"/>
      <c r="AD40" s="670"/>
      <c r="AE40" s="670"/>
      <c r="AF40" s="670"/>
      <c r="AG40" s="670"/>
      <c r="AH40" s="670"/>
      <c r="AI40" s="670"/>
      <c r="AJ40" s="670"/>
    </row>
    <row r="41" spans="1:37" s="499" customFormat="1">
      <c r="A41" s="667"/>
      <c r="B41" s="558" t="s">
        <v>1870</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1871</v>
      </c>
      <c r="M41" s="785">
        <v>0.25</v>
      </c>
      <c r="Z41" s="670"/>
      <c r="AA41" s="670"/>
      <c r="AB41" s="670"/>
      <c r="AC41" s="670"/>
      <c r="AD41" s="670"/>
      <c r="AE41" s="670"/>
      <c r="AF41" s="670"/>
      <c r="AG41" s="670"/>
      <c r="AH41" s="670"/>
      <c r="AI41" s="670"/>
      <c r="AJ41" s="670"/>
    </row>
    <row r="42" spans="1:37" s="499" customFormat="1">
      <c r="A42" s="652"/>
      <c r="B42" s="668" t="s">
        <v>1872</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1848</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1873</v>
      </c>
      <c r="C44" s="506">
        <f>ROUND(POWER(1+E44,H44-G44)*(POWER(1+E44,G44)-1)/(POWER(1+E44,H44)-1),4)</f>
        <v>0</v>
      </c>
      <c r="D44" s="511" t="s">
        <v>1822</v>
      </c>
      <c r="E44" s="672">
        <f>G24</f>
        <v>0.05</v>
      </c>
      <c r="F44" s="511" t="s">
        <v>1823</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1874</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hidden="1">
      <c r="A48" s="679" t="s">
        <v>1875</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hidden="1">
      <c r="A49" s="685" t="s">
        <v>1876</v>
      </c>
      <c r="B49" s="686" t="s">
        <v>1877</v>
      </c>
      <c r="C49" s="686" t="s">
        <v>1878</v>
      </c>
      <c r="D49" s="686" t="s">
        <v>1879</v>
      </c>
      <c r="E49" s="687" t="s">
        <v>1880</v>
      </c>
      <c r="F49" s="688" t="s">
        <v>1881</v>
      </c>
      <c r="G49" s="686" t="s">
        <v>1699</v>
      </c>
      <c r="H49" s="689" t="s">
        <v>1882</v>
      </c>
      <c r="I49" s="686" t="s">
        <v>1883</v>
      </c>
      <c r="J49" s="790" t="s">
        <v>1578</v>
      </c>
      <c r="K49" s="790" t="s">
        <v>1579</v>
      </c>
      <c r="L49" s="790" t="s">
        <v>1580</v>
      </c>
      <c r="M49" s="790" t="s">
        <v>1581</v>
      </c>
      <c r="N49" s="790" t="s">
        <v>1582</v>
      </c>
      <c r="AA49" s="670"/>
      <c r="AB49" s="670"/>
      <c r="AC49" s="670"/>
      <c r="AD49" s="670"/>
      <c r="AE49" s="670"/>
      <c r="AF49" s="670"/>
      <c r="AG49" s="670"/>
      <c r="AH49" s="670"/>
      <c r="AI49" s="670"/>
      <c r="AJ49" s="670"/>
      <c r="AK49" s="670"/>
    </row>
    <row r="50" spans="1:37" s="499" customFormat="1" ht="38.25" hidden="1">
      <c r="A50" s="685" t="s">
        <v>1884</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hidden="1">
      <c r="A51" s="685" t="s">
        <v>1885</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hidden="1">
      <c r="A52" s="697" t="s">
        <v>1886</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hidden="1">
      <c r="A53" s="685" t="s">
        <v>1887</v>
      </c>
      <c r="B53" s="698" t="s">
        <v>1888</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hidden="1">
      <c r="A54" s="685" t="s">
        <v>1889</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hidden="1">
      <c r="A55" s="685" t="s">
        <v>1890</v>
      </c>
      <c r="B55" s="699" t="s">
        <v>1891</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hidden="1">
      <c r="A56" s="700" t="s">
        <v>1892</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hidden="1">
      <c r="A57" s="700" t="s">
        <v>1893</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hidden="1">
      <c r="A58" s="702" t="s">
        <v>1894</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hidden="1">
      <c r="A59" s="679" t="s">
        <v>1895</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hidden="1">
      <c r="A60" s="685" t="s">
        <v>1876</v>
      </c>
      <c r="B60" s="686"/>
      <c r="C60" s="686" t="s">
        <v>1878</v>
      </c>
      <c r="D60" s="686" t="s">
        <v>1879</v>
      </c>
      <c r="E60" s="687" t="s">
        <v>1880</v>
      </c>
      <c r="F60" s="688" t="s">
        <v>1896</v>
      </c>
      <c r="G60" s="686" t="s">
        <v>1699</v>
      </c>
      <c r="H60" s="689" t="s">
        <v>1882</v>
      </c>
      <c r="I60" s="686" t="s">
        <v>1883</v>
      </c>
      <c r="J60" s="790" t="s">
        <v>1578</v>
      </c>
      <c r="K60" s="790" t="s">
        <v>1579</v>
      </c>
      <c r="L60" s="790" t="s">
        <v>1580</v>
      </c>
      <c r="M60" s="790" t="s">
        <v>1581</v>
      </c>
      <c r="N60" s="790" t="s">
        <v>1582</v>
      </c>
      <c r="AA60" s="670"/>
      <c r="AB60" s="670"/>
      <c r="AC60" s="670"/>
      <c r="AD60" s="670"/>
      <c r="AE60" s="670"/>
      <c r="AF60" s="670"/>
      <c r="AG60" s="670"/>
      <c r="AH60" s="670"/>
      <c r="AI60" s="670"/>
      <c r="AJ60" s="670"/>
      <c r="AK60" s="670"/>
    </row>
    <row r="61" spans="1:37" s="499" customFormat="1" ht="38.25" hidden="1">
      <c r="A61" s="685" t="s">
        <v>1897</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hidden="1">
      <c r="A62" s="685" t="s">
        <v>1885</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hidden="1">
      <c r="A63" s="697" t="s">
        <v>1886</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hidden="1">
      <c r="A64" s="685" t="s">
        <v>1887</v>
      </c>
      <c r="B64" s="698" t="s">
        <v>1888</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hidden="1">
      <c r="A65" s="685" t="s">
        <v>1889</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hidden="1">
      <c r="A66" s="685" t="s">
        <v>1890</v>
      </c>
      <c r="B66" s="699" t="s">
        <v>1891</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hidden="1">
      <c r="A67" s="685" t="s">
        <v>1892</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hidden="1">
      <c r="A68" s="685" t="s">
        <v>1893</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hidden="1">
      <c r="A69" s="702" t="s">
        <v>1894</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hidden="1">
      <c r="A70" s="679" t="s">
        <v>1898</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hidden="1">
      <c r="A71" s="685" t="s">
        <v>1876</v>
      </c>
      <c r="B71" s="686"/>
      <c r="C71" s="686" t="s">
        <v>1878</v>
      </c>
      <c r="D71" s="686" t="s">
        <v>1879</v>
      </c>
      <c r="E71" s="687" t="s">
        <v>1880</v>
      </c>
      <c r="F71" s="688" t="s">
        <v>1896</v>
      </c>
      <c r="G71" s="686" t="s">
        <v>1699</v>
      </c>
      <c r="H71" s="689" t="s">
        <v>1882</v>
      </c>
      <c r="I71" s="686" t="s">
        <v>1883</v>
      </c>
      <c r="J71" s="790" t="s">
        <v>1578</v>
      </c>
      <c r="K71" s="790" t="s">
        <v>1579</v>
      </c>
      <c r="L71" s="790" t="s">
        <v>1580</v>
      </c>
      <c r="M71" s="790" t="s">
        <v>1581</v>
      </c>
      <c r="N71" s="790" t="s">
        <v>1582</v>
      </c>
      <c r="AA71" s="670"/>
      <c r="AB71" s="670"/>
      <c r="AC71" s="670"/>
      <c r="AD71" s="670"/>
      <c r="AE71" s="670"/>
      <c r="AF71" s="670"/>
      <c r="AG71" s="670"/>
      <c r="AH71" s="670"/>
      <c r="AI71" s="670"/>
      <c r="AJ71" s="670"/>
      <c r="AK71" s="670"/>
    </row>
    <row r="72" spans="1:37" s="499" customFormat="1" ht="51" hidden="1">
      <c r="A72" s="685" t="s">
        <v>1899</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hidden="1">
      <c r="A73" s="685" t="s">
        <v>1885</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hidden="1">
      <c r="A74" s="697" t="s">
        <v>1886</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hidden="1">
      <c r="A75" s="685" t="s">
        <v>1900</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hidden="1">
      <c r="A76" s="685" t="s">
        <v>1892</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hidden="1">
      <c r="A77" s="685" t="s">
        <v>1893</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hidden="1">
      <c r="A78" s="685" t="s">
        <v>1890</v>
      </c>
      <c r="B78" s="699" t="s">
        <v>1891</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hidden="1">
      <c r="A79" s="685" t="s">
        <v>1894</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hidden="1">
      <c r="A80" s="702" t="s">
        <v>1901</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1902</v>
      </c>
      <c r="B81" s="680">
        <f>1+E83</f>
        <v>1.0227999999999999</v>
      </c>
      <c r="C81" s="682"/>
      <c r="D81" s="682"/>
      <c r="E81" s="683"/>
      <c r="F81" s="684"/>
      <c r="G81" s="678"/>
      <c r="H81" s="678"/>
      <c r="I81" s="678"/>
      <c r="J81" s="677"/>
      <c r="K81" s="677"/>
      <c r="L81" s="677"/>
      <c r="M81" s="677"/>
      <c r="N81" s="677"/>
      <c r="Z81" s="503"/>
      <c r="AA81" s="501"/>
      <c r="AG81" s="505"/>
      <c r="AK81" s="501"/>
    </row>
    <row r="82" spans="1:37" ht="24.75">
      <c r="A82" s="685" t="s">
        <v>1876</v>
      </c>
      <c r="B82" s="686"/>
      <c r="C82" s="686" t="s">
        <v>1878</v>
      </c>
      <c r="D82" s="686" t="s">
        <v>1879</v>
      </c>
      <c r="E82" s="687" t="s">
        <v>1880</v>
      </c>
      <c r="F82" s="688" t="s">
        <v>1896</v>
      </c>
      <c r="G82" s="686" t="s">
        <v>1699</v>
      </c>
      <c r="H82" s="689" t="s">
        <v>1882</v>
      </c>
      <c r="I82" s="686" t="s">
        <v>1883</v>
      </c>
      <c r="J82" s="790" t="s">
        <v>1578</v>
      </c>
      <c r="K82" s="790" t="s">
        <v>1579</v>
      </c>
      <c r="L82" s="790" t="s">
        <v>1580</v>
      </c>
      <c r="M82" s="790" t="s">
        <v>1581</v>
      </c>
      <c r="N82" s="790" t="s">
        <v>1582</v>
      </c>
      <c r="Z82" s="503"/>
      <c r="AA82" s="501"/>
      <c r="AG82" s="505"/>
      <c r="AK82" s="501"/>
    </row>
    <row r="83" spans="1:37" ht="38.25">
      <c r="A83" s="685" t="s">
        <v>1903</v>
      </c>
      <c r="B83" s="686" t="str">
        <f>估价对象房地状况!G15</f>
        <v>估价对象位于XX开发区，园区建设成熟度XX，产业集聚程度XX</v>
      </c>
      <c r="C83" s="564" t="s">
        <v>1904</v>
      </c>
      <c r="D83" s="691">
        <f t="shared" ref="D83:D90" si="22">SUMIF($J$82:$N$82,C83,J83:N83)</f>
        <v>0</v>
      </c>
      <c r="E83" s="692">
        <f>ROUND(SUM(D83:D90),4)</f>
        <v>2.2800000000000001E-2</v>
      </c>
      <c r="F83" s="693">
        <f>IF(E2="工业",SUMIF(L1:L12,G2,N1:N12),"——")</f>
        <v>0.13</v>
      </c>
      <c r="G83" s="694">
        <f>H83</f>
        <v>1.6899999999999998E-2</v>
      </c>
      <c r="H83" s="695">
        <f t="shared" ref="H83:H90" si="23">IFERROR(ROUNDDOWN($F$83*I83/2,4),"——")</f>
        <v>1.6899999999999998E-2</v>
      </c>
      <c r="I83" s="791">
        <v>0.26</v>
      </c>
      <c r="J83" s="792">
        <f t="shared" ref="J83:J90" si="24">K83+$G83</f>
        <v>3.3799999999999997E-2</v>
      </c>
      <c r="K83" s="792">
        <f t="shared" ref="K83:K90" si="25">$L83+$G83</f>
        <v>1.6899999999999998E-2</v>
      </c>
      <c r="L83" s="792">
        <v>0</v>
      </c>
      <c r="M83" s="792">
        <f t="shared" ref="M83:N90" si="26">L83-$G83</f>
        <v>-1.6899999999999998E-2</v>
      </c>
      <c r="N83" s="792">
        <f t="shared" si="26"/>
        <v>-3.3799999999999997E-2</v>
      </c>
      <c r="Z83" s="503"/>
      <c r="AA83" s="501"/>
      <c r="AG83" s="505"/>
      <c r="AK83" s="501"/>
    </row>
    <row r="84" spans="1:37" ht="38.25">
      <c r="A84" s="685" t="s">
        <v>1885</v>
      </c>
      <c r="B84" s="686" t="str">
        <f>估价对象房地状况!G16</f>
        <v>估价对象周边道路状况、公共交通通达情况、停车便捷程度，综合评价交通便捷度较好</v>
      </c>
      <c r="C84" s="564" t="s">
        <v>1905</v>
      </c>
      <c r="D84" s="691">
        <f t="shared" si="22"/>
        <v>1.95E-2</v>
      </c>
      <c r="E84" s="824"/>
      <c r="F84" s="693"/>
      <c r="G84" s="694">
        <f t="shared" ref="G84:G90" si="27">H84</f>
        <v>1.95E-2</v>
      </c>
      <c r="H84" s="695">
        <f t="shared" si="23"/>
        <v>1.95E-2</v>
      </c>
      <c r="I84" s="791">
        <v>0.3</v>
      </c>
      <c r="J84" s="792">
        <f t="shared" si="24"/>
        <v>3.9E-2</v>
      </c>
      <c r="K84" s="792">
        <f t="shared" si="25"/>
        <v>1.95E-2</v>
      </c>
      <c r="L84" s="792">
        <v>0</v>
      </c>
      <c r="M84" s="792">
        <f t="shared" si="26"/>
        <v>-1.95E-2</v>
      </c>
      <c r="N84" s="792">
        <f t="shared" si="26"/>
        <v>-3.9E-2</v>
      </c>
      <c r="Z84" s="503"/>
      <c r="AA84" s="501"/>
      <c r="AG84" s="505"/>
      <c r="AK84" s="501"/>
    </row>
    <row r="85" spans="1:37" ht="36">
      <c r="A85" s="697" t="s">
        <v>1886</v>
      </c>
      <c r="B85" s="686">
        <f>估价对象房地状况!G17</f>
        <v>0</v>
      </c>
      <c r="C85" s="564" t="s">
        <v>1905</v>
      </c>
      <c r="D85" s="691">
        <f t="shared" si="22"/>
        <v>6.4999999999999997E-3</v>
      </c>
      <c r="E85" s="824"/>
      <c r="F85" s="693"/>
      <c r="G85" s="694">
        <f t="shared" si="27"/>
        <v>6.4999999999999997E-3</v>
      </c>
      <c r="H85" s="695">
        <f t="shared" si="23"/>
        <v>6.4999999999999997E-3</v>
      </c>
      <c r="I85" s="791">
        <v>0.1</v>
      </c>
      <c r="J85" s="792">
        <f t="shared" si="24"/>
        <v>1.2999999999999999E-2</v>
      </c>
      <c r="K85" s="792">
        <f t="shared" si="25"/>
        <v>6.4999999999999997E-3</v>
      </c>
      <c r="L85" s="792">
        <v>0</v>
      </c>
      <c r="M85" s="792">
        <f t="shared" si="26"/>
        <v>-6.4999999999999997E-3</v>
      </c>
      <c r="N85" s="792">
        <f t="shared" si="26"/>
        <v>-1.2999999999999999E-2</v>
      </c>
      <c r="Z85" s="503"/>
      <c r="AA85" s="501"/>
      <c r="AG85" s="505"/>
      <c r="AK85" s="501"/>
    </row>
    <row r="86" spans="1:37" ht="14.25">
      <c r="A86" s="685" t="s">
        <v>1900</v>
      </c>
      <c r="B86" s="686">
        <f>估价对象房地状况!G22</f>
        <v>0</v>
      </c>
      <c r="C86" s="564" t="s">
        <v>1906</v>
      </c>
      <c r="D86" s="691">
        <f t="shared" si="22"/>
        <v>-6.4000000000000003E-3</v>
      </c>
      <c r="E86" s="824"/>
      <c r="F86" s="693"/>
      <c r="G86" s="694">
        <f t="shared" si="27"/>
        <v>3.2000000000000002E-3</v>
      </c>
      <c r="H86" s="695">
        <f t="shared" si="23"/>
        <v>3.2000000000000002E-3</v>
      </c>
      <c r="I86" s="791">
        <v>0.05</v>
      </c>
      <c r="J86" s="792">
        <f t="shared" si="24"/>
        <v>6.4000000000000003E-3</v>
      </c>
      <c r="K86" s="792">
        <f t="shared" si="25"/>
        <v>3.2000000000000002E-3</v>
      </c>
      <c r="L86" s="792">
        <v>0</v>
      </c>
      <c r="M86" s="792">
        <f t="shared" si="26"/>
        <v>-3.2000000000000002E-3</v>
      </c>
      <c r="N86" s="792">
        <f t="shared" si="26"/>
        <v>-6.4000000000000003E-3</v>
      </c>
      <c r="Z86" s="503"/>
      <c r="AA86" s="501"/>
      <c r="AG86" s="505"/>
      <c r="AK86" s="501"/>
    </row>
    <row r="87" spans="1:37" ht="25.5">
      <c r="A87" s="685" t="s">
        <v>1892</v>
      </c>
      <c r="B87" s="701" t="str">
        <f>估价对象房地状况!G19</f>
        <v>估价对象所在区域公共配套设施齐备情况</v>
      </c>
      <c r="C87" s="564" t="s">
        <v>1907</v>
      </c>
      <c r="D87" s="691">
        <f t="shared" si="22"/>
        <v>-3.8999999999999998E-3</v>
      </c>
      <c r="E87" s="824"/>
      <c r="F87" s="693"/>
      <c r="G87" s="694">
        <f t="shared" si="27"/>
        <v>3.8999999999999998E-3</v>
      </c>
      <c r="H87" s="695">
        <f t="shared" si="23"/>
        <v>3.8999999999999998E-3</v>
      </c>
      <c r="I87" s="791">
        <v>0.06</v>
      </c>
      <c r="J87" s="792">
        <f t="shared" si="24"/>
        <v>7.7999999999999996E-3</v>
      </c>
      <c r="K87" s="792">
        <f t="shared" si="25"/>
        <v>3.8999999999999998E-3</v>
      </c>
      <c r="L87" s="792">
        <v>0</v>
      </c>
      <c r="M87" s="792">
        <f t="shared" si="26"/>
        <v>-3.8999999999999998E-3</v>
      </c>
      <c r="N87" s="792">
        <f t="shared" si="26"/>
        <v>-7.7999999999999996E-3</v>
      </c>
    </row>
    <row r="88" spans="1:37" ht="25.5">
      <c r="A88" s="685" t="s">
        <v>1893</v>
      </c>
      <c r="B88" s="701" t="str">
        <f>估价对象房地状况!G20</f>
        <v>估价对象所在区域基础设施水平</v>
      </c>
      <c r="C88" s="564" t="s">
        <v>1904</v>
      </c>
      <c r="D88" s="691">
        <f t="shared" si="22"/>
        <v>0</v>
      </c>
      <c r="E88" s="824"/>
      <c r="F88" s="693"/>
      <c r="G88" s="694">
        <f t="shared" si="27"/>
        <v>7.7999999999999996E-3</v>
      </c>
      <c r="H88" s="695">
        <f t="shared" si="23"/>
        <v>7.7999999999999996E-3</v>
      </c>
      <c r="I88" s="791">
        <v>0.12</v>
      </c>
      <c r="J88" s="792">
        <f t="shared" si="24"/>
        <v>1.5599999999999999E-2</v>
      </c>
      <c r="K88" s="792">
        <f t="shared" si="25"/>
        <v>7.7999999999999996E-3</v>
      </c>
      <c r="L88" s="792">
        <v>0</v>
      </c>
      <c r="M88" s="792">
        <f t="shared" si="26"/>
        <v>-7.7999999999999996E-3</v>
      </c>
      <c r="N88" s="792">
        <f t="shared" si="26"/>
        <v>-1.5599999999999999E-2</v>
      </c>
    </row>
    <row r="89" spans="1:37" ht="24">
      <c r="A89" s="685" t="s">
        <v>1890</v>
      </c>
      <c r="B89" s="699" t="s">
        <v>1908</v>
      </c>
      <c r="C89" s="564" t="s">
        <v>1905</v>
      </c>
      <c r="D89" s="691">
        <f t="shared" si="22"/>
        <v>3.8999999999999998E-3</v>
      </c>
      <c r="E89" s="824"/>
      <c r="F89" s="693"/>
      <c r="G89" s="694">
        <f t="shared" si="27"/>
        <v>3.8999999999999998E-3</v>
      </c>
      <c r="H89" s="695">
        <f t="shared" si="23"/>
        <v>3.8999999999999998E-3</v>
      </c>
      <c r="I89" s="791">
        <v>0.06</v>
      </c>
      <c r="J89" s="792">
        <f t="shared" si="24"/>
        <v>7.7999999999999996E-3</v>
      </c>
      <c r="K89" s="792">
        <f t="shared" si="25"/>
        <v>3.8999999999999998E-3</v>
      </c>
      <c r="L89" s="792">
        <v>0</v>
      </c>
      <c r="M89" s="792">
        <f t="shared" si="26"/>
        <v>-3.8999999999999998E-3</v>
      </c>
      <c r="N89" s="792">
        <f t="shared" si="26"/>
        <v>-7.7999999999999996E-3</v>
      </c>
    </row>
    <row r="90" spans="1:37" ht="38.25">
      <c r="A90" s="702" t="s">
        <v>1909</v>
      </c>
      <c r="B90" s="827" t="str">
        <f>估价对象房地状况!G18</f>
        <v>该园区内是否有污染型企业，绿化情况，卫生条件，整体环境状况判断</v>
      </c>
      <c r="C90" s="564" t="s">
        <v>1905</v>
      </c>
      <c r="D90" s="691">
        <f t="shared" si="22"/>
        <v>3.2000000000000002E-3</v>
      </c>
      <c r="E90" s="826"/>
      <c r="F90" s="693"/>
      <c r="G90" s="694">
        <f t="shared" si="27"/>
        <v>3.2000000000000002E-3</v>
      </c>
      <c r="H90" s="695">
        <f t="shared" si="23"/>
        <v>3.2000000000000002E-3</v>
      </c>
      <c r="I90" s="793">
        <v>0.05</v>
      </c>
      <c r="J90" s="792">
        <f t="shared" si="24"/>
        <v>6.4000000000000003E-3</v>
      </c>
      <c r="K90" s="792">
        <f t="shared" si="25"/>
        <v>3.2000000000000002E-3</v>
      </c>
      <c r="L90" s="792">
        <v>0</v>
      </c>
      <c r="M90" s="792">
        <f t="shared" si="26"/>
        <v>-3.2000000000000002E-3</v>
      </c>
      <c r="N90" s="792">
        <f t="shared" si="26"/>
        <v>-6.4000000000000003E-3</v>
      </c>
    </row>
    <row r="91" spans="1:37" ht="15">
      <c r="A91" s="828" t="s">
        <v>280</v>
      </c>
      <c r="B91" s="829">
        <f>1+E93</f>
        <v>1</v>
      </c>
      <c r="C91" s="830"/>
      <c r="D91" s="831"/>
      <c r="E91" s="693"/>
      <c r="F91" s="693"/>
      <c r="G91" s="832"/>
      <c r="H91" s="833"/>
      <c r="I91" s="866"/>
      <c r="J91" s="867"/>
      <c r="K91" s="867"/>
      <c r="L91" s="867"/>
      <c r="M91" s="867"/>
      <c r="N91" s="867"/>
    </row>
    <row r="92" spans="1:37" ht="24.75">
      <c r="A92" s="834" t="s">
        <v>1876</v>
      </c>
      <c r="B92" s="576"/>
      <c r="C92" s="576" t="s">
        <v>1878</v>
      </c>
      <c r="D92" s="576" t="s">
        <v>1879</v>
      </c>
      <c r="E92" s="804" t="s">
        <v>1880</v>
      </c>
      <c r="F92" s="835" t="s">
        <v>1896</v>
      </c>
      <c r="G92" s="576" t="s">
        <v>1699</v>
      </c>
      <c r="H92" s="836" t="s">
        <v>1882</v>
      </c>
      <c r="I92" s="576" t="s">
        <v>1883</v>
      </c>
      <c r="J92" s="868" t="s">
        <v>1578</v>
      </c>
      <c r="K92" s="868" t="s">
        <v>1579</v>
      </c>
      <c r="L92" s="868" t="s">
        <v>1580</v>
      </c>
      <c r="M92" s="868" t="s">
        <v>1581</v>
      </c>
      <c r="N92" s="868" t="s">
        <v>1582</v>
      </c>
    </row>
    <row r="93" spans="1:37" ht="24">
      <c r="A93" s="697" t="s">
        <v>1910</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1885</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1886</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1887</v>
      </c>
      <c r="B96" s="842" t="s">
        <v>1888</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1889</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1890</v>
      </c>
      <c r="B98" s="843" t="s">
        <v>1891</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1892</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1893</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1894</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62" t="s">
        <v>1911</v>
      </c>
      <c r="B103" s="3462"/>
      <c r="C103" s="3462"/>
      <c r="D103" s="3462"/>
      <c r="E103" s="3462"/>
      <c r="F103" s="3462"/>
      <c r="G103" s="3462"/>
      <c r="H103" s="3462"/>
      <c r="I103" s="3462"/>
      <c r="J103" s="3462"/>
      <c r="K103" s="847"/>
      <c r="L103" s="847"/>
      <c r="M103" s="847"/>
      <c r="N103" s="847"/>
    </row>
    <row r="104" spans="1:14">
      <c r="A104" s="3468" t="s">
        <v>623</v>
      </c>
      <c r="B104" s="3468" t="s">
        <v>1912</v>
      </c>
      <c r="C104" s="849" t="s">
        <v>1913</v>
      </c>
      <c r="D104" s="850"/>
      <c r="E104" s="850"/>
      <c r="F104" s="850"/>
      <c r="G104" s="850"/>
      <c r="H104" s="850"/>
      <c r="I104" s="850"/>
      <c r="J104" s="869"/>
      <c r="K104" s="870"/>
      <c r="L104" s="870"/>
      <c r="M104" s="870"/>
      <c r="N104" s="870"/>
    </row>
    <row r="105" spans="1:14">
      <c r="A105" s="3468"/>
      <c r="B105" s="3468"/>
      <c r="C105" s="848" t="s">
        <v>1759</v>
      </c>
      <c r="D105" s="848" t="s">
        <v>1760</v>
      </c>
      <c r="E105" s="848" t="s">
        <v>1761</v>
      </c>
      <c r="F105" s="848" t="s">
        <v>1762</v>
      </c>
      <c r="G105" s="848" t="s">
        <v>1763</v>
      </c>
      <c r="H105" s="848" t="s">
        <v>1764</v>
      </c>
      <c r="I105" s="848" t="s">
        <v>1765</v>
      </c>
      <c r="J105" s="848" t="s">
        <v>1766</v>
      </c>
      <c r="K105" s="848" t="s">
        <v>1767</v>
      </c>
      <c r="L105" s="848" t="s">
        <v>1768</v>
      </c>
      <c r="M105" s="848" t="s">
        <v>1769</v>
      </c>
      <c r="N105" s="848" t="s">
        <v>1770</v>
      </c>
    </row>
    <row r="106" spans="1:14">
      <c r="A106" s="3469" t="s">
        <v>1914</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0"/>
      <c r="B111" s="848" t="s">
        <v>1775</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471"/>
      <c r="B112" s="848">
        <v>6</v>
      </c>
      <c r="C112" s="836">
        <f>(-0.5556*(C111^2)-0.2719*C111+8944)*(10^(-4))</f>
        <v>0.89439999999999997</v>
      </c>
      <c r="D112" s="836">
        <f>(-0.5556*(D111^2)-0.2719*D111+8944)*(10^(-4))</f>
        <v>0.89439999999999997</v>
      </c>
      <c r="E112" s="836">
        <f>(-0.7912*(E111^2)-11.3794*E111+8482)*(10^(-4))</f>
        <v>0.84819999999999995</v>
      </c>
      <c r="F112" s="836">
        <f t="shared" ref="F112:I112" si="34">(-0.7912*(F111^2)-11.3794*F111+8482)*(10^(-4))</f>
        <v>0.84819999999999995</v>
      </c>
      <c r="G112" s="836">
        <f t="shared" si="34"/>
        <v>0.84819999999999995</v>
      </c>
      <c r="H112" s="836">
        <f t="shared" si="34"/>
        <v>0.84819999999999995</v>
      </c>
      <c r="I112" s="836">
        <f t="shared" si="34"/>
        <v>0.84819999999999995</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63" t="s">
        <v>1915</v>
      </c>
      <c r="B113" s="3463"/>
      <c r="C113" s="3463"/>
      <c r="D113" s="3463"/>
      <c r="E113" s="3463"/>
      <c r="F113" s="3463"/>
      <c r="G113" s="3463"/>
      <c r="H113" s="3463"/>
      <c r="I113" s="3463"/>
      <c r="J113" s="346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1916</v>
      </c>
      <c r="B116" s="855">
        <f>G3</f>
        <v>1</v>
      </c>
      <c r="C116" s="856" t="s">
        <v>1917</v>
      </c>
      <c r="D116" s="857">
        <f>SUMPRODUCT((A118:A122=F116)*(B117:M117=H116)*B118:M122)</f>
        <v>0.64319999999999999</v>
      </c>
      <c r="E116" s="509" t="s">
        <v>1732</v>
      </c>
      <c r="F116" s="858" t="str">
        <f>E2</f>
        <v>工业</v>
      </c>
      <c r="G116" s="509" t="s">
        <v>1733</v>
      </c>
      <c r="H116" s="858" t="str">
        <f>G2</f>
        <v>七级</v>
      </c>
      <c r="I116" s="509"/>
      <c r="J116" s="871"/>
      <c r="K116" s="871"/>
      <c r="L116" s="871"/>
      <c r="M116" s="871"/>
      <c r="N116" s="853"/>
    </row>
    <row r="117" spans="1:14">
      <c r="A117" s="859"/>
      <c r="B117" s="860" t="s">
        <v>1918</v>
      </c>
      <c r="C117" s="860" t="s">
        <v>1919</v>
      </c>
      <c r="D117" s="860" t="s">
        <v>1920</v>
      </c>
      <c r="E117" s="861" t="s">
        <v>1921</v>
      </c>
      <c r="F117" s="861" t="s">
        <v>1922</v>
      </c>
      <c r="G117" s="861" t="s">
        <v>1923</v>
      </c>
      <c r="H117" s="862" t="s">
        <v>1924</v>
      </c>
      <c r="I117" s="862" t="s">
        <v>1925</v>
      </c>
      <c r="J117" s="872" t="s">
        <v>1926</v>
      </c>
      <c r="K117" s="872" t="s">
        <v>1927</v>
      </c>
      <c r="L117" s="872" t="s">
        <v>1928</v>
      </c>
      <c r="M117" s="873" t="s">
        <v>1929</v>
      </c>
      <c r="N117" s="853"/>
    </row>
    <row r="118" spans="1:14">
      <c r="A118" s="769" t="s">
        <v>1845</v>
      </c>
      <c r="B118" s="836">
        <f>ROUND(0.9968-0.011*B116,4)</f>
        <v>0.98580000000000001</v>
      </c>
      <c r="C118" s="836">
        <f>B118</f>
        <v>0.98580000000000001</v>
      </c>
      <c r="D118" s="836">
        <f>ROUND(0.949-0.014*B116,4)</f>
        <v>0.93500000000000005</v>
      </c>
      <c r="E118" s="836">
        <f>D118</f>
        <v>0.93500000000000005</v>
      </c>
      <c r="F118" s="836">
        <f>E118</f>
        <v>0.93500000000000005</v>
      </c>
      <c r="G118" s="836">
        <f>F118</f>
        <v>0.93500000000000005</v>
      </c>
      <c r="H118" s="836">
        <f>G118</f>
        <v>0.93500000000000005</v>
      </c>
      <c r="I118" s="836">
        <f>ROUND(0.8486-0.018*B116,4)</f>
        <v>0.8306</v>
      </c>
      <c r="J118" s="836">
        <f t="shared" ref="J118:M122" si="36">I118</f>
        <v>0.8306</v>
      </c>
      <c r="K118" s="836">
        <f t="shared" si="36"/>
        <v>0.8306</v>
      </c>
      <c r="L118" s="836">
        <f t="shared" si="36"/>
        <v>0.8306</v>
      </c>
      <c r="M118" s="874">
        <f t="shared" si="36"/>
        <v>0.8306</v>
      </c>
      <c r="N118" s="853"/>
    </row>
    <row r="119" spans="1:14">
      <c r="A119" s="769" t="s">
        <v>1846</v>
      </c>
      <c r="B119" s="836">
        <f>ROUND(0.993-0.0112*B116,4)</f>
        <v>0.98180000000000001</v>
      </c>
      <c r="C119" s="836">
        <f>B119</f>
        <v>0.98180000000000001</v>
      </c>
      <c r="D119" s="836">
        <f>ROUND(0.9415-0.0142*B116,4)</f>
        <v>0.92730000000000001</v>
      </c>
      <c r="E119" s="836">
        <f t="shared" ref="E119:H120" si="37">D119</f>
        <v>0.92730000000000001</v>
      </c>
      <c r="F119" s="836">
        <f t="shared" si="37"/>
        <v>0.92730000000000001</v>
      </c>
      <c r="G119" s="836">
        <f t="shared" si="37"/>
        <v>0.92730000000000001</v>
      </c>
      <c r="H119" s="836">
        <f t="shared" si="37"/>
        <v>0.92730000000000001</v>
      </c>
      <c r="I119" s="836">
        <f>ROUND(0.838-0.0182*B116,4)</f>
        <v>0.81979999999999997</v>
      </c>
      <c r="J119" s="836">
        <f t="shared" si="36"/>
        <v>0.81979999999999997</v>
      </c>
      <c r="K119" s="836">
        <f t="shared" si="36"/>
        <v>0.81979999999999997</v>
      </c>
      <c r="L119" s="836">
        <f t="shared" si="36"/>
        <v>0.81979999999999997</v>
      </c>
      <c r="M119" s="874">
        <f t="shared" si="36"/>
        <v>0.81979999999999997</v>
      </c>
      <c r="N119" s="853"/>
    </row>
    <row r="120" spans="1:14">
      <c r="A120" s="769" t="s">
        <v>1847</v>
      </c>
      <c r="B120" s="836">
        <f>ROUND(0.9448-0.0115*B116,4)</f>
        <v>0.93330000000000002</v>
      </c>
      <c r="C120" s="836">
        <f>B120</f>
        <v>0.93330000000000002</v>
      </c>
      <c r="D120" s="836">
        <f>ROUND(0.937-0.0145*B116,4)</f>
        <v>0.92249999999999999</v>
      </c>
      <c r="E120" s="836">
        <f t="shared" si="37"/>
        <v>0.92249999999999999</v>
      </c>
      <c r="F120" s="836">
        <f t="shared" si="37"/>
        <v>0.92249999999999999</v>
      </c>
      <c r="G120" s="836">
        <f t="shared" si="37"/>
        <v>0.92249999999999999</v>
      </c>
      <c r="H120" s="836">
        <f t="shared" si="37"/>
        <v>0.92249999999999999</v>
      </c>
      <c r="I120" s="836">
        <f>ROUND(0.7965-0.0185*B116,4)</f>
        <v>0.77800000000000002</v>
      </c>
      <c r="J120" s="836">
        <f t="shared" si="36"/>
        <v>0.77800000000000002</v>
      </c>
      <c r="K120" s="836">
        <f t="shared" si="36"/>
        <v>0.77800000000000002</v>
      </c>
      <c r="L120" s="836">
        <f t="shared" si="36"/>
        <v>0.77800000000000002</v>
      </c>
      <c r="M120" s="874">
        <f t="shared" si="36"/>
        <v>0.77800000000000002</v>
      </c>
      <c r="N120" s="853"/>
    </row>
    <row r="121" spans="1:14">
      <c r="A121" s="863" t="s">
        <v>1848</v>
      </c>
      <c r="B121" s="864">
        <f>ROUND(0.7836-0.012*B116,4)</f>
        <v>0.77159999999999995</v>
      </c>
      <c r="C121" s="864">
        <f>B121</f>
        <v>0.77159999999999995</v>
      </c>
      <c r="D121" s="864">
        <f>ROUND(0.753-0.015*B116,4)</f>
        <v>0.73799999999999999</v>
      </c>
      <c r="E121" s="864">
        <f>D121</f>
        <v>0.73799999999999999</v>
      </c>
      <c r="F121" s="864">
        <f>E121</f>
        <v>0.73799999999999999</v>
      </c>
      <c r="G121" s="864">
        <f>ROUND(0.6612-0.018*B116,4)</f>
        <v>0.64319999999999999</v>
      </c>
      <c r="H121" s="864">
        <f>G121</f>
        <v>0.64319999999999999</v>
      </c>
      <c r="I121" s="864">
        <f>ROUND(0.5905-0.019*B116,4)</f>
        <v>0.57150000000000001</v>
      </c>
      <c r="J121" s="864">
        <f t="shared" si="36"/>
        <v>0.57150000000000001</v>
      </c>
      <c r="K121" s="864">
        <f t="shared" si="36"/>
        <v>0.57150000000000001</v>
      </c>
      <c r="L121" s="864">
        <f t="shared" si="36"/>
        <v>0.57150000000000001</v>
      </c>
      <c r="M121" s="875">
        <f t="shared" si="36"/>
        <v>0.57150000000000001</v>
      </c>
      <c r="N121" s="853"/>
    </row>
    <row r="122" spans="1:14">
      <c r="A122" s="865" t="s">
        <v>280</v>
      </c>
      <c r="B122" s="836">
        <f>ROUND(0.9404-0.0106*B116,4)</f>
        <v>0.92979999999999996</v>
      </c>
      <c r="C122" s="836">
        <f>B122</f>
        <v>0.92979999999999996</v>
      </c>
      <c r="D122" s="836">
        <f>ROUND(0.8955-0.0135*B116,4)</f>
        <v>0.88200000000000001</v>
      </c>
      <c r="E122" s="836">
        <f t="shared" ref="E122:H122" si="38">D122</f>
        <v>0.88200000000000001</v>
      </c>
      <c r="F122" s="836">
        <f t="shared" si="38"/>
        <v>0.88200000000000001</v>
      </c>
      <c r="G122" s="836">
        <f t="shared" si="38"/>
        <v>0.88200000000000001</v>
      </c>
      <c r="H122" s="836">
        <f t="shared" si="38"/>
        <v>0.88200000000000001</v>
      </c>
      <c r="I122" s="836">
        <f>ROUND(0.7632-0.0166*B116,4)</f>
        <v>0.74660000000000004</v>
      </c>
      <c r="J122" s="836">
        <f t="shared" si="36"/>
        <v>0.74660000000000004</v>
      </c>
      <c r="K122" s="836">
        <f t="shared" si="36"/>
        <v>0.74660000000000004</v>
      </c>
      <c r="L122" s="836">
        <f t="shared" si="36"/>
        <v>0.74660000000000004</v>
      </c>
      <c r="M122" s="874">
        <f t="shared" si="36"/>
        <v>0.74660000000000004</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1930</v>
      </c>
      <c r="B2" s="444">
        <v>3.5</v>
      </c>
      <c r="C2" s="444">
        <v>3.5</v>
      </c>
      <c r="D2" s="445">
        <v>2.5</v>
      </c>
      <c r="E2" s="445">
        <v>2.5</v>
      </c>
      <c r="F2" s="445">
        <v>2.5</v>
      </c>
      <c r="G2" s="445">
        <v>2.5</v>
      </c>
      <c r="H2" s="445">
        <v>2.5</v>
      </c>
      <c r="I2" s="444">
        <v>2</v>
      </c>
      <c r="J2" s="444">
        <v>2</v>
      </c>
      <c r="K2" s="444">
        <v>2</v>
      </c>
      <c r="L2" s="444">
        <v>2</v>
      </c>
      <c r="M2" s="488">
        <v>2</v>
      </c>
    </row>
    <row r="3" spans="1:13" ht="19.5" customHeight="1">
      <c r="A3" s="446" t="s">
        <v>1931</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1932</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1933</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1934</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1935</v>
      </c>
      <c r="B18" s="460"/>
      <c r="C18" s="461"/>
      <c r="D18" s="461"/>
      <c r="E18" s="460"/>
      <c r="F18" s="461"/>
      <c r="G18" s="461"/>
    </row>
    <row r="19" spans="1:13" ht="19.5" customHeight="1">
      <c r="A19" s="459" t="s">
        <v>1936</v>
      </c>
      <c r="B19" s="462" t="s">
        <v>1937</v>
      </c>
      <c r="C19" s="462" t="s">
        <v>1938</v>
      </c>
      <c r="D19" s="463"/>
      <c r="E19" s="459" t="s">
        <v>1939</v>
      </c>
      <c r="F19" s="464"/>
      <c r="G19" s="464"/>
    </row>
    <row r="20" spans="1:13" ht="19.5" customHeight="1">
      <c r="A20" s="3473" t="s">
        <v>1930</v>
      </c>
      <c r="B20" s="3479" t="s">
        <v>1940</v>
      </c>
      <c r="C20" s="465" t="s">
        <v>1941</v>
      </c>
      <c r="D20" s="466"/>
      <c r="E20" s="467">
        <v>1</v>
      </c>
      <c r="F20" s="468" t="s">
        <v>1942</v>
      </c>
      <c r="G20" s="468"/>
    </row>
    <row r="21" spans="1:13" ht="19.5" customHeight="1">
      <c r="A21" s="3474"/>
      <c r="B21" s="3480"/>
      <c r="C21" s="469" t="s">
        <v>1943</v>
      </c>
      <c r="D21" s="470"/>
      <c r="E21" s="471">
        <v>1</v>
      </c>
      <c r="F21" s="468" t="s">
        <v>1944</v>
      </c>
      <c r="G21" s="468"/>
    </row>
    <row r="22" spans="1:13" ht="19.5" customHeight="1">
      <c r="A22" s="3474"/>
      <c r="B22" s="3480"/>
      <c r="C22" s="469" t="s">
        <v>1945</v>
      </c>
      <c r="D22" s="470"/>
      <c r="E22" s="471">
        <v>0.9</v>
      </c>
      <c r="F22" s="468" t="s">
        <v>1946</v>
      </c>
      <c r="G22" s="468"/>
    </row>
    <row r="23" spans="1:13" ht="19.5" customHeight="1">
      <c r="A23" s="3474"/>
      <c r="B23" s="3480"/>
      <c r="C23" s="469" t="s">
        <v>1947</v>
      </c>
      <c r="D23" s="470"/>
      <c r="E23" s="471">
        <v>0.9</v>
      </c>
      <c r="F23" s="468" t="s">
        <v>1948</v>
      </c>
      <c r="G23" s="468"/>
    </row>
    <row r="24" spans="1:13" ht="19.5" customHeight="1">
      <c r="A24" s="3474"/>
      <c r="B24" s="3480"/>
      <c r="C24" s="469" t="s">
        <v>1949</v>
      </c>
      <c r="D24" s="470"/>
      <c r="E24" s="471">
        <v>0.8</v>
      </c>
      <c r="F24" s="468" t="s">
        <v>1950</v>
      </c>
      <c r="G24" s="468"/>
    </row>
    <row r="25" spans="1:13" ht="19.5" customHeight="1">
      <c r="A25" s="3475"/>
      <c r="B25" s="3481"/>
      <c r="C25" s="472" t="s">
        <v>1951</v>
      </c>
      <c r="D25" s="473"/>
      <c r="E25" s="474">
        <v>0.8</v>
      </c>
      <c r="F25" s="468" t="s">
        <v>1952</v>
      </c>
      <c r="G25" s="468"/>
    </row>
    <row r="26" spans="1:13" ht="19.5" customHeight="1">
      <c r="A26" s="475" t="s">
        <v>1931</v>
      </c>
      <c r="B26" s="476" t="s">
        <v>1940</v>
      </c>
      <c r="C26" s="477" t="s">
        <v>1953</v>
      </c>
      <c r="D26" s="478"/>
      <c r="E26" s="479">
        <v>1</v>
      </c>
      <c r="F26" s="468" t="s">
        <v>1954</v>
      </c>
      <c r="G26" s="468"/>
    </row>
    <row r="27" spans="1:13" ht="19.5" customHeight="1">
      <c r="A27" s="3476" t="s">
        <v>280</v>
      </c>
      <c r="B27" s="3479" t="s">
        <v>280</v>
      </c>
      <c r="C27" s="465" t="s">
        <v>1955</v>
      </c>
      <c r="D27" s="466"/>
      <c r="E27" s="467">
        <v>1</v>
      </c>
      <c r="F27" s="468" t="s">
        <v>1956</v>
      </c>
      <c r="G27" s="468"/>
    </row>
    <row r="28" spans="1:13" ht="19.5" customHeight="1">
      <c r="A28" s="3477"/>
      <c r="B28" s="3480"/>
      <c r="C28" s="469" t="s">
        <v>1957</v>
      </c>
      <c r="D28" s="470"/>
      <c r="E28" s="471">
        <v>1</v>
      </c>
      <c r="F28" s="468" t="s">
        <v>1958</v>
      </c>
      <c r="G28" s="468"/>
    </row>
    <row r="29" spans="1:13" ht="19.5" customHeight="1">
      <c r="A29" s="3477"/>
      <c r="B29" s="3480"/>
      <c r="C29" s="469" t="s">
        <v>1959</v>
      </c>
      <c r="D29" s="470"/>
      <c r="E29" s="471">
        <v>0.8</v>
      </c>
      <c r="F29" s="468" t="s">
        <v>1960</v>
      </c>
      <c r="G29" s="468"/>
    </row>
    <row r="30" spans="1:13" ht="19.5" customHeight="1">
      <c r="A30" s="3477"/>
      <c r="B30" s="3480"/>
      <c r="C30" s="469" t="s">
        <v>1961</v>
      </c>
      <c r="D30" s="470"/>
      <c r="E30" s="471">
        <v>0.8</v>
      </c>
      <c r="F30" s="468" t="s">
        <v>1962</v>
      </c>
      <c r="G30" s="468"/>
    </row>
    <row r="31" spans="1:13" ht="19.5" customHeight="1">
      <c r="A31" s="3477"/>
      <c r="B31" s="3480"/>
      <c r="C31" s="469" t="s">
        <v>1963</v>
      </c>
      <c r="D31" s="470"/>
      <c r="E31" s="471">
        <v>0.8</v>
      </c>
      <c r="F31" s="468" t="s">
        <v>1964</v>
      </c>
      <c r="G31" s="468"/>
    </row>
    <row r="32" spans="1:13" ht="19.5" customHeight="1">
      <c r="A32" s="3477"/>
      <c r="B32" s="3480"/>
      <c r="C32" s="469" t="s">
        <v>1965</v>
      </c>
      <c r="D32" s="470"/>
      <c r="E32" s="471">
        <v>0.7</v>
      </c>
      <c r="F32" s="468" t="s">
        <v>1966</v>
      </c>
      <c r="G32" s="468"/>
    </row>
    <row r="33" spans="1:7" ht="19.5" customHeight="1">
      <c r="A33" s="3477"/>
      <c r="B33" s="3480"/>
      <c r="C33" s="469" t="s">
        <v>1967</v>
      </c>
      <c r="D33" s="470"/>
      <c r="E33" s="471">
        <v>0.8</v>
      </c>
      <c r="F33" s="468" t="s">
        <v>1968</v>
      </c>
      <c r="G33" s="468"/>
    </row>
    <row r="34" spans="1:7" ht="19.5" customHeight="1">
      <c r="A34" s="3477"/>
      <c r="B34" s="3480"/>
      <c r="C34" s="469" t="s">
        <v>1969</v>
      </c>
      <c r="D34" s="470"/>
      <c r="E34" s="471">
        <v>0.6</v>
      </c>
      <c r="F34" s="468" t="s">
        <v>1970</v>
      </c>
      <c r="G34" s="468"/>
    </row>
    <row r="35" spans="1:7" ht="19.5" customHeight="1">
      <c r="A35" s="3477"/>
      <c r="B35" s="3480"/>
      <c r="C35" s="469" t="s">
        <v>1971</v>
      </c>
      <c r="D35" s="470"/>
      <c r="E35" s="471">
        <v>0.2</v>
      </c>
      <c r="F35" s="468" t="s">
        <v>1972</v>
      </c>
      <c r="G35" s="468"/>
    </row>
    <row r="36" spans="1:7" ht="19.5" customHeight="1">
      <c r="A36" s="3477"/>
      <c r="B36" s="3480"/>
      <c r="C36" s="469" t="s">
        <v>1973</v>
      </c>
      <c r="D36" s="470"/>
      <c r="E36" s="471">
        <v>0.2</v>
      </c>
      <c r="F36" s="468" t="s">
        <v>1974</v>
      </c>
      <c r="G36" s="468"/>
    </row>
    <row r="37" spans="1:7" ht="19.5" customHeight="1">
      <c r="A37" s="3477"/>
      <c r="B37" s="3482" t="s">
        <v>1975</v>
      </c>
      <c r="C37" s="469" t="s">
        <v>1976</v>
      </c>
      <c r="D37" s="470"/>
      <c r="E37" s="471">
        <v>0.6</v>
      </c>
      <c r="F37" s="468" t="s">
        <v>1977</v>
      </c>
      <c r="G37" s="468"/>
    </row>
    <row r="38" spans="1:7" ht="19.5" customHeight="1">
      <c r="A38" s="3477"/>
      <c r="B38" s="3480"/>
      <c r="C38" s="469" t="s">
        <v>1978</v>
      </c>
      <c r="D38" s="470"/>
      <c r="E38" s="471">
        <v>0.6</v>
      </c>
      <c r="F38" s="468" t="s">
        <v>1979</v>
      </c>
      <c r="G38" s="468"/>
    </row>
    <row r="39" spans="1:7" ht="19.5" customHeight="1">
      <c r="A39" s="3478"/>
      <c r="B39" s="3481"/>
      <c r="C39" s="472" t="s">
        <v>1980</v>
      </c>
      <c r="D39" s="473"/>
      <c r="E39" s="474">
        <v>0.6</v>
      </c>
      <c r="F39" s="468" t="s">
        <v>1981</v>
      </c>
      <c r="G39" s="468"/>
    </row>
    <row r="40" spans="1:7" ht="19.5" customHeight="1">
      <c r="A40" s="475" t="s">
        <v>412</v>
      </c>
      <c r="B40" s="476" t="s">
        <v>412</v>
      </c>
      <c r="C40" s="477" t="s">
        <v>1982</v>
      </c>
      <c r="D40" s="478"/>
      <c r="E40" s="479">
        <v>1</v>
      </c>
      <c r="F40" s="468" t="s">
        <v>1983</v>
      </c>
      <c r="G40" s="468"/>
    </row>
    <row r="41" spans="1:7" ht="19.5" customHeight="1">
      <c r="A41" s="3473" t="s">
        <v>408</v>
      </c>
      <c r="B41" s="3479" t="s">
        <v>1984</v>
      </c>
      <c r="C41" s="465" t="s">
        <v>1737</v>
      </c>
      <c r="D41" s="466"/>
      <c r="E41" s="467">
        <v>1</v>
      </c>
      <c r="F41" s="468" t="s">
        <v>1985</v>
      </c>
      <c r="G41" s="468"/>
    </row>
    <row r="42" spans="1:7" ht="19.5" customHeight="1">
      <c r="A42" s="3474"/>
      <c r="B42" s="3480"/>
      <c r="C42" s="469" t="s">
        <v>1986</v>
      </c>
      <c r="D42" s="470"/>
      <c r="E42" s="471">
        <v>1</v>
      </c>
      <c r="F42" s="468" t="s">
        <v>1987</v>
      </c>
      <c r="G42" s="468"/>
    </row>
    <row r="43" spans="1:7" ht="19.5" customHeight="1">
      <c r="A43" s="3474"/>
      <c r="B43" s="3483"/>
      <c r="C43" s="469" t="s">
        <v>1988</v>
      </c>
      <c r="D43" s="470"/>
      <c r="E43" s="471">
        <v>1.5</v>
      </c>
      <c r="F43" s="468" t="s">
        <v>1989</v>
      </c>
      <c r="G43" s="468"/>
    </row>
    <row r="44" spans="1:7" ht="19.5" customHeight="1">
      <c r="A44" s="3474"/>
      <c r="B44" s="481" t="s">
        <v>280</v>
      </c>
      <c r="C44" s="469" t="s">
        <v>1932</v>
      </c>
      <c r="D44" s="470"/>
      <c r="E44" s="471">
        <v>2</v>
      </c>
      <c r="F44" s="468" t="s">
        <v>1990</v>
      </c>
      <c r="G44" s="468"/>
    </row>
    <row r="45" spans="1:7" ht="19.5" customHeight="1">
      <c r="A45" s="3474"/>
      <c r="B45" s="3482" t="s">
        <v>1991</v>
      </c>
      <c r="C45" s="469" t="s">
        <v>1992</v>
      </c>
      <c r="D45" s="470"/>
      <c r="E45" s="471">
        <v>1</v>
      </c>
      <c r="F45" s="468" t="s">
        <v>1993</v>
      </c>
      <c r="G45" s="468"/>
    </row>
    <row r="46" spans="1:7" ht="19.5" customHeight="1">
      <c r="A46" s="3474"/>
      <c r="B46" s="3480"/>
      <c r="C46" s="469" t="s">
        <v>1994</v>
      </c>
      <c r="D46" s="470"/>
      <c r="E46" s="471">
        <v>1</v>
      </c>
      <c r="F46" s="468" t="s">
        <v>1995</v>
      </c>
      <c r="G46" s="468"/>
    </row>
    <row r="47" spans="1:7" ht="19.5" customHeight="1">
      <c r="A47" s="3474"/>
      <c r="B47" s="3480"/>
      <c r="C47" s="469" t="s">
        <v>1996</v>
      </c>
      <c r="D47" s="470"/>
      <c r="E47" s="471">
        <v>1</v>
      </c>
      <c r="F47" s="468" t="s">
        <v>1997</v>
      </c>
      <c r="G47" s="468"/>
    </row>
    <row r="48" spans="1:7" ht="19.5" customHeight="1">
      <c r="A48" s="3474"/>
      <c r="B48" s="3480"/>
      <c r="C48" s="469" t="s">
        <v>1998</v>
      </c>
      <c r="D48" s="470"/>
      <c r="E48" s="471">
        <v>1</v>
      </c>
      <c r="F48" s="468" t="s">
        <v>1999</v>
      </c>
      <c r="G48" s="468"/>
    </row>
    <row r="49" spans="1:7" ht="19.5" customHeight="1">
      <c r="A49" s="3474"/>
      <c r="B49" s="3480"/>
      <c r="C49" s="469" t="s">
        <v>2000</v>
      </c>
      <c r="D49" s="470"/>
      <c r="E49" s="471">
        <v>1</v>
      </c>
      <c r="F49" s="468" t="s">
        <v>2001</v>
      </c>
      <c r="G49" s="468"/>
    </row>
    <row r="50" spans="1:7" ht="19.5" customHeight="1">
      <c r="A50" s="3474"/>
      <c r="B50" s="3480"/>
      <c r="C50" s="469" t="s">
        <v>2002</v>
      </c>
      <c r="D50" s="470"/>
      <c r="E50" s="471">
        <v>1</v>
      </c>
      <c r="F50" s="468" t="s">
        <v>2003</v>
      </c>
      <c r="G50" s="468"/>
    </row>
    <row r="51" spans="1:7" ht="19.5" customHeight="1">
      <c r="A51" s="3475"/>
      <c r="B51" s="3481"/>
      <c r="C51" s="472" t="s">
        <v>2004</v>
      </c>
      <c r="D51" s="473"/>
      <c r="E51" s="474">
        <v>1</v>
      </c>
      <c r="F51" s="468" t="s">
        <v>2005</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2006</v>
      </c>
      <c r="G54" s="459" t="s">
        <v>432</v>
      </c>
    </row>
    <row r="55" spans="1:7" ht="19.5" customHeight="1">
      <c r="A55" s="484"/>
      <c r="B55" s="459" t="s">
        <v>1930</v>
      </c>
      <c r="C55" s="459" t="s">
        <v>1930</v>
      </c>
      <c r="D55" s="459" t="s">
        <v>1930</v>
      </c>
      <c r="E55" s="457" t="s">
        <v>1931</v>
      </c>
      <c r="F55" s="457" t="s">
        <v>408</v>
      </c>
      <c r="G55" s="457" t="s">
        <v>1632</v>
      </c>
    </row>
    <row r="56" spans="1:7" ht="19.5" customHeight="1">
      <c r="A56" s="485"/>
      <c r="B56" s="457">
        <v>1</v>
      </c>
      <c r="C56" s="457">
        <v>2</v>
      </c>
      <c r="D56" s="457">
        <v>3</v>
      </c>
      <c r="E56" s="486" t="s">
        <v>2007</v>
      </c>
      <c r="F56" s="486" t="s">
        <v>2007</v>
      </c>
      <c r="G56" s="486" t="s">
        <v>2007</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2008</v>
      </c>
      <c r="E70" s="497"/>
      <c r="F70" s="497"/>
    </row>
    <row r="71" spans="1:7" ht="19.5" customHeight="1">
      <c r="A71" s="481" t="s">
        <v>2009</v>
      </c>
      <c r="B71" s="481" t="s">
        <v>2010</v>
      </c>
      <c r="C71" s="481" t="s">
        <v>2011</v>
      </c>
      <c r="D71" s="481" t="s">
        <v>2012</v>
      </c>
      <c r="E71" s="481" t="s">
        <v>2013</v>
      </c>
      <c r="F71" s="481" t="s">
        <v>2014</v>
      </c>
    </row>
    <row r="72" spans="1:7" ht="13.5">
      <c r="A72" s="481"/>
      <c r="B72" s="481"/>
      <c r="C72" s="481" t="s">
        <v>1754</v>
      </c>
      <c r="D72" s="481"/>
      <c r="E72" s="481" t="s">
        <v>124</v>
      </c>
      <c r="F72" s="481" t="s">
        <v>124</v>
      </c>
    </row>
    <row r="73" spans="1:7" ht="13.5">
      <c r="A73" s="481">
        <v>1</v>
      </c>
      <c r="B73" s="3482" t="s">
        <v>2015</v>
      </c>
      <c r="C73" s="457" t="s">
        <v>2016</v>
      </c>
      <c r="D73" s="457" t="s">
        <v>2017</v>
      </c>
      <c r="E73" s="481">
        <v>0.2</v>
      </c>
      <c r="F73" s="481">
        <v>25</v>
      </c>
    </row>
    <row r="74" spans="1:7" ht="24">
      <c r="A74" s="481">
        <v>2</v>
      </c>
      <c r="B74" s="3480"/>
      <c r="C74" s="457" t="s">
        <v>2018</v>
      </c>
      <c r="D74" s="457" t="s">
        <v>2019</v>
      </c>
      <c r="E74" s="481">
        <v>0.2</v>
      </c>
      <c r="F74" s="481">
        <v>25</v>
      </c>
    </row>
    <row r="75" spans="1:7" ht="24">
      <c r="A75" s="481">
        <v>3</v>
      </c>
      <c r="B75" s="3480"/>
      <c r="C75" s="457" t="s">
        <v>2020</v>
      </c>
      <c r="D75" s="457" t="s">
        <v>2021</v>
      </c>
      <c r="E75" s="481">
        <v>0.2</v>
      </c>
      <c r="F75" s="481">
        <v>25</v>
      </c>
    </row>
    <row r="76" spans="1:7" ht="13.5">
      <c r="A76" s="481">
        <v>4</v>
      </c>
      <c r="B76" s="3480"/>
      <c r="C76" s="457" t="s">
        <v>2022</v>
      </c>
      <c r="D76" s="457" t="s">
        <v>2023</v>
      </c>
      <c r="E76" s="481">
        <v>0.15</v>
      </c>
      <c r="F76" s="481">
        <v>20</v>
      </c>
    </row>
    <row r="77" spans="1:7" ht="24">
      <c r="A77" s="481">
        <v>5</v>
      </c>
      <c r="B77" s="3480"/>
      <c r="C77" s="457" t="s">
        <v>2024</v>
      </c>
      <c r="D77" s="457" t="s">
        <v>2025</v>
      </c>
      <c r="E77" s="481">
        <v>0.15</v>
      </c>
      <c r="F77" s="481">
        <v>20</v>
      </c>
    </row>
    <row r="78" spans="1:7" ht="24">
      <c r="A78" s="481">
        <v>6</v>
      </c>
      <c r="B78" s="3480"/>
      <c r="C78" s="457" t="s">
        <v>2026</v>
      </c>
      <c r="D78" s="457" t="s">
        <v>2027</v>
      </c>
      <c r="E78" s="481">
        <v>0.15</v>
      </c>
      <c r="F78" s="481">
        <v>20</v>
      </c>
    </row>
    <row r="79" spans="1:7" ht="24">
      <c r="A79" s="481">
        <v>7</v>
      </c>
      <c r="B79" s="3480"/>
      <c r="C79" s="457" t="s">
        <v>2028</v>
      </c>
      <c r="D79" s="457" t="s">
        <v>2029</v>
      </c>
      <c r="E79" s="481">
        <v>0.15</v>
      </c>
      <c r="F79" s="481">
        <v>20</v>
      </c>
    </row>
    <row r="80" spans="1:7" ht="24">
      <c r="A80" s="481">
        <v>8</v>
      </c>
      <c r="B80" s="3480"/>
      <c r="C80" s="457" t="s">
        <v>2030</v>
      </c>
      <c r="D80" s="457" t="s">
        <v>2031</v>
      </c>
      <c r="E80" s="481">
        <v>0.1</v>
      </c>
      <c r="F80" s="481">
        <v>15</v>
      </c>
    </row>
    <row r="81" spans="1:6" ht="24">
      <c r="A81" s="481">
        <v>9</v>
      </c>
      <c r="B81" s="3480"/>
      <c r="C81" s="457" t="s">
        <v>2032</v>
      </c>
      <c r="D81" s="457" t="s">
        <v>2033</v>
      </c>
      <c r="E81" s="481">
        <v>0.1</v>
      </c>
      <c r="F81" s="481">
        <v>15</v>
      </c>
    </row>
    <row r="82" spans="1:6" ht="24">
      <c r="A82" s="481">
        <v>10</v>
      </c>
      <c r="B82" s="3480"/>
      <c r="C82" s="457" t="s">
        <v>2034</v>
      </c>
      <c r="D82" s="457" t="s">
        <v>2035</v>
      </c>
      <c r="E82" s="481">
        <v>0.1</v>
      </c>
      <c r="F82" s="481">
        <v>15</v>
      </c>
    </row>
    <row r="83" spans="1:6" ht="24">
      <c r="A83" s="481">
        <v>11</v>
      </c>
      <c r="B83" s="3480"/>
      <c r="C83" s="457" t="s">
        <v>2036</v>
      </c>
      <c r="D83" s="457" t="s">
        <v>2037</v>
      </c>
      <c r="E83" s="481">
        <v>0.1</v>
      </c>
      <c r="F83" s="481">
        <v>15</v>
      </c>
    </row>
    <row r="84" spans="1:6" ht="24">
      <c r="A84" s="481">
        <v>12</v>
      </c>
      <c r="B84" s="3480"/>
      <c r="C84" s="457" t="s">
        <v>2038</v>
      </c>
      <c r="D84" s="457" t="s">
        <v>2039</v>
      </c>
      <c r="E84" s="481">
        <v>0.1</v>
      </c>
      <c r="F84" s="481">
        <v>15</v>
      </c>
    </row>
    <row r="85" spans="1:6" ht="13.5">
      <c r="A85" s="481">
        <v>13</v>
      </c>
      <c r="B85" s="3480"/>
      <c r="C85" s="457" t="s">
        <v>2040</v>
      </c>
      <c r="D85" s="457" t="s">
        <v>2041</v>
      </c>
      <c r="E85" s="481">
        <v>0.1</v>
      </c>
      <c r="F85" s="481">
        <v>15</v>
      </c>
    </row>
    <row r="86" spans="1:6" ht="13.5">
      <c r="A86" s="481">
        <v>14</v>
      </c>
      <c r="B86" s="3480"/>
      <c r="C86" s="457" t="s">
        <v>2042</v>
      </c>
      <c r="D86" s="457" t="s">
        <v>2043</v>
      </c>
      <c r="E86" s="481">
        <v>0.1</v>
      </c>
      <c r="F86" s="481">
        <v>15</v>
      </c>
    </row>
    <row r="87" spans="1:6" ht="13.5">
      <c r="A87" s="481">
        <v>15</v>
      </c>
      <c r="B87" s="3480"/>
      <c r="C87" s="457" t="s">
        <v>2044</v>
      </c>
      <c r="D87" s="457" t="s">
        <v>2045</v>
      </c>
      <c r="E87" s="481">
        <v>0.1</v>
      </c>
      <c r="F87" s="481">
        <v>15</v>
      </c>
    </row>
    <row r="88" spans="1:6" ht="24">
      <c r="A88" s="481">
        <v>16</v>
      </c>
      <c r="B88" s="3480"/>
      <c r="C88" s="457" t="s">
        <v>2046</v>
      </c>
      <c r="D88" s="457" t="s">
        <v>2047</v>
      </c>
      <c r="E88" s="481">
        <v>0.1</v>
      </c>
      <c r="F88" s="481">
        <v>15</v>
      </c>
    </row>
    <row r="89" spans="1:6" ht="24">
      <c r="A89" s="481">
        <v>17</v>
      </c>
      <c r="B89" s="3483"/>
      <c r="C89" s="457" t="s">
        <v>2048</v>
      </c>
      <c r="D89" s="457" t="s">
        <v>2049</v>
      </c>
      <c r="E89" s="481">
        <v>0.1</v>
      </c>
      <c r="F89" s="481">
        <v>15</v>
      </c>
    </row>
    <row r="90" spans="1:6" ht="13.5">
      <c r="A90" s="481">
        <v>18</v>
      </c>
      <c r="B90" s="3482" t="s">
        <v>2050</v>
      </c>
      <c r="C90" s="457" t="s">
        <v>2051</v>
      </c>
      <c r="D90" s="457" t="s">
        <v>2052</v>
      </c>
      <c r="E90" s="481">
        <v>0.2</v>
      </c>
      <c r="F90" s="481">
        <v>25</v>
      </c>
    </row>
    <row r="91" spans="1:6" ht="24">
      <c r="A91" s="481">
        <v>19</v>
      </c>
      <c r="B91" s="3480"/>
      <c r="C91" s="457" t="s">
        <v>2053</v>
      </c>
      <c r="D91" s="457" t="s">
        <v>2054</v>
      </c>
      <c r="E91" s="481">
        <v>0.2</v>
      </c>
      <c r="F91" s="481">
        <v>25</v>
      </c>
    </row>
    <row r="92" spans="1:6" ht="13.5">
      <c r="A92" s="481">
        <v>20</v>
      </c>
      <c r="B92" s="3480"/>
      <c r="C92" s="457" t="s">
        <v>2055</v>
      </c>
      <c r="D92" s="457" t="s">
        <v>2056</v>
      </c>
      <c r="E92" s="481">
        <v>0.15</v>
      </c>
      <c r="F92" s="481">
        <v>20</v>
      </c>
    </row>
    <row r="93" spans="1:6" ht="13.5">
      <c r="A93" s="481">
        <v>21</v>
      </c>
      <c r="B93" s="3480"/>
      <c r="C93" s="457" t="s">
        <v>2057</v>
      </c>
      <c r="D93" s="457" t="s">
        <v>2058</v>
      </c>
      <c r="E93" s="481">
        <v>0.15</v>
      </c>
      <c r="F93" s="481">
        <v>20</v>
      </c>
    </row>
    <row r="94" spans="1:6" ht="13.5">
      <c r="A94" s="481">
        <v>22</v>
      </c>
      <c r="B94" s="3480"/>
      <c r="C94" s="457" t="s">
        <v>2059</v>
      </c>
      <c r="D94" s="457" t="s">
        <v>2060</v>
      </c>
      <c r="E94" s="481">
        <v>0.15</v>
      </c>
      <c r="F94" s="481">
        <v>20</v>
      </c>
    </row>
    <row r="95" spans="1:6" ht="36">
      <c r="A95" s="481">
        <v>23</v>
      </c>
      <c r="B95" s="3480"/>
      <c r="C95" s="457" t="s">
        <v>2061</v>
      </c>
      <c r="D95" s="457" t="s">
        <v>2062</v>
      </c>
      <c r="E95" s="481">
        <v>0.15</v>
      </c>
      <c r="F95" s="481">
        <v>20</v>
      </c>
    </row>
    <row r="96" spans="1:6" ht="13.5">
      <c r="A96" s="481">
        <v>24</v>
      </c>
      <c r="B96" s="3480"/>
      <c r="C96" s="457" t="s">
        <v>2063</v>
      </c>
      <c r="D96" s="457" t="s">
        <v>2064</v>
      </c>
      <c r="E96" s="481">
        <v>0.1</v>
      </c>
      <c r="F96" s="481">
        <v>15</v>
      </c>
    </row>
    <row r="97" spans="1:6" ht="13.5">
      <c r="A97" s="481">
        <v>25</v>
      </c>
      <c r="B97" s="3480"/>
      <c r="C97" s="457" t="s">
        <v>2065</v>
      </c>
      <c r="D97" s="457" t="s">
        <v>2066</v>
      </c>
      <c r="E97" s="481">
        <v>0.1</v>
      </c>
      <c r="F97" s="481">
        <v>15</v>
      </c>
    </row>
    <row r="98" spans="1:6" ht="24">
      <c r="A98" s="481">
        <v>26</v>
      </c>
      <c r="B98" s="3480"/>
      <c r="C98" s="457" t="s">
        <v>2067</v>
      </c>
      <c r="D98" s="457" t="s">
        <v>2068</v>
      </c>
      <c r="E98" s="481">
        <v>0.1</v>
      </c>
      <c r="F98" s="481">
        <v>15</v>
      </c>
    </row>
    <row r="99" spans="1:6" ht="24">
      <c r="A99" s="481">
        <v>27</v>
      </c>
      <c r="B99" s="3480"/>
      <c r="C99" s="457" t="s">
        <v>2069</v>
      </c>
      <c r="D99" s="457" t="s">
        <v>2070</v>
      </c>
      <c r="E99" s="481">
        <v>0.1</v>
      </c>
      <c r="F99" s="481">
        <v>15</v>
      </c>
    </row>
    <row r="100" spans="1:6" ht="13.5">
      <c r="A100" s="481">
        <v>28</v>
      </c>
      <c r="B100" s="3480"/>
      <c r="C100" s="457" t="s">
        <v>2071</v>
      </c>
      <c r="D100" s="457" t="s">
        <v>2072</v>
      </c>
      <c r="E100" s="481">
        <v>0.1</v>
      </c>
      <c r="F100" s="481">
        <v>15</v>
      </c>
    </row>
    <row r="101" spans="1:6" ht="13.5">
      <c r="A101" s="481">
        <v>29</v>
      </c>
      <c r="B101" s="3480"/>
      <c r="C101" s="457" t="s">
        <v>2073</v>
      </c>
      <c r="D101" s="457" t="s">
        <v>2074</v>
      </c>
      <c r="E101" s="481">
        <v>0.1</v>
      </c>
      <c r="F101" s="481">
        <v>15</v>
      </c>
    </row>
    <row r="102" spans="1:6" ht="13.5">
      <c r="A102" s="481">
        <v>30</v>
      </c>
      <c r="B102" s="3480"/>
      <c r="C102" s="457" t="s">
        <v>2075</v>
      </c>
      <c r="D102" s="457" t="s">
        <v>2076</v>
      </c>
      <c r="E102" s="481">
        <v>0.1</v>
      </c>
      <c r="F102" s="481">
        <v>15</v>
      </c>
    </row>
    <row r="103" spans="1:6" ht="24">
      <c r="A103" s="481">
        <v>31</v>
      </c>
      <c r="B103" s="3480"/>
      <c r="C103" s="457" t="s">
        <v>2077</v>
      </c>
      <c r="D103" s="457" t="s">
        <v>2078</v>
      </c>
      <c r="E103" s="481">
        <v>0.1</v>
      </c>
      <c r="F103" s="481">
        <v>15</v>
      </c>
    </row>
    <row r="104" spans="1:6" ht="24">
      <c r="A104" s="481">
        <v>32</v>
      </c>
      <c r="B104" s="3480"/>
      <c r="C104" s="457" t="s">
        <v>2079</v>
      </c>
      <c r="D104" s="457" t="s">
        <v>2080</v>
      </c>
      <c r="E104" s="481">
        <v>0.1</v>
      </c>
      <c r="F104" s="481">
        <v>15</v>
      </c>
    </row>
    <row r="105" spans="1:6" ht="24">
      <c r="A105" s="481">
        <v>33</v>
      </c>
      <c r="B105" s="3480"/>
      <c r="C105" s="457" t="s">
        <v>2081</v>
      </c>
      <c r="D105" s="457" t="s">
        <v>2082</v>
      </c>
      <c r="E105" s="481">
        <v>0.1</v>
      </c>
      <c r="F105" s="481">
        <v>15</v>
      </c>
    </row>
    <row r="106" spans="1:6" ht="24">
      <c r="A106" s="481">
        <v>34</v>
      </c>
      <c r="B106" s="3483"/>
      <c r="C106" s="457" t="s">
        <v>2083</v>
      </c>
      <c r="D106" s="457" t="s">
        <v>2084</v>
      </c>
      <c r="E106" s="481">
        <v>0.1</v>
      </c>
      <c r="F106" s="481">
        <v>15</v>
      </c>
    </row>
    <row r="107" spans="1:6" ht="24">
      <c r="A107" s="481">
        <v>35</v>
      </c>
      <c r="B107" s="3482" t="s">
        <v>2085</v>
      </c>
      <c r="C107" s="481" t="s">
        <v>2086</v>
      </c>
      <c r="D107" s="457" t="s">
        <v>2087</v>
      </c>
      <c r="E107" s="481">
        <v>0.15</v>
      </c>
      <c r="F107" s="481">
        <v>20</v>
      </c>
    </row>
    <row r="108" spans="1:6" ht="13.5">
      <c r="A108" s="481">
        <v>36</v>
      </c>
      <c r="B108" s="3480"/>
      <c r="C108" s="481" t="s">
        <v>2088</v>
      </c>
      <c r="D108" s="457" t="s">
        <v>2089</v>
      </c>
      <c r="E108" s="481">
        <v>0.15</v>
      </c>
      <c r="F108" s="481">
        <v>20</v>
      </c>
    </row>
    <row r="109" spans="1:6" ht="13.5">
      <c r="A109" s="481">
        <v>37</v>
      </c>
      <c r="B109" s="3480"/>
      <c r="C109" s="481" t="s">
        <v>2090</v>
      </c>
      <c r="D109" s="457" t="s">
        <v>2091</v>
      </c>
      <c r="E109" s="481">
        <v>0.15</v>
      </c>
      <c r="F109" s="481">
        <v>20</v>
      </c>
    </row>
    <row r="110" spans="1:6" ht="13.5">
      <c r="A110" s="481">
        <v>38</v>
      </c>
      <c r="B110" s="3480"/>
      <c r="C110" s="481" t="s">
        <v>2092</v>
      </c>
      <c r="D110" s="457" t="s">
        <v>2093</v>
      </c>
      <c r="E110" s="481">
        <v>0.1</v>
      </c>
      <c r="F110" s="481">
        <v>15</v>
      </c>
    </row>
    <row r="111" spans="1:6" ht="24">
      <c r="A111" s="481">
        <v>39</v>
      </c>
      <c r="B111" s="3480"/>
      <c r="C111" s="481" t="s">
        <v>2094</v>
      </c>
      <c r="D111" s="457" t="s">
        <v>2095</v>
      </c>
      <c r="E111" s="481">
        <v>0.1</v>
      </c>
      <c r="F111" s="481">
        <v>15</v>
      </c>
    </row>
    <row r="112" spans="1:6" ht="24">
      <c r="A112" s="481">
        <v>40</v>
      </c>
      <c r="B112" s="3483"/>
      <c r="C112" s="481" t="s">
        <v>2096</v>
      </c>
      <c r="D112" s="457" t="s">
        <v>2097</v>
      </c>
      <c r="E112" s="481">
        <v>0.1</v>
      </c>
      <c r="F112" s="481">
        <v>15</v>
      </c>
    </row>
    <row r="113" spans="1:6" ht="13.5">
      <c r="A113" s="481">
        <v>41</v>
      </c>
      <c r="B113" s="3484" t="s">
        <v>2098</v>
      </c>
      <c r="C113" s="481" t="s">
        <v>2099</v>
      </c>
      <c r="D113" s="457" t="s">
        <v>2100</v>
      </c>
      <c r="E113" s="481">
        <v>0.1</v>
      </c>
      <c r="F113" s="481">
        <v>15</v>
      </c>
    </row>
    <row r="114" spans="1:6" ht="13.5">
      <c r="A114" s="481">
        <v>42</v>
      </c>
      <c r="B114" s="3484"/>
      <c r="C114" s="481" t="s">
        <v>2101</v>
      </c>
      <c r="D114" s="457" t="s">
        <v>2102</v>
      </c>
      <c r="E114" s="481">
        <v>0.1</v>
      </c>
      <c r="F114" s="481">
        <v>15</v>
      </c>
    </row>
    <row r="115" spans="1:6" ht="24">
      <c r="A115" s="481">
        <v>43</v>
      </c>
      <c r="B115" s="3484"/>
      <c r="C115" s="481" t="s">
        <v>2103</v>
      </c>
      <c r="D115" s="457" t="s">
        <v>2104</v>
      </c>
      <c r="E115" s="481">
        <v>0.1</v>
      </c>
      <c r="F115" s="481">
        <v>15</v>
      </c>
    </row>
    <row r="116" spans="1:6" ht="13.5">
      <c r="A116" s="481">
        <v>44</v>
      </c>
      <c r="B116" s="3482" t="s">
        <v>2105</v>
      </c>
      <c r="C116" s="481" t="s">
        <v>2106</v>
      </c>
      <c r="D116" s="457" t="s">
        <v>2107</v>
      </c>
      <c r="E116" s="481">
        <v>0.1</v>
      </c>
      <c r="F116" s="481">
        <v>15</v>
      </c>
    </row>
    <row r="117" spans="1:6" ht="24">
      <c r="A117" s="481">
        <v>45</v>
      </c>
      <c r="B117" s="3483"/>
      <c r="C117" s="457" t="s">
        <v>2108</v>
      </c>
      <c r="D117" s="457" t="s">
        <v>2109</v>
      </c>
      <c r="E117" s="481">
        <v>0.1</v>
      </c>
      <c r="F117" s="481">
        <v>15</v>
      </c>
    </row>
    <row r="118" spans="1:6" ht="24">
      <c r="A118" s="481">
        <v>46</v>
      </c>
      <c r="B118" s="3482" t="s">
        <v>2110</v>
      </c>
      <c r="C118" s="481" t="s">
        <v>2111</v>
      </c>
      <c r="D118" s="457" t="s">
        <v>2112</v>
      </c>
      <c r="E118" s="481">
        <v>0.1</v>
      </c>
      <c r="F118" s="481">
        <v>15</v>
      </c>
    </row>
    <row r="119" spans="1:6" ht="24">
      <c r="A119" s="481">
        <v>47</v>
      </c>
      <c r="B119" s="3483"/>
      <c r="C119" s="481" t="s">
        <v>2113</v>
      </c>
      <c r="D119" s="457" t="s">
        <v>2114</v>
      </c>
      <c r="E119" s="481">
        <v>0.1</v>
      </c>
      <c r="F119" s="481">
        <v>15</v>
      </c>
    </row>
    <row r="120" spans="1:6" ht="13.5">
      <c r="A120" s="481">
        <v>48</v>
      </c>
      <c r="B120" s="3482" t="s">
        <v>2115</v>
      </c>
      <c r="C120" s="481" t="s">
        <v>2116</v>
      </c>
      <c r="D120" s="457" t="s">
        <v>2117</v>
      </c>
      <c r="E120" s="481">
        <v>0.1</v>
      </c>
      <c r="F120" s="481">
        <v>15</v>
      </c>
    </row>
    <row r="121" spans="1:6" ht="13.5">
      <c r="A121" s="481">
        <v>49</v>
      </c>
      <c r="B121" s="3483"/>
      <c r="C121" s="481" t="s">
        <v>2118</v>
      </c>
      <c r="D121" s="457" t="s">
        <v>2119</v>
      </c>
      <c r="E121" s="481">
        <v>0.1</v>
      </c>
      <c r="F121" s="481">
        <v>15</v>
      </c>
    </row>
    <row r="122" spans="1:6" ht="24">
      <c r="A122" s="481">
        <v>50</v>
      </c>
      <c r="B122" s="3484" t="s">
        <v>2120</v>
      </c>
      <c r="C122" s="481" t="s">
        <v>2121</v>
      </c>
      <c r="D122" s="457" t="s">
        <v>2122</v>
      </c>
      <c r="E122" s="481">
        <v>0.1</v>
      </c>
      <c r="F122" s="481">
        <v>15</v>
      </c>
    </row>
    <row r="123" spans="1:6" ht="24">
      <c r="A123" s="481">
        <v>51</v>
      </c>
      <c r="B123" s="3484"/>
      <c r="C123" s="481" t="s">
        <v>2123</v>
      </c>
      <c r="D123" s="457" t="s">
        <v>2124</v>
      </c>
      <c r="E123" s="481">
        <v>0.1</v>
      </c>
      <c r="F123" s="481">
        <v>15</v>
      </c>
    </row>
    <row r="124" spans="1:6" ht="24">
      <c r="A124" s="481">
        <v>52</v>
      </c>
      <c r="B124" s="3484" t="s">
        <v>2125</v>
      </c>
      <c r="C124" s="481" t="s">
        <v>2126</v>
      </c>
      <c r="D124" s="457" t="s">
        <v>2127</v>
      </c>
      <c r="E124" s="481">
        <v>0.1</v>
      </c>
      <c r="F124" s="481">
        <v>15</v>
      </c>
    </row>
    <row r="125" spans="1:6" ht="24">
      <c r="A125" s="481">
        <v>53</v>
      </c>
      <c r="B125" s="3484"/>
      <c r="C125" s="481" t="s">
        <v>2128</v>
      </c>
      <c r="D125" s="457" t="s">
        <v>2129</v>
      </c>
      <c r="E125" s="481">
        <v>0.1</v>
      </c>
      <c r="F125" s="481">
        <v>15</v>
      </c>
    </row>
    <row r="126" spans="1:6" ht="13.5">
      <c r="A126" s="481">
        <v>54</v>
      </c>
      <c r="B126" s="481" t="s">
        <v>2130</v>
      </c>
      <c r="C126" s="481" t="s">
        <v>2131</v>
      </c>
      <c r="D126" s="457" t="s">
        <v>2132</v>
      </c>
      <c r="E126" s="481">
        <v>0.1</v>
      </c>
      <c r="F126" s="481">
        <v>15</v>
      </c>
    </row>
    <row r="127" spans="1:6" ht="13.5">
      <c r="A127" s="481">
        <v>55</v>
      </c>
      <c r="B127" s="3484" t="s">
        <v>2133</v>
      </c>
      <c r="C127" s="481" t="s">
        <v>2134</v>
      </c>
      <c r="D127" s="457" t="s">
        <v>2135</v>
      </c>
      <c r="E127" s="481">
        <v>0.1</v>
      </c>
      <c r="F127" s="481">
        <v>15</v>
      </c>
    </row>
    <row r="128" spans="1:6" ht="13.5">
      <c r="A128" s="481">
        <v>56</v>
      </c>
      <c r="B128" s="3484"/>
      <c r="C128" s="481" t="s">
        <v>2136</v>
      </c>
      <c r="D128" s="457" t="s">
        <v>2137</v>
      </c>
      <c r="E128" s="481">
        <v>0.1</v>
      </c>
      <c r="F128" s="481">
        <v>15</v>
      </c>
    </row>
    <row r="129" spans="1:6" ht="24">
      <c r="A129" s="481">
        <v>57</v>
      </c>
      <c r="B129" s="3484"/>
      <c r="C129" s="481" t="s">
        <v>2138</v>
      </c>
      <c r="D129" s="457" t="s">
        <v>2139</v>
      </c>
      <c r="E129" s="481">
        <v>0.1</v>
      </c>
      <c r="F129" s="481">
        <v>15</v>
      </c>
    </row>
    <row r="130" spans="1:6" ht="24">
      <c r="A130" s="481">
        <v>58</v>
      </c>
      <c r="B130" s="3484" t="s">
        <v>2140</v>
      </c>
      <c r="C130" s="481" t="s">
        <v>2141</v>
      </c>
      <c r="D130" s="457" t="s">
        <v>2142</v>
      </c>
      <c r="E130" s="481">
        <v>0.1</v>
      </c>
      <c r="F130" s="481">
        <v>15</v>
      </c>
    </row>
    <row r="131" spans="1:6" ht="13.5">
      <c r="A131" s="481">
        <v>59</v>
      </c>
      <c r="B131" s="3484"/>
      <c r="C131" s="481" t="s">
        <v>2143</v>
      </c>
      <c r="D131" s="457" t="s">
        <v>2144</v>
      </c>
      <c r="E131" s="481">
        <v>0.1</v>
      </c>
      <c r="F131" s="481">
        <v>15</v>
      </c>
    </row>
    <row r="132" spans="1:6" ht="13.5">
      <c r="A132" s="481">
        <v>60</v>
      </c>
      <c r="B132" s="3482" t="s">
        <v>2145</v>
      </c>
      <c r="C132" s="481" t="s">
        <v>2146</v>
      </c>
      <c r="D132" s="457" t="s">
        <v>2147</v>
      </c>
      <c r="E132" s="481">
        <v>0.1</v>
      </c>
      <c r="F132" s="481">
        <v>15</v>
      </c>
    </row>
    <row r="133" spans="1:6" ht="13.5">
      <c r="A133" s="481">
        <v>61</v>
      </c>
      <c r="B133" s="3483"/>
      <c r="C133" s="481" t="s">
        <v>2148</v>
      </c>
      <c r="D133" s="457" t="s">
        <v>2149</v>
      </c>
      <c r="E133" s="481">
        <v>0.1</v>
      </c>
      <c r="F133" s="481">
        <v>15</v>
      </c>
    </row>
    <row r="134" spans="1:6" ht="24">
      <c r="A134" s="481">
        <v>62</v>
      </c>
      <c r="B134" s="481" t="s">
        <v>2150</v>
      </c>
      <c r="C134" s="481" t="s">
        <v>2151</v>
      </c>
      <c r="D134" s="457" t="s">
        <v>2152</v>
      </c>
      <c r="E134" s="481">
        <v>0.1</v>
      </c>
      <c r="F134" s="481">
        <v>15</v>
      </c>
    </row>
    <row r="135" spans="1:6" ht="13.5">
      <c r="A135" s="481">
        <v>63</v>
      </c>
      <c r="B135" s="3484" t="s">
        <v>2153</v>
      </c>
      <c r="C135" s="481" t="s">
        <v>2154</v>
      </c>
      <c r="D135" s="457" t="s">
        <v>2155</v>
      </c>
      <c r="E135" s="481">
        <v>0.1</v>
      </c>
      <c r="F135" s="481">
        <v>15</v>
      </c>
    </row>
    <row r="136" spans="1:6" ht="13.5">
      <c r="A136" s="481">
        <v>64</v>
      </c>
      <c r="B136" s="3484"/>
      <c r="C136" s="481" t="s">
        <v>2156</v>
      </c>
      <c r="D136" s="457" t="s">
        <v>2157</v>
      </c>
      <c r="E136" s="481">
        <v>0.1</v>
      </c>
      <c r="F136" s="481">
        <v>15</v>
      </c>
    </row>
    <row r="137" spans="1:6" ht="13.5">
      <c r="A137" s="481">
        <v>65</v>
      </c>
      <c r="B137" s="481" t="s">
        <v>2158</v>
      </c>
      <c r="C137" s="481" t="s">
        <v>2159</v>
      </c>
      <c r="D137" s="457" t="s">
        <v>2160</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2161</v>
      </c>
      <c r="B1" s="424"/>
      <c r="C1" s="424"/>
      <c r="D1" s="424"/>
      <c r="E1" s="424"/>
      <c r="F1" s="424"/>
      <c r="G1" s="424"/>
      <c r="H1" s="424"/>
      <c r="I1" s="424"/>
      <c r="J1" s="424"/>
      <c r="K1" s="424"/>
      <c r="L1" s="424"/>
      <c r="M1" s="424"/>
      <c r="N1" s="431"/>
    </row>
    <row r="2" spans="1:20">
      <c r="A2" s="425" t="s">
        <v>2162</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2163</v>
      </c>
      <c r="R2" s="435" t="s">
        <v>2164</v>
      </c>
      <c r="S2" s="435" t="s">
        <v>2165</v>
      </c>
      <c r="T2" s="435" t="s">
        <v>2166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2167</v>
      </c>
      <c r="B93" s="424"/>
      <c r="C93" s="424"/>
      <c r="D93" s="424"/>
      <c r="E93" s="424"/>
      <c r="F93" s="424"/>
      <c r="G93" s="424"/>
      <c r="H93" s="424"/>
      <c r="I93" s="424"/>
      <c r="J93" s="424"/>
      <c r="K93" s="424"/>
      <c r="L93" s="424"/>
      <c r="M93" s="424"/>
    </row>
    <row r="94" spans="1:20">
      <c r="A94" s="425" t="s">
        <v>2162</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2163</v>
      </c>
      <c r="R94" s="435" t="s">
        <v>2164</v>
      </c>
      <c r="S94" s="435" t="s">
        <v>2165</v>
      </c>
      <c r="T94" s="435" t="s">
        <v>2166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2168</v>
      </c>
      <c r="B185" s="424"/>
      <c r="C185" s="424"/>
      <c r="D185" s="424"/>
      <c r="E185" s="424"/>
      <c r="F185" s="424"/>
      <c r="G185" s="424"/>
      <c r="H185" s="424"/>
      <c r="I185" s="424"/>
      <c r="J185" s="424"/>
      <c r="K185" s="424"/>
      <c r="L185" s="424"/>
      <c r="M185" s="424"/>
    </row>
    <row r="186" spans="1:20">
      <c r="A186" s="425" t="s">
        <v>2162</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2163</v>
      </c>
      <c r="R186" s="435" t="s">
        <v>2164</v>
      </c>
      <c r="S186" s="435" t="s">
        <v>2165</v>
      </c>
      <c r="T186" s="435" t="s">
        <v>2166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2169</v>
      </c>
      <c r="B277" s="424"/>
      <c r="C277" s="424"/>
      <c r="D277" s="424"/>
      <c r="E277" s="424"/>
      <c r="F277" s="424"/>
      <c r="G277" s="424"/>
      <c r="H277" s="424"/>
      <c r="I277" s="424"/>
      <c r="J277" s="424"/>
      <c r="K277" s="424"/>
      <c r="L277" s="424"/>
      <c r="M277" s="424"/>
    </row>
    <row r="278" spans="1:21">
      <c r="A278" s="425" t="s">
        <v>2162</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2163</v>
      </c>
      <c r="R278" s="435" t="s">
        <v>2164</v>
      </c>
      <c r="S278" s="435" t="s">
        <v>2170</v>
      </c>
      <c r="T278" s="435" t="s">
        <v>2171</v>
      </c>
      <c r="U278" s="435" t="s">
        <v>2166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2172</v>
      </c>
      <c r="B369" s="439"/>
      <c r="C369" s="439"/>
      <c r="D369" s="439"/>
      <c r="E369" s="439"/>
      <c r="F369" s="439"/>
      <c r="G369" s="439"/>
      <c r="H369" s="439"/>
      <c r="I369" s="439"/>
      <c r="J369" s="439"/>
      <c r="K369" s="439"/>
      <c r="L369" s="439"/>
      <c r="M369" s="439"/>
    </row>
    <row r="370" spans="1:20">
      <c r="A370" s="425" t="s">
        <v>2162</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2163</v>
      </c>
      <c r="R370" s="435" t="s">
        <v>2164</v>
      </c>
      <c r="S370" s="435" t="s">
        <v>2165</v>
      </c>
      <c r="T370" s="435" t="s">
        <v>2166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8.75">
      <c r="A4" s="3121"/>
      <c r="B4" s="3171" t="s">
        <v>95</v>
      </c>
      <c r="C4" s="3171"/>
      <c r="D4" s="3171"/>
      <c r="E4" s="3121"/>
    </row>
    <row r="5" spans="1:5" ht="15.75">
      <c r="B5" s="3172" t="s">
        <v>96</v>
      </c>
      <c r="C5" s="3122" t="s">
        <v>97</v>
      </c>
      <c r="D5" s="3123">
        <f ca="1">结果表!H101</f>
        <v>14031</v>
      </c>
    </row>
    <row r="6" spans="1:5" ht="15.75">
      <c r="B6" s="3172"/>
      <c r="C6" s="3122" t="s">
        <v>98</v>
      </c>
      <c r="D6" s="3123" t="str">
        <f ca="1">NUMBERSTRING(INT(D5*10000),2)&amp;"元整"</f>
        <v>壹亿肆仟零叁拾壹万元整</v>
      </c>
    </row>
    <row r="7" spans="1:5" ht="15.75">
      <c r="B7" s="3173"/>
      <c r="C7" s="3124" t="s">
        <v>99</v>
      </c>
      <c r="D7" s="3125">
        <f ca="1">结果表!H102</f>
        <v>11005</v>
      </c>
    </row>
    <row r="8" spans="1:5" ht="15.75">
      <c r="B8" s="3174" t="str">
        <f>结果表!E103</f>
        <v>2.估价师知悉的法定优先受偿款</v>
      </c>
      <c r="C8" s="3126" t="s">
        <v>100</v>
      </c>
      <c r="D8" s="3125">
        <f>结果表!H103</f>
        <v>0</v>
      </c>
    </row>
    <row r="9" spans="1:5" ht="15.75">
      <c r="B9" s="317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6" t="str">
        <f>结果表!E107</f>
        <v>3.房地产抵押价值</v>
      </c>
      <c r="C13" s="3130" t="s">
        <v>97</v>
      </c>
      <c r="D13" s="3131">
        <f ca="1">结果表!H107</f>
        <v>14031</v>
      </c>
    </row>
    <row r="14" spans="1:5" ht="15.75">
      <c r="B14" s="3172"/>
      <c r="C14" s="3122" t="s">
        <v>98</v>
      </c>
      <c r="D14" s="3123" t="str">
        <f ca="1">NUMBERSTRING(INT(D13*10000),2)&amp;"元整"</f>
        <v>壹亿肆仟零叁拾壹万元整</v>
      </c>
    </row>
    <row r="15" spans="1:5" ht="15">
      <c r="B15" s="3173"/>
      <c r="C15" s="3124" t="s">
        <v>99</v>
      </c>
      <c r="D15" s="3132">
        <f ca="1">结果表!H108</f>
        <v>11005</v>
      </c>
    </row>
    <row r="16" spans="1:5" ht="15">
      <c r="B16" s="3174" t="str">
        <f>结果表!E109</f>
        <v>——</v>
      </c>
      <c r="C16" s="3130" t="s">
        <v>97</v>
      </c>
      <c r="D16" s="3133" t="str">
        <f>结果表!H109</f>
        <v>——</v>
      </c>
    </row>
    <row r="17" spans="1:5" ht="15.75">
      <c r="B17" s="3177"/>
      <c r="C17" s="3122" t="s">
        <v>98</v>
      </c>
      <c r="D17" s="3123" t="e">
        <f>NUMBERSTRING(INT(D16*10000),2)&amp;"元整"</f>
        <v>#VALUE!</v>
      </c>
    </row>
    <row r="18" spans="1:5" ht="15">
      <c r="B18" s="3175"/>
      <c r="C18" s="3124" t="s">
        <v>99</v>
      </c>
      <c r="D18" s="3132" t="str">
        <f>结果表!H110</f>
        <v>——</v>
      </c>
    </row>
    <row r="19" spans="1:5" ht="15.75">
      <c r="B19" s="3176" t="str">
        <f>结果表!E111</f>
        <v>——</v>
      </c>
      <c r="C19" s="3130" t="s">
        <v>97</v>
      </c>
      <c r="D19" s="3125" t="str">
        <f>结果表!H111</f>
        <v>——</v>
      </c>
    </row>
    <row r="20" spans="1:5" ht="15.75">
      <c r="B20" s="3172"/>
      <c r="C20" s="3122" t="s">
        <v>98</v>
      </c>
      <c r="D20" s="3123" t="e">
        <f>NUMBERSTRING(INT(D19*10000),2)&amp;"元整"</f>
        <v>#VALUE!</v>
      </c>
    </row>
    <row r="21" spans="1:5" ht="15">
      <c r="B21" s="3178"/>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2173</v>
      </c>
      <c r="B1" s="342"/>
      <c r="C1" s="343"/>
      <c r="D1" s="343"/>
      <c r="E1" s="343"/>
      <c r="F1" s="343"/>
      <c r="G1" s="344"/>
    </row>
    <row r="2" spans="1:7" s="333" customFormat="1" ht="18" customHeight="1">
      <c r="A2" s="345" t="s">
        <v>2174</v>
      </c>
      <c r="B2" s="346">
        <f ca="1">C52</f>
        <v>29427</v>
      </c>
      <c r="C2" s="347" t="s">
        <v>1391</v>
      </c>
      <c r="D2" s="344"/>
      <c r="E2" s="344"/>
      <c r="F2" s="344"/>
      <c r="G2" s="344"/>
    </row>
    <row r="3" spans="1:7" s="333" customFormat="1" ht="18" customHeight="1">
      <c r="A3" s="348" t="s">
        <v>2175</v>
      </c>
      <c r="B3" s="349">
        <f ca="1">ROUND(B2*10000/'数据-汇总表'!E3,0)</f>
        <v>23080</v>
      </c>
      <c r="C3" s="347" t="s">
        <v>1642</v>
      </c>
      <c r="D3" s="344"/>
      <c r="E3" s="344"/>
      <c r="F3" s="344"/>
      <c r="G3" s="344"/>
    </row>
    <row r="4" spans="1:7" s="334" customFormat="1" ht="15.75">
      <c r="A4" s="350" t="s">
        <v>2176</v>
      </c>
      <c r="B4" s="351"/>
      <c r="C4" s="351"/>
      <c r="D4" s="351"/>
      <c r="E4" s="351"/>
      <c r="F4" s="351"/>
      <c r="G4" s="352"/>
    </row>
    <row r="5" spans="1:7" s="335" customFormat="1" ht="13.5" customHeight="1">
      <c r="A5" s="353" t="s">
        <v>1042</v>
      </c>
      <c r="B5" s="354" t="s">
        <v>2177</v>
      </c>
      <c r="C5" s="355">
        <f>C6+C7+C8</f>
        <v>20610</v>
      </c>
      <c r="D5" s="355" t="s">
        <v>2178</v>
      </c>
      <c r="E5" s="356" t="s">
        <v>2179</v>
      </c>
      <c r="F5" s="356" t="s">
        <v>2180</v>
      </c>
      <c r="G5" s="357"/>
    </row>
    <row r="6" spans="1:7" s="335" customFormat="1" ht="13.5" customHeight="1">
      <c r="A6" s="358" t="s">
        <v>1046</v>
      </c>
      <c r="B6" s="359" t="s">
        <v>2181</v>
      </c>
      <c r="C6" s="360">
        <v>20000</v>
      </c>
      <c r="D6" s="361"/>
      <c r="E6" s="362"/>
      <c r="F6" s="362"/>
      <c r="G6" s="363"/>
    </row>
    <row r="7" spans="1:7" s="335" customFormat="1" ht="13.5" customHeight="1">
      <c r="A7" s="358" t="s">
        <v>1048</v>
      </c>
      <c r="B7" s="359" t="s">
        <v>2182</v>
      </c>
      <c r="C7" s="364">
        <f>ROUND(C6*F7,0)</f>
        <v>610</v>
      </c>
      <c r="D7" s="364"/>
      <c r="E7" s="362"/>
      <c r="F7" s="365">
        <f>'数据-取费表'!B48+'数据-取费表'!B49</f>
        <v>3.0499999999999999E-2</v>
      </c>
      <c r="G7" s="363"/>
    </row>
    <row r="8" spans="1:7" s="336" customFormat="1">
      <c r="A8" s="358" t="s">
        <v>1050</v>
      </c>
      <c r="B8" s="359" t="s">
        <v>2183</v>
      </c>
      <c r="C8" s="364" t="str">
        <f>IF(G8="已包含在土地购买价格中","0",'数据-取费表'!B29)</f>
        <v>0</v>
      </c>
      <c r="D8" s="366"/>
      <c r="E8" s="364"/>
      <c r="F8" s="365"/>
      <c r="G8" s="367" t="s">
        <v>2184</v>
      </c>
    </row>
    <row r="9" spans="1:7" s="335" customFormat="1" ht="13.5" customHeight="1">
      <c r="A9" s="368" t="s">
        <v>1053</v>
      </c>
      <c r="B9" s="369" t="s">
        <v>2185</v>
      </c>
      <c r="C9" s="370">
        <f>ROUND(D9*E9/10000,0)</f>
        <v>0</v>
      </c>
      <c r="D9" s="371">
        <f>'数据-汇总表'!E5</f>
        <v>0</v>
      </c>
      <c r="E9" s="370">
        <f>'数据-取费表'!B27</f>
        <v>150</v>
      </c>
      <c r="F9" s="365"/>
      <c r="G9" s="372"/>
    </row>
    <row r="10" spans="1:7" s="335" customFormat="1" ht="13.5" customHeight="1">
      <c r="A10" s="368" t="s">
        <v>1057</v>
      </c>
      <c r="B10" s="369" t="s">
        <v>2186</v>
      </c>
      <c r="C10" s="370">
        <f>ROUND(D10*E10/10000,0)</f>
        <v>242</v>
      </c>
      <c r="D10" s="371">
        <f>'数据-汇总表'!E6</f>
        <v>12749.85</v>
      </c>
      <c r="E10" s="370">
        <f>'数据-取费表'!B28</f>
        <v>190</v>
      </c>
      <c r="F10" s="365"/>
      <c r="G10" s="372"/>
    </row>
    <row r="11" spans="1:7" s="335" customFormat="1" ht="13.5" hidden="1" customHeight="1">
      <c r="A11" s="373" t="s">
        <v>1059</v>
      </c>
      <c r="B11" s="359" t="s">
        <v>2187</v>
      </c>
      <c r="C11" s="355"/>
      <c r="D11" s="362"/>
      <c r="E11" s="362"/>
      <c r="F11" s="362"/>
      <c r="G11" s="363"/>
    </row>
    <row r="12" spans="1:7" s="335" customFormat="1" ht="13.5" hidden="1" customHeight="1">
      <c r="A12" s="373" t="s">
        <v>1061</v>
      </c>
      <c r="B12" s="359" t="s">
        <v>2188</v>
      </c>
      <c r="C12" s="355">
        <v>0</v>
      </c>
      <c r="D12" s="362"/>
      <c r="E12" s="374"/>
      <c r="F12" s="365">
        <v>3.0499999999999999E-2</v>
      </c>
      <c r="G12" s="363"/>
    </row>
    <row r="13" spans="1:7" s="335" customFormat="1" ht="13.5" hidden="1" customHeight="1">
      <c r="A13" s="373" t="s">
        <v>1062</v>
      </c>
      <c r="B13" s="359" t="s">
        <v>2189</v>
      </c>
      <c r="C13" s="355"/>
      <c r="D13" s="362"/>
      <c r="E13" s="362"/>
      <c r="F13" s="362"/>
      <c r="G13" s="363"/>
    </row>
    <row r="14" spans="1:7" s="335" customFormat="1" ht="13.5" hidden="1" customHeight="1">
      <c r="A14" s="373" t="s">
        <v>1064</v>
      </c>
      <c r="B14" s="359" t="s">
        <v>2183</v>
      </c>
      <c r="C14" s="355"/>
      <c r="D14" s="362"/>
      <c r="E14" s="362"/>
      <c r="F14" s="362"/>
      <c r="G14" s="363" t="s">
        <v>2190</v>
      </c>
    </row>
    <row r="15" spans="1:7" s="335" customFormat="1" ht="13.5" hidden="1" customHeight="1">
      <c r="A15" s="373" t="s">
        <v>1066</v>
      </c>
      <c r="B15" s="359" t="s">
        <v>2191</v>
      </c>
      <c r="C15" s="364"/>
      <c r="D15" s="362"/>
      <c r="E15" s="362"/>
      <c r="F15" s="362"/>
      <c r="G15" s="363" t="s">
        <v>2192</v>
      </c>
    </row>
    <row r="16" spans="1:7" s="335" customFormat="1" ht="13.5" hidden="1" customHeight="1">
      <c r="A16" s="373" t="s">
        <v>1069</v>
      </c>
      <c r="B16" s="359" t="s">
        <v>2183</v>
      </c>
      <c r="C16" s="364"/>
      <c r="D16" s="362"/>
      <c r="E16" s="362"/>
      <c r="F16" s="362"/>
      <c r="G16" s="363"/>
    </row>
    <row r="17" spans="1:7" s="335" customFormat="1" ht="13.5" hidden="1" customHeight="1">
      <c r="A17" s="373" t="s">
        <v>1070</v>
      </c>
      <c r="B17" s="359" t="s">
        <v>2193</v>
      </c>
      <c r="C17" s="375"/>
      <c r="D17" s="375"/>
      <c r="E17" s="375"/>
      <c r="F17" s="375"/>
      <c r="G17" s="363" t="s">
        <v>2192</v>
      </c>
    </row>
    <row r="18" spans="1:7" s="335" customFormat="1" ht="13.5" hidden="1" customHeight="1">
      <c r="A18" s="373" t="s">
        <v>1072</v>
      </c>
      <c r="B18" s="359" t="s">
        <v>2194</v>
      </c>
      <c r="C18" s="364">
        <v>0</v>
      </c>
      <c r="D18" s="362"/>
      <c r="E18" s="362"/>
      <c r="F18" s="365">
        <v>3.0499999999999999E-2</v>
      </c>
      <c r="G18" s="363" t="s">
        <v>2195</v>
      </c>
    </row>
    <row r="19" spans="1:7" s="336" customFormat="1" ht="13.5" customHeight="1">
      <c r="A19" s="376" t="s">
        <v>1747</v>
      </c>
      <c r="B19" s="354" t="s">
        <v>2196</v>
      </c>
      <c r="C19" s="355">
        <f>IF(G19="已包含在土地取得成本中","0",ROUND(D19*E19/10000,0))</f>
        <v>191</v>
      </c>
      <c r="D19" s="356">
        <f>'数据-汇总表'!E3</f>
        <v>12749.85</v>
      </c>
      <c r="E19" s="355">
        <f>'数据-取费表'!B31</f>
        <v>150</v>
      </c>
      <c r="F19" s="377"/>
      <c r="G19" s="367" t="s">
        <v>2197</v>
      </c>
    </row>
    <row r="20" spans="1:7" s="335" customFormat="1" ht="13.5" customHeight="1">
      <c r="A20" s="376" t="s">
        <v>1784</v>
      </c>
      <c r="B20" s="354" t="s">
        <v>2198</v>
      </c>
      <c r="C20" s="378">
        <f>ROUND((C5+C19)*F20,0)</f>
        <v>416</v>
      </c>
      <c r="D20" s="378"/>
      <c r="E20" s="378"/>
      <c r="F20" s="379">
        <f>'数据-取费表'!B37</f>
        <v>0.02</v>
      </c>
      <c r="G20" s="380" t="s">
        <v>2199</v>
      </c>
    </row>
    <row r="21" spans="1:7" s="335" customFormat="1" ht="13.5" customHeight="1">
      <c r="A21" s="376" t="s">
        <v>1789</v>
      </c>
      <c r="B21" s="354" t="s">
        <v>2200</v>
      </c>
      <c r="C21" s="381">
        <f>F21</f>
        <v>0.02</v>
      </c>
      <c r="D21" s="382" t="s">
        <v>2201</v>
      </c>
      <c r="E21" s="378"/>
      <c r="F21" s="379">
        <f>'数据-取费表'!B38</f>
        <v>0.02</v>
      </c>
      <c r="G21" s="383" t="s">
        <v>2202</v>
      </c>
    </row>
    <row r="22" spans="1:7" s="335" customFormat="1" ht="13.5" customHeight="1">
      <c r="A22" s="376" t="s">
        <v>1798</v>
      </c>
      <c r="B22" s="354" t="s">
        <v>2203</v>
      </c>
      <c r="C22" s="384">
        <f ca="1">ROUND(SUM(C23:C25),0)</f>
        <v>651</v>
      </c>
      <c r="D22" s="381">
        <f ca="1">C26</f>
        <v>2.9999999999999997E-4</v>
      </c>
      <c r="E22" s="382" t="s">
        <v>2201</v>
      </c>
      <c r="F22" s="385">
        <f ca="1">'数据-取费表'!B40</f>
        <v>3.1E-2</v>
      </c>
      <c r="G22" s="380" t="str">
        <f>IF('数据-取费表'!B22&lt;=1,"单利计息","复利计息")</f>
        <v>单利计息</v>
      </c>
    </row>
    <row r="23" spans="1:7" s="335" customFormat="1" ht="13.5" customHeight="1">
      <c r="A23" s="386" t="s">
        <v>1046</v>
      </c>
      <c r="B23" s="359" t="s">
        <v>2204</v>
      </c>
      <c r="C23" s="387">
        <f ca="1">ROUND(IF('数据-取费表'!B22&lt;=1,C5*F22*'数据-取费表'!B23,C5*(POWER((1+F22),'数据-取费表'!B23)-1)),0)</f>
        <v>639</v>
      </c>
      <c r="D23" s="388"/>
      <c r="E23" s="388"/>
      <c r="F23" s="389"/>
      <c r="G23" s="390" t="s">
        <v>2205</v>
      </c>
    </row>
    <row r="24" spans="1:7" s="335" customFormat="1" ht="13.5" customHeight="1">
      <c r="A24" s="386" t="s">
        <v>1048</v>
      </c>
      <c r="B24" s="359" t="s">
        <v>2206</v>
      </c>
      <c r="C24" s="387">
        <f ca="1">ROUND(IF('数据-取费表'!B22&lt;=1,C19*F22*('数据-取费表'!B19/2+'数据-取费表'!B21),C19*(POWER((1+F22),('数据-取费表'!B19/2+'数据-取费表'!B21))-1)),0)</f>
        <v>6</v>
      </c>
      <c r="D24" s="388"/>
      <c r="E24" s="388"/>
      <c r="F24" s="389"/>
      <c r="G24" s="390" t="s">
        <v>2207</v>
      </c>
    </row>
    <row r="25" spans="1:7" s="335" customFormat="1" ht="24">
      <c r="A25" s="386" t="s">
        <v>1050</v>
      </c>
      <c r="B25" s="359" t="s">
        <v>2208</v>
      </c>
      <c r="C25" s="387">
        <f ca="1">ROUND(IF('数据-取费表'!B22&lt;=1,C20*F22*'数据-取费表'!B23/2,C20*(POWER((1+F22),'数据-取费表'!B23/2)-1)),0)</f>
        <v>6</v>
      </c>
      <c r="D25" s="388"/>
      <c r="E25" s="391"/>
      <c r="F25" s="389"/>
      <c r="G25" s="392" t="s">
        <v>2209</v>
      </c>
    </row>
    <row r="26" spans="1:7" s="335" customFormat="1">
      <c r="A26" s="386" t="s">
        <v>1093</v>
      </c>
      <c r="B26" s="359" t="s">
        <v>2210</v>
      </c>
      <c r="C26" s="388">
        <f ca="1">ROUND(IF('数据-取费表'!B22&lt;=1,F21*F22*'数据-取费表'!B23/2,F21*(POWER((1+F22),'数据-取费表'!B23/2)-1)),4)</f>
        <v>2.9999999999999997E-4</v>
      </c>
      <c r="D26" s="388"/>
      <c r="E26" s="391"/>
      <c r="F26" s="389"/>
      <c r="G26" s="393"/>
    </row>
    <row r="27" spans="1:7" s="335" customFormat="1" ht="24.75">
      <c r="A27" s="376" t="s">
        <v>1807</v>
      </c>
      <c r="B27" s="394" t="s">
        <v>2211</v>
      </c>
      <c r="C27" s="395">
        <f>C28</f>
        <v>2122</v>
      </c>
      <c r="D27" s="381">
        <f>C29</f>
        <v>2E-3</v>
      </c>
      <c r="E27" s="382" t="s">
        <v>2201</v>
      </c>
      <c r="F27" s="396">
        <f>'数据-取费表'!Q16</f>
        <v>0.1</v>
      </c>
      <c r="G27" s="397" t="s">
        <v>2212</v>
      </c>
    </row>
    <row r="28" spans="1:7" s="335" customFormat="1" ht="13.5" customHeight="1">
      <c r="A28" s="386" t="s">
        <v>1046</v>
      </c>
      <c r="B28" s="398" t="s">
        <v>2213</v>
      </c>
      <c r="C28" s="399">
        <f>ROUND((C5+C19+C20)*F27*'数据-取费表'!B21/'数据-取费表'!B20,0)</f>
        <v>2122</v>
      </c>
      <c r="D28" s="381"/>
      <c r="E28" s="382"/>
      <c r="F28" s="396"/>
      <c r="G28" s="397"/>
    </row>
    <row r="29" spans="1:7" s="335" customFormat="1" ht="13.5" customHeight="1">
      <c r="A29" s="386" t="s">
        <v>1048</v>
      </c>
      <c r="B29" s="398" t="s">
        <v>2214</v>
      </c>
      <c r="C29" s="388">
        <f>ROUND(C21*F27*'数据-取费表'!B21/'数据-取费表'!B20,4)</f>
        <v>2E-3</v>
      </c>
      <c r="D29" s="381"/>
      <c r="E29" s="382"/>
      <c r="F29" s="396"/>
      <c r="G29" s="397"/>
    </row>
    <row r="30" spans="1:7" s="335" customFormat="1" ht="13.5" customHeight="1">
      <c r="A30" s="376" t="s">
        <v>2215</v>
      </c>
      <c r="B30" s="354" t="s">
        <v>2216</v>
      </c>
      <c r="C30" s="381">
        <f>F30</f>
        <v>5.5E-2</v>
      </c>
      <c r="D30" s="382" t="s">
        <v>2217</v>
      </c>
      <c r="E30" s="391"/>
      <c r="F30" s="385">
        <f>'数据-取费表'!B41</f>
        <v>5.5E-2</v>
      </c>
      <c r="G30" s="383" t="s">
        <v>2218</v>
      </c>
    </row>
    <row r="31" spans="1:7" ht="16.5" customHeight="1">
      <c r="A31" s="400">
        <v>1</v>
      </c>
      <c r="B31" s="354" t="s">
        <v>2219</v>
      </c>
      <c r="C31" s="355">
        <f ca="1">ROUND((C5+C19+C20+C22+C27)/(1-C21-D22-D27-C30/(1+'数据-取费表'!B42)),0)</f>
        <v>25926</v>
      </c>
      <c r="D31" s="401"/>
      <c r="E31" s="355"/>
      <c r="F31" s="402"/>
      <c r="G31" s="383" t="s">
        <v>2220</v>
      </c>
    </row>
    <row r="32" spans="1:7" s="334" customFormat="1" ht="15.75">
      <c r="A32" s="403" t="s">
        <v>2221</v>
      </c>
      <c r="B32" s="404"/>
      <c r="C32" s="404"/>
      <c r="D32" s="404"/>
      <c r="E32" s="404"/>
      <c r="F32" s="404"/>
      <c r="G32" s="405"/>
    </row>
    <row r="33" spans="1:7" s="335" customFormat="1" ht="13.5" customHeight="1">
      <c r="A33" s="353" t="s">
        <v>1042</v>
      </c>
      <c r="B33" s="354" t="s">
        <v>2222</v>
      </c>
      <c r="C33" s="406">
        <f>SUM(C34:C38)</f>
        <v>4011</v>
      </c>
      <c r="D33" s="378"/>
      <c r="E33" s="356"/>
      <c r="F33" s="391"/>
      <c r="G33" s="383"/>
    </row>
    <row r="34" spans="1:7" s="337" customFormat="1" ht="13.5" customHeight="1">
      <c r="A34" s="386" t="s">
        <v>1046</v>
      </c>
      <c r="B34" s="359" t="s">
        <v>2223</v>
      </c>
      <c r="C34" s="364">
        <f>IF(F34=100%,'数据-取费表'!M16-SUMIF('数据-取费表'!C:C,"公共配套",'数据-取费表'!M:M),'数据-取费表'!O16-SUMIF('数据-取费表'!C:C,"公共配套",'数据-取费表'!O:O))</f>
        <v>3570</v>
      </c>
      <c r="D34" s="361"/>
      <c r="E34" s="364"/>
      <c r="F34" s="407">
        <f>IF('数据-取费表'!B24=0,1,'数据-取费表'!N16)</f>
        <v>1</v>
      </c>
      <c r="G34" s="363" t="s">
        <v>2224</v>
      </c>
    </row>
    <row r="35" spans="1:7" ht="13.5" customHeight="1">
      <c r="A35" s="386" t="s">
        <v>1048</v>
      </c>
      <c r="B35" s="359" t="s">
        <v>2225</v>
      </c>
      <c r="C35" s="364">
        <f>ROUND(C34*F35,0)</f>
        <v>179</v>
      </c>
      <c r="D35" s="364"/>
      <c r="E35" s="364"/>
      <c r="F35" s="408">
        <f>'数据-取费表'!B33</f>
        <v>0.05</v>
      </c>
      <c r="G35" s="363" t="s">
        <v>2226</v>
      </c>
    </row>
    <row r="36" spans="1:7" ht="24">
      <c r="A36" s="386" t="s">
        <v>1050</v>
      </c>
      <c r="B36" s="359" t="s">
        <v>2227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2228</v>
      </c>
    </row>
    <row r="37" spans="1:7" s="337" customFormat="1" ht="13.5" customHeight="1">
      <c r="A37" s="386" t="s">
        <v>1093</v>
      </c>
      <c r="B37" s="359" t="s">
        <v>2229</v>
      </c>
      <c r="C37" s="399">
        <f>ROUND(E37*D37*F34/10000,0)</f>
        <v>191</v>
      </c>
      <c r="D37" s="361">
        <f>'数据-汇总表'!E3</f>
        <v>12749.85</v>
      </c>
      <c r="E37" s="399">
        <f>'数据-取费表'!B35</f>
        <v>150</v>
      </c>
      <c r="F37" s="408"/>
      <c r="G37" s="410" t="s">
        <v>2230</v>
      </c>
    </row>
    <row r="38" spans="1:7" ht="13.5" customHeight="1">
      <c r="A38" s="386" t="s">
        <v>1115</v>
      </c>
      <c r="B38" s="359" t="s">
        <v>2188</v>
      </c>
      <c r="C38" s="364">
        <f>ROUND(C34*F38,0)</f>
        <v>71</v>
      </c>
      <c r="D38" s="364"/>
      <c r="E38" s="364"/>
      <c r="F38" s="408">
        <f>'数据-取费表'!B36</f>
        <v>0.02</v>
      </c>
      <c r="G38" s="363" t="s">
        <v>2226</v>
      </c>
    </row>
    <row r="39" spans="1:7" s="335" customFormat="1" ht="13.5" customHeight="1">
      <c r="A39" s="376" t="s">
        <v>1747</v>
      </c>
      <c r="B39" s="354" t="s">
        <v>2198</v>
      </c>
      <c r="C39" s="378">
        <f>ROUND(C33*F20,0)</f>
        <v>80</v>
      </c>
      <c r="D39" s="378"/>
      <c r="E39" s="378"/>
      <c r="F39" s="379"/>
      <c r="G39" s="380" t="s">
        <v>2231</v>
      </c>
    </row>
    <row r="40" spans="1:7" s="335" customFormat="1" ht="13.5" customHeight="1">
      <c r="A40" s="376" t="s">
        <v>1784</v>
      </c>
      <c r="B40" s="354" t="s">
        <v>2200</v>
      </c>
      <c r="C40" s="411">
        <f>F21</f>
        <v>0.02</v>
      </c>
      <c r="D40" s="382" t="s">
        <v>2232</v>
      </c>
      <c r="E40" s="378"/>
      <c r="F40" s="379"/>
      <c r="G40" s="383" t="s">
        <v>2233</v>
      </c>
    </row>
    <row r="41" spans="1:7" s="335" customFormat="1" ht="13.5" customHeight="1">
      <c r="A41" s="376" t="s">
        <v>1789</v>
      </c>
      <c r="B41" s="354" t="s">
        <v>2203</v>
      </c>
      <c r="C41" s="378">
        <f ca="1">ROUND(SUM(C42:C43),0)</f>
        <v>63</v>
      </c>
      <c r="D41" s="381">
        <f ca="1">C44</f>
        <v>2.9999999999999997E-4</v>
      </c>
      <c r="E41" s="382" t="s">
        <v>2232</v>
      </c>
      <c r="F41" s="385"/>
      <c r="G41" s="380" t="str">
        <f>IF('数据-取费表'!B22&lt;=1,"单利计息","复利计息")</f>
        <v>单利计息</v>
      </c>
    </row>
    <row r="42" spans="1:7" ht="13.5" customHeight="1">
      <c r="A42" s="386" t="s">
        <v>1046</v>
      </c>
      <c r="B42" s="359" t="s">
        <v>2204</v>
      </c>
      <c r="C42" s="388">
        <f ca="1">ROUND(IF('数据-取费表'!B22&lt;=1,C33*F22*'数据-取费表'!B21/2,C33*(POWER((1+F22),'数据-取费表'!B21/2)-1)),0)</f>
        <v>62</v>
      </c>
      <c r="D42" s="388"/>
      <c r="E42" s="388"/>
      <c r="F42" s="389"/>
      <c r="G42" s="3350" t="s">
        <v>2234</v>
      </c>
    </row>
    <row r="43" spans="1:7" ht="13.5" customHeight="1">
      <c r="A43" s="386" t="s">
        <v>1048</v>
      </c>
      <c r="B43" s="359" t="s">
        <v>2206</v>
      </c>
      <c r="C43" s="388">
        <f ca="1">ROUND(IF('数据-取费表'!B22&lt;=1,C39*F22*'数据-取费表'!B21/2,C39*(POWER((1+F22),'数据-取费表'!B21/2)-1)),0)</f>
        <v>1</v>
      </c>
      <c r="D43" s="388"/>
      <c r="E43" s="388"/>
      <c r="F43" s="389"/>
      <c r="G43" s="3351"/>
    </row>
    <row r="44" spans="1:7" ht="13.5" customHeight="1">
      <c r="A44" s="386" t="s">
        <v>1050</v>
      </c>
      <c r="B44" s="359" t="s">
        <v>2208</v>
      </c>
      <c r="C44" s="388">
        <f ca="1">ROUND(IF('数据-取费表'!B22&lt;=1,C40*F22*'数据-取费表'!B21/2,C40*(POWER((1+F22),'数据-取费表'!B21/2)-1)),4)</f>
        <v>2.9999999999999997E-4</v>
      </c>
      <c r="D44" s="388"/>
      <c r="E44" s="388"/>
      <c r="F44" s="389"/>
      <c r="G44" s="3352"/>
    </row>
    <row r="45" spans="1:7" s="335" customFormat="1" ht="13.5" customHeight="1">
      <c r="A45" s="376" t="s">
        <v>1798</v>
      </c>
      <c r="B45" s="394" t="s">
        <v>2211</v>
      </c>
      <c r="C45" s="395">
        <f>C46</f>
        <v>409</v>
      </c>
      <c r="D45" s="381">
        <f>C47</f>
        <v>2E-3</v>
      </c>
      <c r="E45" s="382" t="s">
        <v>2232</v>
      </c>
      <c r="F45" s="396"/>
      <c r="G45" s="397" t="s">
        <v>2235</v>
      </c>
    </row>
    <row r="46" spans="1:7" s="335" customFormat="1" ht="13.5" customHeight="1">
      <c r="A46" s="386" t="s">
        <v>1046</v>
      </c>
      <c r="B46" s="398" t="s">
        <v>2236</v>
      </c>
      <c r="C46" s="399">
        <f>ROUND((C33+C39)*F27,0)</f>
        <v>409</v>
      </c>
      <c r="D46" s="412"/>
      <c r="E46" s="382"/>
      <c r="F46" s="396"/>
      <c r="G46" s="397"/>
    </row>
    <row r="47" spans="1:7" s="335" customFormat="1" ht="13.5" customHeight="1">
      <c r="A47" s="386" t="s">
        <v>1048</v>
      </c>
      <c r="B47" s="398" t="s">
        <v>2237</v>
      </c>
      <c r="C47" s="388">
        <f>ROUND(C40*F27,4)</f>
        <v>2E-3</v>
      </c>
      <c r="D47" s="412"/>
      <c r="E47" s="382"/>
      <c r="F47" s="396"/>
      <c r="G47" s="397"/>
    </row>
    <row r="48" spans="1:7" s="335" customFormat="1" ht="13.5" customHeight="1">
      <c r="A48" s="376" t="s">
        <v>1807</v>
      </c>
      <c r="B48" s="354" t="s">
        <v>2216</v>
      </c>
      <c r="C48" s="411">
        <f>F30</f>
        <v>5.5E-2</v>
      </c>
      <c r="D48" s="382" t="s">
        <v>2238</v>
      </c>
      <c r="E48" s="378"/>
      <c r="F48" s="385"/>
      <c r="G48" s="383" t="s">
        <v>2239</v>
      </c>
    </row>
    <row r="49" spans="1:7" ht="16.5" customHeight="1">
      <c r="A49" s="376" t="s">
        <v>2215</v>
      </c>
      <c r="B49" s="354" t="s">
        <v>2240</v>
      </c>
      <c r="C49" s="378">
        <f ca="1">ROUND((C33+C39+C41+C45)/(1-C40-D41-D45-C48/(1+'数据-取费表'!B42)),0)</f>
        <v>4931</v>
      </c>
      <c r="D49" s="378"/>
      <c r="E49" s="378"/>
      <c r="F49" s="413"/>
      <c r="G49" s="383" t="s">
        <v>2241</v>
      </c>
    </row>
    <row r="50" spans="1:7" s="337" customFormat="1" ht="24">
      <c r="A50" s="376" t="s">
        <v>2242</v>
      </c>
      <c r="B50" s="354" t="s">
        <v>2243</v>
      </c>
      <c r="C50" s="378"/>
      <c r="D50" s="378"/>
      <c r="E50" s="378"/>
      <c r="F50" s="413">
        <f>IF('数据-取费表'!B24=0,'数据-取费表'!N16,1)</f>
        <v>0.71</v>
      </c>
      <c r="G50" s="397" t="s">
        <v>2244</v>
      </c>
    </row>
    <row r="51" spans="1:7" ht="16.5" customHeight="1">
      <c r="A51" s="376" t="s">
        <v>2245</v>
      </c>
      <c r="B51" s="354" t="s">
        <v>2246</v>
      </c>
      <c r="C51" s="378">
        <f ca="1">ROUND(C49*F50,0)</f>
        <v>3501</v>
      </c>
      <c r="D51" s="378"/>
      <c r="E51" s="378"/>
      <c r="F51" s="413"/>
      <c r="G51" s="383" t="s">
        <v>2247</v>
      </c>
    </row>
    <row r="52" spans="1:7" s="334" customFormat="1" ht="15.75">
      <c r="A52" s="414" t="s">
        <v>2248</v>
      </c>
      <c r="B52" s="415"/>
      <c r="C52" s="416">
        <f ca="1">C31+C51</f>
        <v>29427</v>
      </c>
      <c r="D52" s="415"/>
      <c r="E52" s="415"/>
      <c r="F52" s="415"/>
      <c r="G52" s="417"/>
    </row>
    <row r="55" spans="1:7" ht="15">
      <c r="B55" s="418" t="s">
        <v>2249</v>
      </c>
      <c r="C55" s="419"/>
    </row>
    <row r="56" spans="1:7">
      <c r="B56" s="420" t="s">
        <v>2250</v>
      </c>
      <c r="C56" s="421">
        <f ca="1">ROUND(C51/C52,3)</f>
        <v>0.11899999999999999</v>
      </c>
    </row>
    <row r="57" spans="1:7">
      <c r="B57" s="420" t="s">
        <v>2251</v>
      </c>
      <c r="C57" s="422">
        <f ca="1">1-C56</f>
        <v>0.88100000000000001</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85" t="s">
        <v>2252</v>
      </c>
      <c r="B1" s="3485"/>
    </row>
    <row r="2" spans="1:7">
      <c r="A2" s="299"/>
      <c r="B2" s="299"/>
    </row>
    <row r="3" spans="1:7">
      <c r="A3" s="299"/>
      <c r="B3" s="299"/>
      <c r="C3" s="300" t="s">
        <v>1930</v>
      </c>
      <c r="D3" s="300" t="s">
        <v>1931</v>
      </c>
      <c r="E3" s="300" t="s">
        <v>412</v>
      </c>
      <c r="F3" s="300" t="s">
        <v>408</v>
      </c>
      <c r="G3" s="300" t="s">
        <v>280</v>
      </c>
    </row>
    <row r="4" spans="1:7">
      <c r="A4" s="301" t="s">
        <v>2253</v>
      </c>
      <c r="B4" s="302" t="s">
        <v>2254</v>
      </c>
      <c r="C4" s="300"/>
      <c r="D4" s="300"/>
      <c r="E4" s="300"/>
      <c r="F4" s="300"/>
      <c r="G4" s="300"/>
    </row>
    <row r="5" spans="1:7">
      <c r="A5" s="303" t="s">
        <v>230</v>
      </c>
      <c r="B5" s="304" t="s">
        <v>2255</v>
      </c>
      <c r="C5" s="305">
        <v>9.8000000000000004E-2</v>
      </c>
      <c r="D5" s="305">
        <v>8.6999999999999994E-2</v>
      </c>
      <c r="E5" s="305">
        <v>8.6999999999999994E-2</v>
      </c>
      <c r="F5" s="305">
        <v>9.8000000000000004E-2</v>
      </c>
      <c r="G5" s="306">
        <v>9.5000000000000001E-2</v>
      </c>
    </row>
    <row r="6" spans="1:7">
      <c r="A6" s="307" t="s">
        <v>230</v>
      </c>
      <c r="B6" s="308" t="s">
        <v>2256</v>
      </c>
      <c r="C6" s="309">
        <v>9.8000000000000004E-2</v>
      </c>
      <c r="D6" s="309">
        <v>9.8000000000000004E-2</v>
      </c>
      <c r="E6" s="309">
        <v>9.8000000000000004E-2</v>
      </c>
      <c r="F6" s="309">
        <v>0.1</v>
      </c>
      <c r="G6" s="310">
        <v>9.9000000000000005E-2</v>
      </c>
    </row>
    <row r="7" spans="1:7">
      <c r="A7" s="307" t="s">
        <v>230</v>
      </c>
      <c r="B7" s="308" t="s">
        <v>2257</v>
      </c>
      <c r="C7" s="309">
        <v>9.7000000000000003E-2</v>
      </c>
      <c r="D7" s="309">
        <v>9.7000000000000003E-2</v>
      </c>
      <c r="E7" s="309">
        <v>9.6000000000000002E-2</v>
      </c>
      <c r="F7" s="309">
        <v>0.1</v>
      </c>
      <c r="G7" s="310">
        <v>9.8000000000000004E-2</v>
      </c>
    </row>
    <row r="8" spans="1:7">
      <c r="A8" s="307" t="s">
        <v>230</v>
      </c>
      <c r="B8" s="308" t="s">
        <v>2258</v>
      </c>
      <c r="C8" s="309">
        <v>8.1000000000000003E-2</v>
      </c>
      <c r="D8" s="309">
        <v>8.2000000000000003E-2</v>
      </c>
      <c r="E8" s="309">
        <v>7.0000000000000007E-2</v>
      </c>
      <c r="F8" s="309">
        <v>9.6000000000000002E-2</v>
      </c>
      <c r="G8" s="310">
        <v>8.8999999999999996E-2</v>
      </c>
    </row>
    <row r="9" spans="1:7">
      <c r="A9" s="311" t="s">
        <v>230</v>
      </c>
      <c r="B9" s="312" t="s">
        <v>2259</v>
      </c>
      <c r="C9" s="313">
        <v>0.1</v>
      </c>
      <c r="D9" s="313">
        <v>0.1</v>
      </c>
      <c r="E9" s="313">
        <v>0.1</v>
      </c>
      <c r="F9" s="314"/>
      <c r="G9" s="315">
        <v>0.1</v>
      </c>
    </row>
    <row r="10" spans="1:7">
      <c r="A10" s="303" t="s">
        <v>241</v>
      </c>
      <c r="B10" s="304" t="s">
        <v>2260</v>
      </c>
      <c r="C10" s="305">
        <v>6.7000000000000004E-2</v>
      </c>
      <c r="D10" s="305">
        <v>7.9000000000000001E-2</v>
      </c>
      <c r="E10" s="305">
        <v>7.9000000000000001E-2</v>
      </c>
      <c r="F10" s="305">
        <v>0.1</v>
      </c>
      <c r="G10" s="306">
        <v>9.0999999999999998E-2</v>
      </c>
    </row>
    <row r="11" spans="1:7">
      <c r="A11" s="307" t="s">
        <v>241</v>
      </c>
      <c r="B11" s="308" t="s">
        <v>2261</v>
      </c>
      <c r="C11" s="309">
        <v>0.05</v>
      </c>
      <c r="D11" s="309">
        <v>5.2999999999999999E-2</v>
      </c>
      <c r="E11" s="309">
        <v>6.3E-2</v>
      </c>
      <c r="F11" s="309">
        <v>0.1</v>
      </c>
      <c r="G11" s="310">
        <v>7.1999999999999995E-2</v>
      </c>
    </row>
    <row r="12" spans="1:7">
      <c r="A12" s="307" t="s">
        <v>241</v>
      </c>
      <c r="B12" s="308" t="s">
        <v>2262</v>
      </c>
      <c r="C12" s="309">
        <v>5.2999999999999999E-2</v>
      </c>
      <c r="D12" s="309">
        <v>0.09</v>
      </c>
      <c r="E12" s="309">
        <v>7.1999999999999995E-2</v>
      </c>
      <c r="F12" s="309">
        <v>0.1</v>
      </c>
      <c r="G12" s="310">
        <v>9.7000000000000003E-2</v>
      </c>
    </row>
    <row r="13" spans="1:7">
      <c r="A13" s="307" t="s">
        <v>241</v>
      </c>
      <c r="B13" s="308" t="s">
        <v>2263</v>
      </c>
      <c r="C13" s="309">
        <v>9.7000000000000003E-2</v>
      </c>
      <c r="D13" s="309">
        <v>9.1999999999999998E-2</v>
      </c>
      <c r="E13" s="309">
        <v>9.5000000000000001E-2</v>
      </c>
      <c r="F13" s="309">
        <v>0.1</v>
      </c>
      <c r="G13" s="310">
        <v>9.7000000000000003E-2</v>
      </c>
    </row>
    <row r="14" spans="1:7">
      <c r="A14" s="307" t="s">
        <v>241</v>
      </c>
      <c r="B14" s="308" t="s">
        <v>2264</v>
      </c>
      <c r="C14" s="309">
        <v>9.7000000000000003E-2</v>
      </c>
      <c r="D14" s="309">
        <v>9.7000000000000003E-2</v>
      </c>
      <c r="E14" s="309">
        <v>9.7000000000000003E-2</v>
      </c>
      <c r="F14" s="309">
        <v>0.1</v>
      </c>
      <c r="G14" s="310">
        <v>9.8000000000000004E-2</v>
      </c>
    </row>
    <row r="15" spans="1:7">
      <c r="A15" s="307" t="s">
        <v>241</v>
      </c>
      <c r="B15" s="308" t="s">
        <v>2265</v>
      </c>
      <c r="C15" s="309">
        <v>9.8000000000000004E-2</v>
      </c>
      <c r="D15" s="309">
        <v>9.0999999999999998E-2</v>
      </c>
      <c r="E15" s="309">
        <v>0.06</v>
      </c>
      <c r="F15" s="309">
        <v>0.1</v>
      </c>
      <c r="G15" s="310">
        <v>9.7000000000000003E-2</v>
      </c>
    </row>
    <row r="16" spans="1:7">
      <c r="A16" s="307" t="s">
        <v>241</v>
      </c>
      <c r="B16" s="308" t="s">
        <v>2266</v>
      </c>
      <c r="C16" s="309">
        <v>9.8000000000000004E-2</v>
      </c>
      <c r="D16" s="309">
        <v>9.7000000000000003E-2</v>
      </c>
      <c r="E16" s="309">
        <v>9.5000000000000001E-2</v>
      </c>
      <c r="F16" s="309">
        <v>0.1</v>
      </c>
      <c r="G16" s="310">
        <v>9.9000000000000005E-2</v>
      </c>
    </row>
    <row r="17" spans="1:7">
      <c r="A17" s="307" t="s">
        <v>241</v>
      </c>
      <c r="B17" s="308" t="s">
        <v>2267</v>
      </c>
      <c r="C17" s="309">
        <v>8.8999999999999996E-2</v>
      </c>
      <c r="D17" s="309">
        <v>9.1999999999999998E-2</v>
      </c>
      <c r="E17" s="309">
        <v>6.0999999999999999E-2</v>
      </c>
      <c r="F17" s="309">
        <v>0.1</v>
      </c>
      <c r="G17" s="310">
        <v>9.7000000000000003E-2</v>
      </c>
    </row>
    <row r="18" spans="1:7">
      <c r="A18" s="307" t="s">
        <v>241</v>
      </c>
      <c r="B18" s="308" t="s">
        <v>2268</v>
      </c>
      <c r="C18" s="309">
        <v>9.8000000000000004E-2</v>
      </c>
      <c r="D18" s="309">
        <v>9.8000000000000004E-2</v>
      </c>
      <c r="E18" s="309">
        <v>9.8000000000000004E-2</v>
      </c>
      <c r="F18" s="316"/>
      <c r="G18" s="310">
        <v>9.9000000000000005E-2</v>
      </c>
    </row>
    <row r="19" spans="1:7">
      <c r="A19" s="307" t="s">
        <v>241</v>
      </c>
      <c r="B19" s="308" t="s">
        <v>2269</v>
      </c>
      <c r="C19" s="309">
        <v>9.9000000000000005E-2</v>
      </c>
      <c r="D19" s="309">
        <v>7.3999999999999996E-2</v>
      </c>
      <c r="E19" s="309">
        <v>8.1000000000000003E-2</v>
      </c>
      <c r="F19" s="316"/>
      <c r="G19" s="310">
        <v>9.2999999999999999E-2</v>
      </c>
    </row>
    <row r="20" spans="1:7">
      <c r="A20" s="307" t="s">
        <v>241</v>
      </c>
      <c r="B20" s="308" t="s">
        <v>2270</v>
      </c>
      <c r="C20" s="309">
        <v>0.1</v>
      </c>
      <c r="D20" s="309">
        <v>8.8999999999999996E-2</v>
      </c>
      <c r="E20" s="309">
        <v>8.8999999999999996E-2</v>
      </c>
      <c r="F20" s="316"/>
      <c r="G20" s="310">
        <v>9.5000000000000001E-2</v>
      </c>
    </row>
    <row r="21" spans="1:7">
      <c r="A21" s="307" t="s">
        <v>241</v>
      </c>
      <c r="B21" s="308" t="s">
        <v>2271</v>
      </c>
      <c r="C21" s="309">
        <v>0.1</v>
      </c>
      <c r="D21" s="309">
        <v>9.0999999999999998E-2</v>
      </c>
      <c r="E21" s="309">
        <v>8.2000000000000003E-2</v>
      </c>
      <c r="F21" s="316"/>
      <c r="G21" s="310">
        <v>9.7000000000000003E-2</v>
      </c>
    </row>
    <row r="22" spans="1:7">
      <c r="A22" s="307" t="s">
        <v>241</v>
      </c>
      <c r="B22" s="308" t="s">
        <v>2272</v>
      </c>
      <c r="C22" s="309">
        <v>9.5000000000000001E-2</v>
      </c>
      <c r="D22" s="309">
        <v>9.9000000000000005E-2</v>
      </c>
      <c r="E22" s="309">
        <v>9.8000000000000004E-2</v>
      </c>
      <c r="F22" s="316"/>
      <c r="G22" s="310">
        <v>0.1</v>
      </c>
    </row>
    <row r="23" spans="1:7">
      <c r="A23" s="307" t="s">
        <v>241</v>
      </c>
      <c r="B23" s="308" t="s">
        <v>2273</v>
      </c>
      <c r="C23" s="309">
        <v>9.9000000000000005E-2</v>
      </c>
      <c r="D23" s="309">
        <v>0.1</v>
      </c>
      <c r="E23" s="309">
        <v>0.1</v>
      </c>
      <c r="F23" s="316"/>
      <c r="G23" s="310">
        <v>0.1</v>
      </c>
    </row>
    <row r="24" spans="1:7">
      <c r="A24" s="307" t="s">
        <v>241</v>
      </c>
      <c r="B24" s="308" t="s">
        <v>2274</v>
      </c>
      <c r="C24" s="309">
        <v>9.5000000000000001E-2</v>
      </c>
      <c r="D24" s="309">
        <v>0.1</v>
      </c>
      <c r="E24" s="309">
        <v>9.8000000000000004E-2</v>
      </c>
      <c r="F24" s="316"/>
      <c r="G24" s="310">
        <v>0.1</v>
      </c>
    </row>
    <row r="25" spans="1:7">
      <c r="A25" s="307" t="s">
        <v>241</v>
      </c>
      <c r="B25" s="308" t="s">
        <v>2275</v>
      </c>
      <c r="C25" s="309">
        <v>0.05</v>
      </c>
      <c r="D25" s="309">
        <v>9.6000000000000002E-2</v>
      </c>
      <c r="E25" s="309">
        <v>9.6000000000000002E-2</v>
      </c>
      <c r="F25" s="316"/>
      <c r="G25" s="310">
        <v>9.6000000000000002E-2</v>
      </c>
    </row>
    <row r="26" spans="1:7">
      <c r="A26" s="307" t="s">
        <v>241</v>
      </c>
      <c r="B26" s="308" t="s">
        <v>2276</v>
      </c>
      <c r="C26" s="309">
        <v>6.3E-2</v>
      </c>
      <c r="D26" s="309">
        <v>9.9000000000000005E-2</v>
      </c>
      <c r="E26" s="309">
        <v>9.8000000000000004E-2</v>
      </c>
      <c r="F26" s="316"/>
      <c r="G26" s="310">
        <v>0.1</v>
      </c>
    </row>
    <row r="27" spans="1:7">
      <c r="A27" s="307" t="s">
        <v>241</v>
      </c>
      <c r="B27" s="308" t="s">
        <v>2277</v>
      </c>
      <c r="C27" s="309">
        <v>5.1999999999999998E-2</v>
      </c>
      <c r="D27" s="309">
        <v>9.5000000000000001E-2</v>
      </c>
      <c r="E27" s="309">
        <v>6.4000000000000001E-2</v>
      </c>
      <c r="F27" s="316"/>
      <c r="G27" s="310">
        <v>9.7000000000000003E-2</v>
      </c>
    </row>
    <row r="28" spans="1:7">
      <c r="A28" s="307" t="s">
        <v>241</v>
      </c>
      <c r="B28" s="308" t="s">
        <v>2278</v>
      </c>
      <c r="C28" s="316"/>
      <c r="D28" s="309">
        <v>6.3E-2</v>
      </c>
      <c r="E28" s="309">
        <v>5.1999999999999998E-2</v>
      </c>
      <c r="F28" s="316"/>
      <c r="G28" s="310">
        <v>6.3E-2</v>
      </c>
    </row>
    <row r="29" spans="1:7">
      <c r="A29" s="311" t="s">
        <v>241</v>
      </c>
      <c r="B29" s="312" t="s">
        <v>2279</v>
      </c>
      <c r="C29" s="317"/>
      <c r="D29" s="313">
        <v>5.1999999999999998E-2</v>
      </c>
      <c r="E29" s="313">
        <v>7.0000000000000007E-2</v>
      </c>
      <c r="F29" s="317"/>
      <c r="G29" s="315">
        <v>7.0999999999999994E-2</v>
      </c>
    </row>
    <row r="30" spans="1:7">
      <c r="A30" s="318" t="s">
        <v>251</v>
      </c>
      <c r="B30" s="304" t="s">
        <v>2280</v>
      </c>
      <c r="C30" s="305">
        <v>6.6000000000000003E-2</v>
      </c>
      <c r="D30" s="305">
        <v>6.6000000000000003E-2</v>
      </c>
      <c r="E30" s="305">
        <v>5.7000000000000002E-2</v>
      </c>
      <c r="F30" s="305">
        <v>0.1</v>
      </c>
      <c r="G30" s="306">
        <v>6.8000000000000005E-2</v>
      </c>
    </row>
    <row r="31" spans="1:7">
      <c r="A31" s="319" t="s">
        <v>251</v>
      </c>
      <c r="B31" s="308" t="s">
        <v>2281</v>
      </c>
      <c r="C31" s="309">
        <v>5.5E-2</v>
      </c>
      <c r="D31" s="309">
        <v>8.2000000000000003E-2</v>
      </c>
      <c r="E31" s="309">
        <v>6.4000000000000001E-2</v>
      </c>
      <c r="F31" s="309">
        <v>0.1</v>
      </c>
      <c r="G31" s="310">
        <v>9.5000000000000001E-2</v>
      </c>
    </row>
    <row r="32" spans="1:7">
      <c r="A32" s="319" t="s">
        <v>251</v>
      </c>
      <c r="B32" s="308" t="s">
        <v>2282</v>
      </c>
      <c r="C32" s="309">
        <v>8.2000000000000003E-2</v>
      </c>
      <c r="D32" s="309">
        <v>8.6999999999999994E-2</v>
      </c>
      <c r="E32" s="309">
        <v>9.5000000000000001E-2</v>
      </c>
      <c r="F32" s="309">
        <v>0.1</v>
      </c>
      <c r="G32" s="310">
        <v>9.6000000000000002E-2</v>
      </c>
    </row>
    <row r="33" spans="1:7">
      <c r="A33" s="319" t="s">
        <v>251</v>
      </c>
      <c r="B33" s="308" t="s">
        <v>2283</v>
      </c>
      <c r="C33" s="309">
        <v>9.9000000000000005E-2</v>
      </c>
      <c r="D33" s="309">
        <v>9.1999999999999998E-2</v>
      </c>
      <c r="E33" s="309">
        <v>8.6999999999999994E-2</v>
      </c>
      <c r="F33" s="309">
        <v>0.1</v>
      </c>
      <c r="G33" s="310">
        <v>9.7000000000000003E-2</v>
      </c>
    </row>
    <row r="34" spans="1:7">
      <c r="A34" s="319" t="s">
        <v>251</v>
      </c>
      <c r="B34" s="308" t="s">
        <v>2284</v>
      </c>
      <c r="C34" s="309">
        <v>8.4000000000000005E-2</v>
      </c>
      <c r="D34" s="309">
        <v>9.7000000000000003E-2</v>
      </c>
      <c r="E34" s="309">
        <v>7.0999999999999994E-2</v>
      </c>
      <c r="F34" s="309">
        <v>0.1</v>
      </c>
      <c r="G34" s="310">
        <v>9.8000000000000004E-2</v>
      </c>
    </row>
    <row r="35" spans="1:7">
      <c r="A35" s="319" t="s">
        <v>251</v>
      </c>
      <c r="B35" s="308" t="s">
        <v>2285</v>
      </c>
      <c r="C35" s="309">
        <v>8.3000000000000004E-2</v>
      </c>
      <c r="D35" s="309">
        <v>9.7000000000000003E-2</v>
      </c>
      <c r="E35" s="309">
        <v>6.0999999999999999E-2</v>
      </c>
      <c r="F35" s="309">
        <v>0.1</v>
      </c>
      <c r="G35" s="310">
        <v>9.9000000000000005E-2</v>
      </c>
    </row>
    <row r="36" spans="1:7">
      <c r="A36" s="319" t="s">
        <v>251</v>
      </c>
      <c r="B36" s="308" t="s">
        <v>2286</v>
      </c>
      <c r="C36" s="309">
        <v>9.7000000000000003E-2</v>
      </c>
      <c r="D36" s="309">
        <v>9.7000000000000003E-2</v>
      </c>
      <c r="E36" s="309">
        <v>7.8E-2</v>
      </c>
      <c r="F36" s="309">
        <v>0.1</v>
      </c>
      <c r="G36" s="310">
        <v>9.9000000000000005E-2</v>
      </c>
    </row>
    <row r="37" spans="1:7">
      <c r="A37" s="319" t="s">
        <v>251</v>
      </c>
      <c r="B37" s="308" t="s">
        <v>2287</v>
      </c>
      <c r="C37" s="309">
        <v>9.7000000000000003E-2</v>
      </c>
      <c r="D37" s="309">
        <v>9.5000000000000001E-2</v>
      </c>
      <c r="E37" s="309">
        <v>7.8E-2</v>
      </c>
      <c r="F37" s="309">
        <v>0.1</v>
      </c>
      <c r="G37" s="310">
        <v>9.7000000000000003E-2</v>
      </c>
    </row>
    <row r="38" spans="1:7">
      <c r="A38" s="319" t="s">
        <v>251</v>
      </c>
      <c r="B38" s="308" t="s">
        <v>2288</v>
      </c>
      <c r="C38" s="309">
        <v>9.7000000000000003E-2</v>
      </c>
      <c r="D38" s="309">
        <v>7.6999999999999999E-2</v>
      </c>
      <c r="E38" s="309">
        <v>7.0000000000000007E-2</v>
      </c>
      <c r="F38" s="309">
        <v>0.1</v>
      </c>
      <c r="G38" s="310">
        <v>7.6999999999999999E-2</v>
      </c>
    </row>
    <row r="39" spans="1:7">
      <c r="A39" s="319" t="s">
        <v>251</v>
      </c>
      <c r="B39" s="308" t="s">
        <v>2289</v>
      </c>
      <c r="C39" s="309">
        <v>9.5000000000000001E-2</v>
      </c>
      <c r="D39" s="309">
        <v>7.6999999999999999E-2</v>
      </c>
      <c r="E39" s="309">
        <v>6.6000000000000003E-2</v>
      </c>
      <c r="F39" s="309">
        <v>0.1</v>
      </c>
      <c r="G39" s="310">
        <v>8.5999999999999993E-2</v>
      </c>
    </row>
    <row r="40" spans="1:7">
      <c r="A40" s="319" t="s">
        <v>251</v>
      </c>
      <c r="B40" s="308" t="s">
        <v>2290</v>
      </c>
      <c r="C40" s="309">
        <v>7.6999999999999999E-2</v>
      </c>
      <c r="D40" s="309">
        <v>7.8E-2</v>
      </c>
      <c r="E40" s="309">
        <v>8.2000000000000003E-2</v>
      </c>
      <c r="F40" s="320"/>
      <c r="G40" s="310">
        <v>7.8E-2</v>
      </c>
    </row>
    <row r="41" spans="1:7">
      <c r="A41" s="319" t="s">
        <v>251</v>
      </c>
      <c r="B41" s="308" t="s">
        <v>2291</v>
      </c>
      <c r="C41" s="309">
        <v>7.8E-2</v>
      </c>
      <c r="D41" s="309">
        <v>7.8E-2</v>
      </c>
      <c r="E41" s="309">
        <v>8.2000000000000003E-2</v>
      </c>
      <c r="F41" s="320"/>
      <c r="G41" s="310">
        <v>8.5999999999999993E-2</v>
      </c>
    </row>
    <row r="42" spans="1:7">
      <c r="A42" s="319" t="s">
        <v>251</v>
      </c>
      <c r="B42" s="308" t="s">
        <v>2292</v>
      </c>
      <c r="C42" s="309">
        <v>7.8E-2</v>
      </c>
      <c r="D42" s="309">
        <v>9.6000000000000002E-2</v>
      </c>
      <c r="E42" s="309">
        <v>7.1999999999999995E-2</v>
      </c>
      <c r="F42" s="320"/>
      <c r="G42" s="310">
        <v>9.8000000000000004E-2</v>
      </c>
    </row>
    <row r="43" spans="1:7">
      <c r="A43" s="319" t="s">
        <v>251</v>
      </c>
      <c r="B43" s="308" t="s">
        <v>2293</v>
      </c>
      <c r="C43" s="309">
        <v>7.8E-2</v>
      </c>
      <c r="D43" s="309">
        <v>9.9000000000000005E-2</v>
      </c>
      <c r="E43" s="309">
        <v>9.6000000000000002E-2</v>
      </c>
      <c r="F43" s="320"/>
      <c r="G43" s="310">
        <v>0.1</v>
      </c>
    </row>
    <row r="44" spans="1:7">
      <c r="A44" s="319" t="s">
        <v>251</v>
      </c>
      <c r="B44" s="308" t="s">
        <v>2294</v>
      </c>
      <c r="C44" s="309">
        <v>9.6000000000000002E-2</v>
      </c>
      <c r="D44" s="309">
        <v>0.1</v>
      </c>
      <c r="E44" s="309">
        <v>9.8000000000000004E-2</v>
      </c>
      <c r="F44" s="320"/>
      <c r="G44" s="310">
        <v>0.1</v>
      </c>
    </row>
    <row r="45" spans="1:7">
      <c r="A45" s="319" t="s">
        <v>251</v>
      </c>
      <c r="B45" s="308" t="s">
        <v>2295</v>
      </c>
      <c r="C45" s="309">
        <v>9.9000000000000005E-2</v>
      </c>
      <c r="D45" s="309">
        <v>9.8000000000000004E-2</v>
      </c>
      <c r="E45" s="309">
        <v>9.5000000000000001E-2</v>
      </c>
      <c r="F45" s="320"/>
      <c r="G45" s="310">
        <v>9.8000000000000004E-2</v>
      </c>
    </row>
    <row r="46" spans="1:7">
      <c r="A46" s="319" t="s">
        <v>251</v>
      </c>
      <c r="B46" s="308" t="s">
        <v>2296</v>
      </c>
      <c r="C46" s="309">
        <v>0.1</v>
      </c>
      <c r="D46" s="309">
        <v>9.9000000000000005E-2</v>
      </c>
      <c r="E46" s="309">
        <v>9.6000000000000002E-2</v>
      </c>
      <c r="F46" s="320"/>
      <c r="G46" s="310">
        <v>0.1</v>
      </c>
    </row>
    <row r="47" spans="1:7">
      <c r="A47" s="319" t="s">
        <v>251</v>
      </c>
      <c r="B47" s="308" t="s">
        <v>2297</v>
      </c>
      <c r="C47" s="309">
        <v>9.8000000000000004E-2</v>
      </c>
      <c r="D47" s="309">
        <v>8.6999999999999994E-2</v>
      </c>
      <c r="E47" s="309">
        <v>5.8999999999999997E-2</v>
      </c>
      <c r="F47" s="320"/>
      <c r="G47" s="310">
        <v>9.6000000000000002E-2</v>
      </c>
    </row>
    <row r="48" spans="1:7">
      <c r="A48" s="319" t="s">
        <v>251</v>
      </c>
      <c r="B48" s="308" t="s">
        <v>2298</v>
      </c>
      <c r="C48" s="309">
        <v>9.9000000000000005E-2</v>
      </c>
      <c r="D48" s="309">
        <v>9.8000000000000004E-2</v>
      </c>
      <c r="E48" s="309">
        <v>9.5000000000000001E-2</v>
      </c>
      <c r="F48" s="320"/>
      <c r="G48" s="310">
        <v>9.8000000000000004E-2</v>
      </c>
    </row>
    <row r="49" spans="1:7">
      <c r="A49" s="319" t="s">
        <v>251</v>
      </c>
      <c r="B49" s="308" t="s">
        <v>2299</v>
      </c>
      <c r="C49" s="309">
        <v>8.7999999999999995E-2</v>
      </c>
      <c r="D49" s="309">
        <v>9.9000000000000005E-2</v>
      </c>
      <c r="E49" s="309">
        <v>7.0000000000000007E-2</v>
      </c>
      <c r="F49" s="320"/>
      <c r="G49" s="310">
        <v>0.1</v>
      </c>
    </row>
    <row r="50" spans="1:7">
      <c r="A50" s="319" t="s">
        <v>251</v>
      </c>
      <c r="B50" s="308" t="s">
        <v>2300</v>
      </c>
      <c r="C50" s="309">
        <v>9.8000000000000004E-2</v>
      </c>
      <c r="D50" s="309">
        <v>7.2999999999999995E-2</v>
      </c>
      <c r="E50" s="309">
        <v>7.0999999999999994E-2</v>
      </c>
      <c r="F50" s="320"/>
      <c r="G50" s="310">
        <v>7.2999999999999995E-2</v>
      </c>
    </row>
    <row r="51" spans="1:7">
      <c r="A51" s="319" t="s">
        <v>251</v>
      </c>
      <c r="B51" s="308" t="s">
        <v>2301</v>
      </c>
      <c r="C51" s="309">
        <v>9.9000000000000005E-2</v>
      </c>
      <c r="D51" s="309">
        <v>8.5000000000000006E-2</v>
      </c>
      <c r="E51" s="309">
        <v>6.3E-2</v>
      </c>
      <c r="F51" s="320"/>
      <c r="G51" s="310">
        <v>9.6000000000000002E-2</v>
      </c>
    </row>
    <row r="52" spans="1:7">
      <c r="A52" s="319" t="s">
        <v>251</v>
      </c>
      <c r="B52" s="308" t="s">
        <v>2302</v>
      </c>
      <c r="C52" s="309">
        <v>7.3999999999999996E-2</v>
      </c>
      <c r="D52" s="309">
        <v>9.6000000000000002E-2</v>
      </c>
      <c r="E52" s="309">
        <v>0.05</v>
      </c>
      <c r="F52" s="320"/>
      <c r="G52" s="310">
        <v>9.8000000000000004E-2</v>
      </c>
    </row>
    <row r="53" spans="1:7">
      <c r="A53" s="319" t="s">
        <v>251</v>
      </c>
      <c r="B53" s="308" t="s">
        <v>2303</v>
      </c>
      <c r="C53" s="309">
        <v>8.5999999999999993E-2</v>
      </c>
      <c r="D53" s="320"/>
      <c r="E53" s="309">
        <v>9.1999999999999998E-2</v>
      </c>
      <c r="F53" s="320"/>
      <c r="G53" s="321"/>
    </row>
    <row r="54" spans="1:7">
      <c r="A54" s="322" t="s">
        <v>251</v>
      </c>
      <c r="B54" s="312" t="s">
        <v>2304</v>
      </c>
      <c r="C54" s="313">
        <v>9.6000000000000002E-2</v>
      </c>
      <c r="D54" s="314"/>
      <c r="E54" s="323"/>
      <c r="F54" s="314"/>
      <c r="G54" s="324"/>
    </row>
    <row r="55" spans="1:7">
      <c r="A55" s="318" t="s">
        <v>259</v>
      </c>
      <c r="B55" s="304" t="s">
        <v>2305</v>
      </c>
      <c r="C55" s="305">
        <v>9.6000000000000002E-2</v>
      </c>
      <c r="D55" s="305">
        <v>8.4000000000000005E-2</v>
      </c>
      <c r="E55" s="305">
        <v>9.1999999999999998E-2</v>
      </c>
      <c r="F55" s="305">
        <v>0.1</v>
      </c>
      <c r="G55" s="306">
        <v>9.5000000000000001E-2</v>
      </c>
    </row>
    <row r="56" spans="1:7">
      <c r="A56" s="319" t="s">
        <v>259</v>
      </c>
      <c r="B56" s="308" t="s">
        <v>2306</v>
      </c>
      <c r="C56" s="309">
        <v>8.4000000000000005E-2</v>
      </c>
      <c r="D56" s="309">
        <v>9.1999999999999998E-2</v>
      </c>
      <c r="E56" s="309">
        <v>9.5000000000000001E-2</v>
      </c>
      <c r="F56" s="309">
        <v>9.1999999999999998E-2</v>
      </c>
      <c r="G56" s="310">
        <v>9.6000000000000002E-2</v>
      </c>
    </row>
    <row r="57" spans="1:7">
      <c r="A57" s="319" t="s">
        <v>259</v>
      </c>
      <c r="B57" s="308" t="s">
        <v>2307</v>
      </c>
      <c r="C57" s="309">
        <v>9.9000000000000005E-2</v>
      </c>
      <c r="D57" s="309">
        <v>9.6000000000000002E-2</v>
      </c>
      <c r="E57" s="309">
        <v>9.1999999999999998E-2</v>
      </c>
      <c r="F57" s="309">
        <v>0.1</v>
      </c>
      <c r="G57" s="310">
        <v>9.8000000000000004E-2</v>
      </c>
    </row>
    <row r="58" spans="1:7">
      <c r="A58" s="319" t="s">
        <v>259</v>
      </c>
      <c r="B58" s="308" t="s">
        <v>2308</v>
      </c>
      <c r="C58" s="309">
        <v>9.8000000000000004E-2</v>
      </c>
      <c r="D58" s="309">
        <v>9.5000000000000001E-2</v>
      </c>
      <c r="E58" s="309">
        <v>5.7000000000000002E-2</v>
      </c>
      <c r="F58" s="309">
        <v>0.1</v>
      </c>
      <c r="G58" s="310">
        <v>9.6000000000000002E-2</v>
      </c>
    </row>
    <row r="59" spans="1:7">
      <c r="A59" s="319" t="s">
        <v>259</v>
      </c>
      <c r="B59" s="308" t="s">
        <v>2309</v>
      </c>
      <c r="C59" s="309">
        <v>9.5000000000000001E-2</v>
      </c>
      <c r="D59" s="309">
        <v>0.1</v>
      </c>
      <c r="E59" s="309">
        <v>7.4999999999999997E-2</v>
      </c>
      <c r="F59" s="309">
        <v>0.1</v>
      </c>
      <c r="G59" s="310">
        <v>0.1</v>
      </c>
    </row>
    <row r="60" spans="1:7">
      <c r="A60" s="319" t="s">
        <v>259</v>
      </c>
      <c r="B60" s="308" t="s">
        <v>2310</v>
      </c>
      <c r="C60" s="309">
        <v>0.1</v>
      </c>
      <c r="D60" s="309">
        <v>9.7000000000000003E-2</v>
      </c>
      <c r="E60" s="309">
        <v>0.1</v>
      </c>
      <c r="F60" s="309">
        <v>0.1</v>
      </c>
      <c r="G60" s="310">
        <v>9.7000000000000003E-2</v>
      </c>
    </row>
    <row r="61" spans="1:7">
      <c r="A61" s="319" t="s">
        <v>259</v>
      </c>
      <c r="B61" s="308" t="s">
        <v>2311</v>
      </c>
      <c r="C61" s="309">
        <v>9.7000000000000003E-2</v>
      </c>
      <c r="D61" s="309">
        <v>0.1</v>
      </c>
      <c r="E61" s="309">
        <v>9.2999999999999999E-2</v>
      </c>
      <c r="F61" s="309">
        <v>0.1</v>
      </c>
      <c r="G61" s="310">
        <v>0.1</v>
      </c>
    </row>
    <row r="62" spans="1:7">
      <c r="A62" s="319" t="s">
        <v>259</v>
      </c>
      <c r="B62" s="308" t="s">
        <v>2312</v>
      </c>
      <c r="C62" s="309">
        <v>0.1</v>
      </c>
      <c r="D62" s="309">
        <v>9.7000000000000003E-2</v>
      </c>
      <c r="E62" s="309">
        <v>8.8999999999999996E-2</v>
      </c>
      <c r="F62" s="309">
        <v>0.1</v>
      </c>
      <c r="G62" s="310">
        <v>9.8000000000000004E-2</v>
      </c>
    </row>
    <row r="63" spans="1:7">
      <c r="A63" s="319" t="s">
        <v>259</v>
      </c>
      <c r="B63" s="308" t="s">
        <v>2313</v>
      </c>
      <c r="C63" s="309">
        <v>9.7000000000000003E-2</v>
      </c>
      <c r="D63" s="309">
        <v>9.7000000000000003E-2</v>
      </c>
      <c r="E63" s="309">
        <v>9.9000000000000005E-2</v>
      </c>
      <c r="F63" s="309">
        <v>0.1</v>
      </c>
      <c r="G63" s="310">
        <v>9.7000000000000003E-2</v>
      </c>
    </row>
    <row r="64" spans="1:7">
      <c r="A64" s="319" t="s">
        <v>259</v>
      </c>
      <c r="B64" s="308" t="s">
        <v>2314</v>
      </c>
      <c r="C64" s="309">
        <v>9.7000000000000003E-2</v>
      </c>
      <c r="D64" s="309">
        <v>7.3999999999999996E-2</v>
      </c>
      <c r="E64" s="309">
        <v>7.8E-2</v>
      </c>
      <c r="F64" s="309">
        <v>0.1</v>
      </c>
      <c r="G64" s="310">
        <v>8.8999999999999996E-2</v>
      </c>
    </row>
    <row r="65" spans="1:7">
      <c r="A65" s="319" t="s">
        <v>259</v>
      </c>
      <c r="B65" s="308" t="s">
        <v>2315</v>
      </c>
      <c r="C65" s="309">
        <v>7.2999999999999995E-2</v>
      </c>
      <c r="D65" s="309">
        <v>9.8000000000000004E-2</v>
      </c>
      <c r="E65" s="309">
        <v>9.5000000000000001E-2</v>
      </c>
      <c r="F65" s="309">
        <v>0.1</v>
      </c>
      <c r="G65" s="310">
        <v>9.9000000000000005E-2</v>
      </c>
    </row>
    <row r="66" spans="1:7">
      <c r="A66" s="319" t="s">
        <v>259</v>
      </c>
      <c r="B66" s="308" t="s">
        <v>2316</v>
      </c>
      <c r="C66" s="309">
        <v>9.8000000000000004E-2</v>
      </c>
      <c r="D66" s="309">
        <v>9.5000000000000001E-2</v>
      </c>
      <c r="E66" s="309">
        <v>0.05</v>
      </c>
      <c r="F66" s="309">
        <v>0.1</v>
      </c>
      <c r="G66" s="310">
        <v>9.7000000000000003E-2</v>
      </c>
    </row>
    <row r="67" spans="1:7">
      <c r="A67" s="319" t="s">
        <v>259</v>
      </c>
      <c r="B67" s="308" t="s">
        <v>2317</v>
      </c>
      <c r="C67" s="309">
        <v>9.5000000000000001E-2</v>
      </c>
      <c r="D67" s="309">
        <v>9.7000000000000003E-2</v>
      </c>
      <c r="E67" s="309">
        <v>9.7000000000000003E-2</v>
      </c>
      <c r="F67" s="309">
        <v>0.1</v>
      </c>
      <c r="G67" s="310">
        <v>9.9000000000000005E-2</v>
      </c>
    </row>
    <row r="68" spans="1:7">
      <c r="A68" s="319" t="s">
        <v>259</v>
      </c>
      <c r="B68" s="308" t="s">
        <v>2318</v>
      </c>
      <c r="C68" s="309">
        <v>9.7000000000000003E-2</v>
      </c>
      <c r="D68" s="309">
        <v>6.8000000000000005E-2</v>
      </c>
      <c r="E68" s="309">
        <v>6.6000000000000003E-2</v>
      </c>
      <c r="F68" s="309">
        <v>0.1</v>
      </c>
      <c r="G68" s="310">
        <v>8.4000000000000005E-2</v>
      </c>
    </row>
    <row r="69" spans="1:7">
      <c r="A69" s="319" t="s">
        <v>259</v>
      </c>
      <c r="B69" s="308" t="s">
        <v>2319</v>
      </c>
      <c r="C69" s="309">
        <v>6.8000000000000005E-2</v>
      </c>
      <c r="D69" s="309">
        <v>9.8000000000000004E-2</v>
      </c>
      <c r="E69" s="309">
        <v>9.5000000000000001E-2</v>
      </c>
      <c r="F69" s="309">
        <v>0.1</v>
      </c>
      <c r="G69" s="310">
        <v>0.1</v>
      </c>
    </row>
    <row r="70" spans="1:7">
      <c r="A70" s="319" t="s">
        <v>259</v>
      </c>
      <c r="B70" s="308" t="s">
        <v>2320</v>
      </c>
      <c r="C70" s="309">
        <v>9.8000000000000004E-2</v>
      </c>
      <c r="D70" s="309">
        <v>8.8999999999999996E-2</v>
      </c>
      <c r="E70" s="309">
        <v>5.8999999999999997E-2</v>
      </c>
      <c r="F70" s="309">
        <v>0.1</v>
      </c>
      <c r="G70" s="310">
        <v>9.6000000000000002E-2</v>
      </c>
    </row>
    <row r="71" spans="1:7">
      <c r="A71" s="319" t="s">
        <v>259</v>
      </c>
      <c r="B71" s="308" t="s">
        <v>2321</v>
      </c>
      <c r="C71" s="309">
        <v>8.8999999999999996E-2</v>
      </c>
      <c r="D71" s="309">
        <v>9.9000000000000005E-2</v>
      </c>
      <c r="E71" s="309">
        <v>9.6000000000000002E-2</v>
      </c>
      <c r="F71" s="309">
        <v>0.1</v>
      </c>
      <c r="G71" s="310">
        <v>0.1</v>
      </c>
    </row>
    <row r="72" spans="1:7">
      <c r="A72" s="319" t="s">
        <v>259</v>
      </c>
      <c r="B72" s="308" t="s">
        <v>2322</v>
      </c>
      <c r="C72" s="309">
        <v>9.9000000000000005E-2</v>
      </c>
      <c r="D72" s="309">
        <v>0.1</v>
      </c>
      <c r="E72" s="309">
        <v>7.0000000000000007E-2</v>
      </c>
      <c r="F72" s="320"/>
      <c r="G72" s="310">
        <v>0.1</v>
      </c>
    </row>
    <row r="73" spans="1:7">
      <c r="A73" s="319" t="s">
        <v>259</v>
      </c>
      <c r="B73" s="308" t="s">
        <v>2323</v>
      </c>
      <c r="C73" s="309">
        <v>0.1</v>
      </c>
      <c r="D73" s="309">
        <v>0.1</v>
      </c>
      <c r="E73" s="309">
        <v>9.6000000000000002E-2</v>
      </c>
      <c r="F73" s="320"/>
      <c r="G73" s="310">
        <v>0.1</v>
      </c>
    </row>
    <row r="74" spans="1:7">
      <c r="A74" s="319" t="s">
        <v>259</v>
      </c>
      <c r="B74" s="308" t="s">
        <v>2324</v>
      </c>
      <c r="C74" s="309">
        <v>0.1</v>
      </c>
      <c r="D74" s="309">
        <v>0.1</v>
      </c>
      <c r="E74" s="309">
        <v>9.8000000000000004E-2</v>
      </c>
      <c r="F74" s="320"/>
      <c r="G74" s="310">
        <v>0.1</v>
      </c>
    </row>
    <row r="75" spans="1:7">
      <c r="A75" s="319" t="s">
        <v>259</v>
      </c>
      <c r="B75" s="308" t="s">
        <v>2325</v>
      </c>
      <c r="C75" s="309">
        <v>0.1</v>
      </c>
      <c r="D75" s="309">
        <v>9.9000000000000005E-2</v>
      </c>
      <c r="E75" s="309">
        <v>9.8000000000000004E-2</v>
      </c>
      <c r="F75" s="320"/>
      <c r="G75" s="310">
        <v>0.1</v>
      </c>
    </row>
    <row r="76" spans="1:7">
      <c r="A76" s="319" t="s">
        <v>259</v>
      </c>
      <c r="B76" s="308" t="s">
        <v>2326</v>
      </c>
      <c r="C76" s="309">
        <v>9.9000000000000005E-2</v>
      </c>
      <c r="D76" s="309">
        <v>0.1</v>
      </c>
      <c r="E76" s="309">
        <v>9.7000000000000003E-2</v>
      </c>
      <c r="F76" s="320"/>
      <c r="G76" s="310">
        <v>0.1</v>
      </c>
    </row>
    <row r="77" spans="1:7">
      <c r="A77" s="319" t="s">
        <v>259</v>
      </c>
      <c r="B77" s="308" t="s">
        <v>2327</v>
      </c>
      <c r="C77" s="309">
        <v>0.1</v>
      </c>
      <c r="D77" s="309">
        <v>0.1</v>
      </c>
      <c r="E77" s="309">
        <v>9.6000000000000002E-2</v>
      </c>
      <c r="F77" s="320"/>
      <c r="G77" s="310">
        <v>0.1</v>
      </c>
    </row>
    <row r="78" spans="1:7">
      <c r="A78" s="319" t="s">
        <v>259</v>
      </c>
      <c r="B78" s="308" t="s">
        <v>2328</v>
      </c>
      <c r="C78" s="309">
        <v>0.1</v>
      </c>
      <c r="D78" s="309">
        <v>8.5000000000000006E-2</v>
      </c>
      <c r="E78" s="309">
        <v>9.6000000000000002E-2</v>
      </c>
      <c r="F78" s="320"/>
      <c r="G78" s="310">
        <v>9.6000000000000002E-2</v>
      </c>
    </row>
    <row r="79" spans="1:7">
      <c r="A79" s="319" t="s">
        <v>259</v>
      </c>
      <c r="B79" s="308" t="s">
        <v>2329</v>
      </c>
      <c r="C79" s="309">
        <v>0.05</v>
      </c>
      <c r="D79" s="309">
        <v>9.6000000000000002E-2</v>
      </c>
      <c r="E79" s="309">
        <v>9.5000000000000001E-2</v>
      </c>
      <c r="F79" s="320"/>
      <c r="G79" s="310">
        <v>9.8000000000000004E-2</v>
      </c>
    </row>
    <row r="80" spans="1:7">
      <c r="A80" s="319" t="s">
        <v>259</v>
      </c>
      <c r="B80" s="308" t="s">
        <v>2330</v>
      </c>
      <c r="C80" s="309">
        <v>8.5999999999999993E-2</v>
      </c>
      <c r="D80" s="325"/>
      <c r="E80" s="309">
        <v>0.1</v>
      </c>
      <c r="F80" s="320"/>
      <c r="G80" s="321"/>
    </row>
    <row r="81" spans="1:7">
      <c r="A81" s="319" t="s">
        <v>259</v>
      </c>
      <c r="B81" s="308" t="s">
        <v>2331</v>
      </c>
      <c r="C81" s="309">
        <v>9.6000000000000002E-2</v>
      </c>
      <c r="D81" s="320"/>
      <c r="E81" s="309">
        <v>9.8000000000000004E-2</v>
      </c>
      <c r="F81" s="320"/>
      <c r="G81" s="321"/>
    </row>
    <row r="82" spans="1:7">
      <c r="A82" s="319" t="s">
        <v>259</v>
      </c>
      <c r="B82" s="308" t="s">
        <v>2332</v>
      </c>
      <c r="C82" s="325"/>
      <c r="D82" s="320"/>
      <c r="E82" s="309">
        <v>7.6999999999999999E-2</v>
      </c>
      <c r="F82" s="320"/>
      <c r="G82" s="321"/>
    </row>
    <row r="83" spans="1:7">
      <c r="A83" s="319" t="s">
        <v>259</v>
      </c>
      <c r="B83" s="308" t="s">
        <v>2333</v>
      </c>
      <c r="C83" s="320"/>
      <c r="D83" s="320"/>
      <c r="E83" s="320"/>
      <c r="F83" s="309">
        <v>0.1</v>
      </c>
      <c r="G83" s="326"/>
    </row>
    <row r="84" spans="1:7">
      <c r="A84" s="319" t="s">
        <v>259</v>
      </c>
      <c r="B84" s="308" t="s">
        <v>2334</v>
      </c>
      <c r="C84" s="320"/>
      <c r="D84" s="320"/>
      <c r="E84" s="320"/>
      <c r="F84" s="309">
        <v>0.1</v>
      </c>
      <c r="G84" s="326"/>
    </row>
    <row r="85" spans="1:7">
      <c r="A85" s="319" t="s">
        <v>259</v>
      </c>
      <c r="B85" s="308" t="s">
        <v>2335</v>
      </c>
      <c r="C85" s="320"/>
      <c r="D85" s="320"/>
      <c r="E85" s="320"/>
      <c r="F85" s="309">
        <v>0.1</v>
      </c>
      <c r="G85" s="326"/>
    </row>
    <row r="86" spans="1:7">
      <c r="A86" s="322" t="s">
        <v>259</v>
      </c>
      <c r="B86" s="312" t="s">
        <v>2336</v>
      </c>
      <c r="C86" s="313">
        <v>9.8000000000000004E-2</v>
      </c>
      <c r="D86" s="313">
        <v>9.8000000000000004E-2</v>
      </c>
      <c r="E86" s="313">
        <v>9.6000000000000002E-2</v>
      </c>
      <c r="F86" s="323"/>
      <c r="G86" s="315">
        <v>0.1</v>
      </c>
    </row>
    <row r="87" spans="1:7">
      <c r="A87" s="318" t="s">
        <v>267</v>
      </c>
      <c r="B87" s="304" t="s">
        <v>2337</v>
      </c>
      <c r="C87" s="305">
        <v>0.1</v>
      </c>
      <c r="D87" s="305">
        <v>0.1</v>
      </c>
      <c r="E87" s="305">
        <v>9.8000000000000004E-2</v>
      </c>
      <c r="F87" s="305">
        <v>0.1</v>
      </c>
      <c r="G87" s="306">
        <v>0.1</v>
      </c>
    </row>
    <row r="88" spans="1:7">
      <c r="A88" s="319" t="s">
        <v>267</v>
      </c>
      <c r="B88" s="308" t="s">
        <v>2338</v>
      </c>
      <c r="C88" s="309">
        <v>9.0999999999999998E-2</v>
      </c>
      <c r="D88" s="309">
        <v>9.1999999999999998E-2</v>
      </c>
      <c r="E88" s="309">
        <v>0.1</v>
      </c>
      <c r="F88" s="309">
        <v>0.1</v>
      </c>
      <c r="G88" s="310">
        <v>9.6000000000000002E-2</v>
      </c>
    </row>
    <row r="89" spans="1:7">
      <c r="A89" s="319" t="s">
        <v>267</v>
      </c>
      <c r="B89" s="308" t="s">
        <v>2339</v>
      </c>
      <c r="C89" s="309">
        <v>0.1</v>
      </c>
      <c r="D89" s="309">
        <v>0.1</v>
      </c>
      <c r="E89" s="309">
        <v>6.7000000000000004E-2</v>
      </c>
      <c r="F89" s="309">
        <v>9.2999999999999999E-2</v>
      </c>
      <c r="G89" s="310">
        <v>0.1</v>
      </c>
    </row>
    <row r="90" spans="1:7">
      <c r="A90" s="319" t="s">
        <v>267</v>
      </c>
      <c r="B90" s="308" t="s">
        <v>2340</v>
      </c>
      <c r="C90" s="309">
        <v>9.6000000000000002E-2</v>
      </c>
      <c r="D90" s="309">
        <v>9.6000000000000002E-2</v>
      </c>
      <c r="E90" s="309">
        <v>0.1</v>
      </c>
      <c r="F90" s="309">
        <v>0.1</v>
      </c>
      <c r="G90" s="310">
        <v>9.8000000000000004E-2</v>
      </c>
    </row>
    <row r="91" spans="1:7">
      <c r="A91" s="319" t="s">
        <v>267</v>
      </c>
      <c r="B91" s="308" t="s">
        <v>2341</v>
      </c>
      <c r="C91" s="309">
        <v>7.6999999999999999E-2</v>
      </c>
      <c r="D91" s="309">
        <v>7.6999999999999999E-2</v>
      </c>
      <c r="E91" s="309">
        <v>9.6000000000000002E-2</v>
      </c>
      <c r="F91" s="309">
        <v>0.1</v>
      </c>
      <c r="G91" s="310">
        <v>7.6999999999999999E-2</v>
      </c>
    </row>
    <row r="92" spans="1:7">
      <c r="A92" s="319" t="s">
        <v>267</v>
      </c>
      <c r="B92" s="308" t="s">
        <v>2342</v>
      </c>
      <c r="C92" s="309">
        <v>0.1</v>
      </c>
      <c r="D92" s="309">
        <v>0.1</v>
      </c>
      <c r="E92" s="309">
        <v>9.1999999999999998E-2</v>
      </c>
      <c r="F92" s="309">
        <v>0.1</v>
      </c>
      <c r="G92" s="310">
        <v>0.1</v>
      </c>
    </row>
    <row r="93" spans="1:7">
      <c r="A93" s="319" t="s">
        <v>267</v>
      </c>
      <c r="B93" s="308" t="s">
        <v>2343</v>
      </c>
      <c r="C93" s="309">
        <v>9.8000000000000004E-2</v>
      </c>
      <c r="D93" s="309">
        <v>9.8000000000000004E-2</v>
      </c>
      <c r="E93" s="309">
        <v>9.6000000000000002E-2</v>
      </c>
      <c r="F93" s="309">
        <v>0.1</v>
      </c>
      <c r="G93" s="310">
        <v>9.9000000000000005E-2</v>
      </c>
    </row>
    <row r="94" spans="1:7">
      <c r="A94" s="319" t="s">
        <v>267</v>
      </c>
      <c r="B94" s="308" t="s">
        <v>2344</v>
      </c>
      <c r="C94" s="309">
        <v>8.7999999999999995E-2</v>
      </c>
      <c r="D94" s="309">
        <v>8.7999999999999995E-2</v>
      </c>
      <c r="E94" s="309">
        <v>9.6000000000000002E-2</v>
      </c>
      <c r="F94" s="309">
        <v>0.1</v>
      </c>
      <c r="G94" s="310">
        <v>8.7999999999999995E-2</v>
      </c>
    </row>
    <row r="95" spans="1:7">
      <c r="A95" s="319" t="s">
        <v>267</v>
      </c>
      <c r="B95" s="308" t="s">
        <v>2345</v>
      </c>
      <c r="C95" s="309">
        <v>9.6000000000000002E-2</v>
      </c>
      <c r="D95" s="309">
        <v>9.6000000000000002E-2</v>
      </c>
      <c r="E95" s="309">
        <v>0.1</v>
      </c>
      <c r="F95" s="309">
        <v>0.1</v>
      </c>
      <c r="G95" s="310">
        <v>9.8000000000000004E-2</v>
      </c>
    </row>
    <row r="96" spans="1:7">
      <c r="A96" s="319" t="s">
        <v>267</v>
      </c>
      <c r="B96" s="308" t="s">
        <v>2346</v>
      </c>
      <c r="C96" s="309">
        <v>9.7000000000000003E-2</v>
      </c>
      <c r="D96" s="309">
        <v>9.7000000000000003E-2</v>
      </c>
      <c r="E96" s="309">
        <v>0.1</v>
      </c>
      <c r="F96" s="309">
        <v>0.1</v>
      </c>
      <c r="G96" s="310">
        <v>9.8000000000000004E-2</v>
      </c>
    </row>
    <row r="97" spans="1:7">
      <c r="A97" s="319" t="s">
        <v>267</v>
      </c>
      <c r="B97" s="308" t="s">
        <v>2347</v>
      </c>
      <c r="C97" s="309">
        <v>9.6000000000000002E-2</v>
      </c>
      <c r="D97" s="309">
        <v>9.6000000000000002E-2</v>
      </c>
      <c r="E97" s="309">
        <v>9.9000000000000005E-2</v>
      </c>
      <c r="F97" s="309">
        <v>0.1</v>
      </c>
      <c r="G97" s="310">
        <v>9.8000000000000004E-2</v>
      </c>
    </row>
    <row r="98" spans="1:7">
      <c r="A98" s="319" t="s">
        <v>267</v>
      </c>
      <c r="B98" s="308" t="s">
        <v>2348</v>
      </c>
      <c r="C98" s="309">
        <v>9.8000000000000004E-2</v>
      </c>
      <c r="D98" s="309">
        <v>9.8000000000000004E-2</v>
      </c>
      <c r="E98" s="309">
        <v>0.1</v>
      </c>
      <c r="F98" s="309">
        <v>0.1</v>
      </c>
      <c r="G98" s="310">
        <v>9.9000000000000005E-2</v>
      </c>
    </row>
    <row r="99" spans="1:7">
      <c r="A99" s="319" t="s">
        <v>267</v>
      </c>
      <c r="B99" s="308" t="s">
        <v>2349</v>
      </c>
      <c r="C99" s="309">
        <v>9.6000000000000002E-2</v>
      </c>
      <c r="D99" s="309">
        <v>9.6000000000000002E-2</v>
      </c>
      <c r="E99" s="309">
        <v>0.1</v>
      </c>
      <c r="F99" s="309">
        <v>0.1</v>
      </c>
      <c r="G99" s="310">
        <v>9.7000000000000003E-2</v>
      </c>
    </row>
    <row r="100" spans="1:7">
      <c r="A100" s="319" t="s">
        <v>267</v>
      </c>
      <c r="B100" s="308" t="s">
        <v>2350</v>
      </c>
      <c r="C100" s="309">
        <v>0.1</v>
      </c>
      <c r="D100" s="309">
        <v>0.1</v>
      </c>
      <c r="E100" s="309">
        <v>9.7000000000000003E-2</v>
      </c>
      <c r="F100" s="309">
        <v>9.8000000000000004E-2</v>
      </c>
      <c r="G100" s="310">
        <v>0.1</v>
      </c>
    </row>
    <row r="101" spans="1:7">
      <c r="A101" s="319" t="s">
        <v>267</v>
      </c>
      <c r="B101" s="308" t="s">
        <v>2351</v>
      </c>
      <c r="C101" s="309">
        <v>0.1</v>
      </c>
      <c r="D101" s="309">
        <v>0.1</v>
      </c>
      <c r="E101" s="309">
        <v>9.5000000000000001E-2</v>
      </c>
      <c r="F101" s="309">
        <v>0.1</v>
      </c>
      <c r="G101" s="310">
        <v>0.1</v>
      </c>
    </row>
    <row r="102" spans="1:7">
      <c r="A102" s="319" t="s">
        <v>267</v>
      </c>
      <c r="B102" s="308" t="s">
        <v>2352</v>
      </c>
      <c r="C102" s="309">
        <v>0.1</v>
      </c>
      <c r="D102" s="309">
        <v>0.1</v>
      </c>
      <c r="E102" s="309">
        <v>9.9000000000000005E-2</v>
      </c>
      <c r="F102" s="309">
        <v>9.7000000000000003E-2</v>
      </c>
      <c r="G102" s="310">
        <v>0.1</v>
      </c>
    </row>
    <row r="103" spans="1:7">
      <c r="A103" s="319" t="s">
        <v>267</v>
      </c>
      <c r="B103" s="308" t="s">
        <v>2353</v>
      </c>
      <c r="C103" s="309">
        <v>0.1</v>
      </c>
      <c r="D103" s="309">
        <v>0.1</v>
      </c>
      <c r="E103" s="309">
        <v>9.8000000000000004E-2</v>
      </c>
      <c r="F103" s="309">
        <v>0.1</v>
      </c>
      <c r="G103" s="310">
        <v>0.1</v>
      </c>
    </row>
    <row r="104" spans="1:7">
      <c r="A104" s="319" t="s">
        <v>267</v>
      </c>
      <c r="B104" s="308" t="s">
        <v>2354</v>
      </c>
      <c r="C104" s="309">
        <v>0.1</v>
      </c>
      <c r="D104" s="309">
        <v>0.1</v>
      </c>
      <c r="E104" s="309">
        <v>9.8000000000000004E-2</v>
      </c>
      <c r="F104" s="309">
        <v>0.1</v>
      </c>
      <c r="G104" s="310">
        <v>0.1</v>
      </c>
    </row>
    <row r="105" spans="1:7">
      <c r="A105" s="319" t="s">
        <v>267</v>
      </c>
      <c r="B105" s="308" t="s">
        <v>2355</v>
      </c>
      <c r="C105" s="309">
        <v>9.8000000000000004E-2</v>
      </c>
      <c r="D105" s="309">
        <v>9.8000000000000004E-2</v>
      </c>
      <c r="E105" s="309">
        <v>9.8000000000000004E-2</v>
      </c>
      <c r="F105" s="309">
        <v>0.1</v>
      </c>
      <c r="G105" s="310">
        <v>9.9000000000000005E-2</v>
      </c>
    </row>
    <row r="106" spans="1:7">
      <c r="A106" s="319" t="s">
        <v>267</v>
      </c>
      <c r="B106" s="308" t="s">
        <v>2356</v>
      </c>
      <c r="C106" s="309">
        <v>9.7000000000000003E-2</v>
      </c>
      <c r="D106" s="309">
        <v>9.7000000000000003E-2</v>
      </c>
      <c r="E106" s="309">
        <v>9.7000000000000003E-2</v>
      </c>
      <c r="F106" s="309">
        <v>0.1</v>
      </c>
      <c r="G106" s="310">
        <v>9.9000000000000005E-2</v>
      </c>
    </row>
    <row r="107" spans="1:7">
      <c r="A107" s="319" t="s">
        <v>267</v>
      </c>
      <c r="B107" s="308" t="s">
        <v>2357</v>
      </c>
      <c r="C107" s="309">
        <v>0.1</v>
      </c>
      <c r="D107" s="309">
        <v>0.1</v>
      </c>
      <c r="E107" s="309">
        <v>8.5999999999999993E-2</v>
      </c>
      <c r="F107" s="309">
        <v>0.09</v>
      </c>
      <c r="G107" s="310">
        <v>0.1</v>
      </c>
    </row>
    <row r="108" spans="1:7">
      <c r="A108" s="319" t="s">
        <v>267</v>
      </c>
      <c r="B108" s="308" t="s">
        <v>2358</v>
      </c>
      <c r="C108" s="309">
        <v>0.1</v>
      </c>
      <c r="D108" s="309">
        <v>0.1</v>
      </c>
      <c r="E108" s="309">
        <v>9.6000000000000002E-2</v>
      </c>
      <c r="F108" s="320"/>
      <c r="G108" s="310">
        <v>0.1</v>
      </c>
    </row>
    <row r="109" spans="1:7">
      <c r="A109" s="319" t="s">
        <v>267</v>
      </c>
      <c r="B109" s="308" t="s">
        <v>2359</v>
      </c>
      <c r="C109" s="309">
        <v>0.1</v>
      </c>
      <c r="D109" s="309">
        <v>0.1</v>
      </c>
      <c r="E109" s="309">
        <v>0.1</v>
      </c>
      <c r="F109" s="320"/>
      <c r="G109" s="310">
        <v>0.1</v>
      </c>
    </row>
    <row r="110" spans="1:7">
      <c r="A110" s="319" t="s">
        <v>267</v>
      </c>
      <c r="B110" s="308" t="s">
        <v>2360</v>
      </c>
      <c r="C110" s="309">
        <v>0.1</v>
      </c>
      <c r="D110" s="309">
        <v>0.1</v>
      </c>
      <c r="E110" s="309">
        <v>0.1</v>
      </c>
      <c r="F110" s="320"/>
      <c r="G110" s="310">
        <v>0.1</v>
      </c>
    </row>
    <row r="111" spans="1:7">
      <c r="A111" s="319" t="s">
        <v>267</v>
      </c>
      <c r="B111" s="308" t="s">
        <v>2361</v>
      </c>
      <c r="C111" s="309">
        <v>0.1</v>
      </c>
      <c r="D111" s="309">
        <v>0.1</v>
      </c>
      <c r="E111" s="309">
        <v>9.5000000000000001E-2</v>
      </c>
      <c r="F111" s="320"/>
      <c r="G111" s="310">
        <v>0.1</v>
      </c>
    </row>
    <row r="112" spans="1:7">
      <c r="A112" s="319" t="s">
        <v>267</v>
      </c>
      <c r="B112" s="308" t="s">
        <v>2362</v>
      </c>
      <c r="C112" s="309">
        <v>9.7000000000000003E-2</v>
      </c>
      <c r="D112" s="309">
        <v>9.7000000000000003E-2</v>
      </c>
      <c r="E112" s="309">
        <v>0.05</v>
      </c>
      <c r="F112" s="320"/>
      <c r="G112" s="310">
        <v>9.8000000000000004E-2</v>
      </c>
    </row>
    <row r="113" spans="1:7">
      <c r="A113" s="319" t="s">
        <v>267</v>
      </c>
      <c r="B113" s="308" t="s">
        <v>2363</v>
      </c>
      <c r="C113" s="309">
        <v>0.1</v>
      </c>
      <c r="D113" s="309">
        <v>0.1</v>
      </c>
      <c r="E113" s="320"/>
      <c r="F113" s="320"/>
      <c r="G113" s="310">
        <v>0.1</v>
      </c>
    </row>
    <row r="114" spans="1:7">
      <c r="A114" s="319" t="s">
        <v>267</v>
      </c>
      <c r="B114" s="308" t="s">
        <v>2364</v>
      </c>
      <c r="C114" s="309">
        <v>9.7000000000000003E-2</v>
      </c>
      <c r="D114" s="309">
        <v>9.7000000000000003E-2</v>
      </c>
      <c r="E114" s="320"/>
      <c r="F114" s="320"/>
      <c r="G114" s="310">
        <v>9.9000000000000005E-2</v>
      </c>
    </row>
    <row r="115" spans="1:7">
      <c r="A115" s="319" t="s">
        <v>267</v>
      </c>
      <c r="B115" s="308" t="s">
        <v>2365</v>
      </c>
      <c r="C115" s="309">
        <v>0.1</v>
      </c>
      <c r="D115" s="309">
        <v>0.1</v>
      </c>
      <c r="E115" s="320"/>
      <c r="F115" s="320"/>
      <c r="G115" s="310">
        <v>0.1</v>
      </c>
    </row>
    <row r="116" spans="1:7">
      <c r="A116" s="319" t="s">
        <v>267</v>
      </c>
      <c r="B116" s="308" t="s">
        <v>2366</v>
      </c>
      <c r="C116" s="309">
        <v>0.1</v>
      </c>
      <c r="D116" s="309">
        <v>0.1</v>
      </c>
      <c r="E116" s="320"/>
      <c r="F116" s="320"/>
      <c r="G116" s="310">
        <v>0.1</v>
      </c>
    </row>
    <row r="117" spans="1:7">
      <c r="A117" s="319" t="s">
        <v>267</v>
      </c>
      <c r="B117" s="308" t="s">
        <v>2367</v>
      </c>
      <c r="C117" s="309">
        <v>9.7000000000000003E-2</v>
      </c>
      <c r="D117" s="309">
        <v>9.7000000000000003E-2</v>
      </c>
      <c r="E117" s="320"/>
      <c r="F117" s="320"/>
      <c r="G117" s="310">
        <v>9.7000000000000003E-2</v>
      </c>
    </row>
    <row r="118" spans="1:7">
      <c r="A118" s="319" t="s">
        <v>267</v>
      </c>
      <c r="B118" s="308" t="s">
        <v>2368</v>
      </c>
      <c r="C118" s="309">
        <v>0.1</v>
      </c>
      <c r="D118" s="309">
        <v>0.1</v>
      </c>
      <c r="E118" s="320"/>
      <c r="F118" s="320"/>
      <c r="G118" s="310">
        <v>0.1</v>
      </c>
    </row>
    <row r="119" spans="1:7">
      <c r="A119" s="319" t="s">
        <v>267</v>
      </c>
      <c r="B119" s="308" t="s">
        <v>2369</v>
      </c>
      <c r="C119" s="309">
        <v>5.0999999999999997E-2</v>
      </c>
      <c r="D119" s="309">
        <v>5.1999999999999998E-2</v>
      </c>
      <c r="E119" s="320"/>
      <c r="F119" s="325"/>
      <c r="G119" s="310">
        <v>0.06</v>
      </c>
    </row>
    <row r="120" spans="1:7">
      <c r="A120" s="319" t="s">
        <v>267</v>
      </c>
      <c r="B120" s="308" t="s">
        <v>2370</v>
      </c>
      <c r="C120" s="320"/>
      <c r="D120" s="320"/>
      <c r="E120" s="320"/>
      <c r="F120" s="309">
        <v>0.1</v>
      </c>
      <c r="G120" s="326"/>
    </row>
    <row r="121" spans="1:7">
      <c r="A121" s="319" t="s">
        <v>267</v>
      </c>
      <c r="B121" s="308" t="s">
        <v>2371</v>
      </c>
      <c r="C121" s="320"/>
      <c r="D121" s="320"/>
      <c r="E121" s="320"/>
      <c r="F121" s="309">
        <v>0.1</v>
      </c>
      <c r="G121" s="326"/>
    </row>
    <row r="122" spans="1:7">
      <c r="A122" s="319" t="s">
        <v>267</v>
      </c>
      <c r="B122" s="308" t="s">
        <v>2372</v>
      </c>
      <c r="C122" s="309">
        <v>0.1</v>
      </c>
      <c r="D122" s="309">
        <v>0.1</v>
      </c>
      <c r="E122" s="309">
        <v>9.8000000000000004E-2</v>
      </c>
      <c r="F122" s="309">
        <v>0.1</v>
      </c>
      <c r="G122" s="310">
        <v>0.1</v>
      </c>
    </row>
    <row r="123" spans="1:7">
      <c r="A123" s="319" t="s">
        <v>267</v>
      </c>
      <c r="B123" s="308" t="s">
        <v>2373</v>
      </c>
      <c r="C123" s="309">
        <v>0.1</v>
      </c>
      <c r="D123" s="309">
        <v>0.1</v>
      </c>
      <c r="E123" s="309">
        <v>9.8000000000000004E-2</v>
      </c>
      <c r="F123" s="309">
        <v>0.1</v>
      </c>
      <c r="G123" s="310">
        <v>0.1</v>
      </c>
    </row>
    <row r="124" spans="1:7">
      <c r="A124" s="319" t="s">
        <v>267</v>
      </c>
      <c r="B124" s="308" t="s">
        <v>2374</v>
      </c>
      <c r="C124" s="309">
        <v>0.1</v>
      </c>
      <c r="D124" s="309">
        <v>0.1</v>
      </c>
      <c r="E124" s="309">
        <v>9.8000000000000004E-2</v>
      </c>
      <c r="F124" s="325"/>
      <c r="G124" s="310">
        <v>0.1</v>
      </c>
    </row>
    <row r="125" spans="1:7">
      <c r="A125" s="319" t="s">
        <v>267</v>
      </c>
      <c r="B125" s="308" t="s">
        <v>2375</v>
      </c>
      <c r="C125" s="309">
        <v>9.8000000000000004E-2</v>
      </c>
      <c r="D125" s="309">
        <v>9.8000000000000004E-2</v>
      </c>
      <c r="E125" s="309">
        <v>9.6000000000000002E-2</v>
      </c>
      <c r="F125" s="325"/>
      <c r="G125" s="310">
        <v>0.1</v>
      </c>
    </row>
    <row r="126" spans="1:7">
      <c r="A126" s="322" t="s">
        <v>267</v>
      </c>
      <c r="B126" s="312" t="s">
        <v>2376</v>
      </c>
      <c r="C126" s="313">
        <v>0.1</v>
      </c>
      <c r="D126" s="313">
        <v>0.1</v>
      </c>
      <c r="E126" s="313">
        <v>9.8000000000000004E-2</v>
      </c>
      <c r="F126" s="313">
        <v>0.1</v>
      </c>
      <c r="G126" s="315">
        <v>0.1</v>
      </c>
    </row>
    <row r="127" spans="1:7">
      <c r="A127" s="318" t="s">
        <v>273</v>
      </c>
      <c r="B127" s="304" t="s">
        <v>2377</v>
      </c>
      <c r="C127" s="305">
        <v>0.121</v>
      </c>
      <c r="D127" s="305">
        <v>0.121</v>
      </c>
      <c r="E127" s="305">
        <v>0.107</v>
      </c>
      <c r="F127" s="305">
        <v>0.13</v>
      </c>
      <c r="G127" s="306">
        <v>0.122</v>
      </c>
    </row>
    <row r="128" spans="1:7">
      <c r="A128" s="319" t="s">
        <v>273</v>
      </c>
      <c r="B128" s="308" t="s">
        <v>2378</v>
      </c>
      <c r="C128" s="309">
        <v>0.11600000000000001</v>
      </c>
      <c r="D128" s="309">
        <v>0.11700000000000001</v>
      </c>
      <c r="E128" s="309">
        <v>0.104</v>
      </c>
      <c r="F128" s="309">
        <v>0.13</v>
      </c>
      <c r="G128" s="310">
        <v>0.11700000000000001</v>
      </c>
    </row>
    <row r="129" spans="1:7">
      <c r="A129" s="319" t="s">
        <v>273</v>
      </c>
      <c r="B129" s="308" t="s">
        <v>2379</v>
      </c>
      <c r="C129" s="309">
        <v>0.107</v>
      </c>
      <c r="D129" s="309">
        <v>0.108</v>
      </c>
      <c r="E129" s="309">
        <v>0.1</v>
      </c>
      <c r="F129" s="309">
        <v>0.13</v>
      </c>
      <c r="G129" s="310">
        <v>0.11700000000000001</v>
      </c>
    </row>
    <row r="130" spans="1:7">
      <c r="A130" s="319" t="s">
        <v>273</v>
      </c>
      <c r="B130" s="308" t="s">
        <v>2380</v>
      </c>
      <c r="C130" s="309">
        <v>0.13</v>
      </c>
      <c r="D130" s="309">
        <v>0.13</v>
      </c>
      <c r="E130" s="309">
        <v>0.126</v>
      </c>
      <c r="F130" s="309">
        <v>0.13</v>
      </c>
      <c r="G130" s="310">
        <v>0.13</v>
      </c>
    </row>
    <row r="131" spans="1:7">
      <c r="A131" s="319" t="s">
        <v>273</v>
      </c>
      <c r="B131" s="308" t="s">
        <v>2381</v>
      </c>
      <c r="C131" s="309">
        <v>0.13</v>
      </c>
      <c r="D131" s="309">
        <v>0.13</v>
      </c>
      <c r="E131" s="309">
        <v>0.13</v>
      </c>
      <c r="F131" s="309">
        <v>0.13</v>
      </c>
      <c r="G131" s="310">
        <v>0.13</v>
      </c>
    </row>
    <row r="132" spans="1:7">
      <c r="A132" s="319" t="s">
        <v>273</v>
      </c>
      <c r="B132" s="308" t="s">
        <v>2382</v>
      </c>
      <c r="C132" s="309">
        <v>0.13</v>
      </c>
      <c r="D132" s="309">
        <v>0.13</v>
      </c>
      <c r="E132" s="309">
        <v>0.126</v>
      </c>
      <c r="F132" s="309">
        <v>0.13</v>
      </c>
      <c r="G132" s="310">
        <v>0.13</v>
      </c>
    </row>
    <row r="133" spans="1:7">
      <c r="A133" s="319" t="s">
        <v>273</v>
      </c>
      <c r="B133" s="308" t="s">
        <v>2383</v>
      </c>
      <c r="C133" s="309">
        <v>0.111</v>
      </c>
      <c r="D133" s="309">
        <v>0.111</v>
      </c>
      <c r="E133" s="309">
        <v>0.10199999999999999</v>
      </c>
      <c r="F133" s="309">
        <v>0.13</v>
      </c>
      <c r="G133" s="310">
        <v>0.121</v>
      </c>
    </row>
    <row r="134" spans="1:7">
      <c r="A134" s="319" t="s">
        <v>273</v>
      </c>
      <c r="B134" s="308" t="s">
        <v>2384</v>
      </c>
      <c r="C134" s="309">
        <v>0.121</v>
      </c>
      <c r="D134" s="309">
        <v>0.121</v>
      </c>
      <c r="E134" s="309">
        <v>0.1</v>
      </c>
      <c r="F134" s="309">
        <v>0.13</v>
      </c>
      <c r="G134" s="310">
        <v>0.123</v>
      </c>
    </row>
    <row r="135" spans="1:7">
      <c r="A135" s="319" t="s">
        <v>273</v>
      </c>
      <c r="B135" s="308" t="s">
        <v>2385</v>
      </c>
      <c r="C135" s="309">
        <v>0.105</v>
      </c>
      <c r="D135" s="309">
        <v>0.106</v>
      </c>
      <c r="E135" s="309">
        <v>0.1</v>
      </c>
      <c r="F135" s="309">
        <v>0.13</v>
      </c>
      <c r="G135" s="310">
        <v>0.115</v>
      </c>
    </row>
    <row r="136" spans="1:7">
      <c r="A136" s="319" t="s">
        <v>273</v>
      </c>
      <c r="B136" s="308" t="s">
        <v>2386</v>
      </c>
      <c r="C136" s="309">
        <v>0.127</v>
      </c>
      <c r="D136" s="309">
        <v>0.127</v>
      </c>
      <c r="E136" s="309">
        <v>0.121</v>
      </c>
      <c r="F136" s="309">
        <v>0.123</v>
      </c>
      <c r="G136" s="310">
        <v>0.129</v>
      </c>
    </row>
    <row r="137" spans="1:7">
      <c r="A137" s="319" t="s">
        <v>273</v>
      </c>
      <c r="B137" s="308" t="s">
        <v>2387</v>
      </c>
      <c r="C137" s="309">
        <v>0.13</v>
      </c>
      <c r="D137" s="309">
        <v>0.13</v>
      </c>
      <c r="E137" s="309">
        <v>0.129</v>
      </c>
      <c r="F137" s="309">
        <v>0.13</v>
      </c>
      <c r="G137" s="310">
        <v>0.13</v>
      </c>
    </row>
    <row r="138" spans="1:7">
      <c r="A138" s="319" t="s">
        <v>273</v>
      </c>
      <c r="B138" s="308" t="s">
        <v>2388</v>
      </c>
      <c r="C138" s="309">
        <v>0.13</v>
      </c>
      <c r="D138" s="309">
        <v>0.13</v>
      </c>
      <c r="E138" s="309">
        <v>0.125</v>
      </c>
      <c r="F138" s="309">
        <v>0.13</v>
      </c>
      <c r="G138" s="310">
        <v>0.13</v>
      </c>
    </row>
    <row r="139" spans="1:7">
      <c r="A139" s="319" t="s">
        <v>273</v>
      </c>
      <c r="B139" s="308" t="s">
        <v>2389</v>
      </c>
      <c r="C139" s="309">
        <v>0.13</v>
      </c>
      <c r="D139" s="309">
        <v>0.13</v>
      </c>
      <c r="E139" s="309">
        <v>0.126</v>
      </c>
      <c r="F139" s="309">
        <v>0.13</v>
      </c>
      <c r="G139" s="310">
        <v>0.13</v>
      </c>
    </row>
    <row r="140" spans="1:7">
      <c r="A140" s="319" t="s">
        <v>273</v>
      </c>
      <c r="B140" s="308" t="s">
        <v>2390</v>
      </c>
      <c r="C140" s="309">
        <v>0.1</v>
      </c>
      <c r="D140" s="309">
        <v>0.1</v>
      </c>
      <c r="E140" s="309">
        <v>0.1</v>
      </c>
      <c r="F140" s="309">
        <v>0.123</v>
      </c>
      <c r="G140" s="310">
        <v>0.107</v>
      </c>
    </row>
    <row r="141" spans="1:7">
      <c r="A141" s="319" t="s">
        <v>273</v>
      </c>
      <c r="B141" s="308" t="s">
        <v>2391</v>
      </c>
      <c r="C141" s="309">
        <v>0.127</v>
      </c>
      <c r="D141" s="309">
        <v>0.127</v>
      </c>
      <c r="E141" s="309">
        <v>0.122</v>
      </c>
      <c r="F141" s="309">
        <v>0.1</v>
      </c>
      <c r="G141" s="310">
        <v>0.129</v>
      </c>
    </row>
    <row r="142" spans="1:7">
      <c r="A142" s="319" t="s">
        <v>273</v>
      </c>
      <c r="B142" s="308" t="s">
        <v>2392</v>
      </c>
      <c r="C142" s="309">
        <v>0.121</v>
      </c>
      <c r="D142" s="309">
        <v>0.122</v>
      </c>
      <c r="E142" s="309">
        <v>0.1</v>
      </c>
      <c r="F142" s="309">
        <v>0.123</v>
      </c>
      <c r="G142" s="310">
        <v>0.123</v>
      </c>
    </row>
    <row r="143" spans="1:7">
      <c r="A143" s="319" t="s">
        <v>273</v>
      </c>
      <c r="B143" s="308" t="s">
        <v>2393</v>
      </c>
      <c r="C143" s="309">
        <v>0.1</v>
      </c>
      <c r="D143" s="309">
        <v>0.1</v>
      </c>
      <c r="E143" s="309">
        <v>0.1</v>
      </c>
      <c r="F143" s="309">
        <v>0.13</v>
      </c>
      <c r="G143" s="310">
        <v>0.1</v>
      </c>
    </row>
    <row r="144" spans="1:7">
      <c r="A144" s="319" t="s">
        <v>273</v>
      </c>
      <c r="B144" s="308" t="s">
        <v>2394</v>
      </c>
      <c r="C144" s="309">
        <v>0.106</v>
      </c>
      <c r="D144" s="309">
        <v>0.105</v>
      </c>
      <c r="E144" s="309">
        <v>0.1</v>
      </c>
      <c r="F144" s="309">
        <v>0.13</v>
      </c>
      <c r="G144" s="310">
        <v>0.11799999999999999</v>
      </c>
    </row>
    <row r="145" spans="1:7">
      <c r="A145" s="319" t="s">
        <v>273</v>
      </c>
      <c r="B145" s="308" t="s">
        <v>2395</v>
      </c>
      <c r="C145" s="309">
        <v>0.123</v>
      </c>
      <c r="D145" s="309">
        <v>0.123</v>
      </c>
      <c r="E145" s="309">
        <v>0.11700000000000001</v>
      </c>
      <c r="F145" s="309">
        <v>0.13</v>
      </c>
      <c r="G145" s="310">
        <v>0.126</v>
      </c>
    </row>
    <row r="146" spans="1:7">
      <c r="A146" s="319" t="s">
        <v>273</v>
      </c>
      <c r="B146" s="308" t="s">
        <v>2396</v>
      </c>
      <c r="C146" s="309">
        <v>0.127</v>
      </c>
      <c r="D146" s="309">
        <v>0.127</v>
      </c>
      <c r="E146" s="309">
        <v>0.12</v>
      </c>
      <c r="F146" s="320"/>
      <c r="G146" s="310">
        <v>0.129</v>
      </c>
    </row>
    <row r="147" spans="1:7">
      <c r="A147" s="319" t="s">
        <v>273</v>
      </c>
      <c r="B147" s="308" t="s">
        <v>2397</v>
      </c>
      <c r="C147" s="309">
        <v>0.13</v>
      </c>
      <c r="D147" s="309">
        <v>0.13</v>
      </c>
      <c r="E147" s="309">
        <v>0.126</v>
      </c>
      <c r="F147" s="320"/>
      <c r="G147" s="310">
        <v>0.13</v>
      </c>
    </row>
    <row r="148" spans="1:7">
      <c r="A148" s="319" t="s">
        <v>273</v>
      </c>
      <c r="B148" s="308" t="s">
        <v>2398</v>
      </c>
      <c r="C148" s="309">
        <v>0.13</v>
      </c>
      <c r="D148" s="309">
        <v>0.13</v>
      </c>
      <c r="E148" s="309">
        <v>0.13</v>
      </c>
      <c r="F148" s="320"/>
      <c r="G148" s="310">
        <v>0.13</v>
      </c>
    </row>
    <row r="149" spans="1:7">
      <c r="A149" s="319" t="s">
        <v>273</v>
      </c>
      <c r="B149" s="308" t="s">
        <v>2399</v>
      </c>
      <c r="C149" s="309">
        <v>0.13</v>
      </c>
      <c r="D149" s="309">
        <v>0.13</v>
      </c>
      <c r="E149" s="309">
        <v>0.13</v>
      </c>
      <c r="F149" s="309">
        <v>0.13</v>
      </c>
      <c r="G149" s="310">
        <v>0.13</v>
      </c>
    </row>
    <row r="150" spans="1:7">
      <c r="A150" s="319" t="s">
        <v>273</v>
      </c>
      <c r="B150" s="308" t="s">
        <v>2400</v>
      </c>
      <c r="C150" s="309">
        <v>0.13</v>
      </c>
      <c r="D150" s="309">
        <v>0.13</v>
      </c>
      <c r="E150" s="309">
        <v>0.127</v>
      </c>
      <c r="F150" s="309">
        <v>0.13</v>
      </c>
      <c r="G150" s="310">
        <v>0.13</v>
      </c>
    </row>
    <row r="151" spans="1:7">
      <c r="A151" s="319" t="s">
        <v>273</v>
      </c>
      <c r="B151" s="308" t="s">
        <v>2401</v>
      </c>
      <c r="C151" s="309">
        <v>0.13</v>
      </c>
      <c r="D151" s="309">
        <v>0.13</v>
      </c>
      <c r="E151" s="309">
        <v>0.13</v>
      </c>
      <c r="F151" s="309">
        <v>0.13</v>
      </c>
      <c r="G151" s="310">
        <v>0.13</v>
      </c>
    </row>
    <row r="152" spans="1:7">
      <c r="A152" s="319" t="s">
        <v>273</v>
      </c>
      <c r="B152" s="308" t="s">
        <v>2402</v>
      </c>
      <c r="C152" s="309">
        <v>0.13</v>
      </c>
      <c r="D152" s="309">
        <v>0.13</v>
      </c>
      <c r="E152" s="309">
        <v>0.13</v>
      </c>
      <c r="F152" s="309">
        <v>0.13</v>
      </c>
      <c r="G152" s="310">
        <v>0.13</v>
      </c>
    </row>
    <row r="153" spans="1:7">
      <c r="A153" s="319" t="s">
        <v>273</v>
      </c>
      <c r="B153" s="308" t="s">
        <v>2403</v>
      </c>
      <c r="C153" s="309">
        <v>0.13</v>
      </c>
      <c r="D153" s="309">
        <v>0.13</v>
      </c>
      <c r="E153" s="309">
        <v>0.13</v>
      </c>
      <c r="F153" s="309">
        <v>0.13</v>
      </c>
      <c r="G153" s="310">
        <v>0.13</v>
      </c>
    </row>
    <row r="154" spans="1:7">
      <c r="A154" s="319" t="s">
        <v>273</v>
      </c>
      <c r="B154" s="308" t="s">
        <v>2404</v>
      </c>
      <c r="C154" s="309">
        <v>0.121</v>
      </c>
      <c r="D154" s="309">
        <v>0.121</v>
      </c>
      <c r="E154" s="309">
        <v>0.105</v>
      </c>
      <c r="F154" s="309">
        <v>0.121</v>
      </c>
      <c r="G154" s="310">
        <v>0.123</v>
      </c>
    </row>
    <row r="155" spans="1:7">
      <c r="A155" s="319" t="s">
        <v>273</v>
      </c>
      <c r="B155" s="308" t="s">
        <v>2405</v>
      </c>
      <c r="C155" s="309">
        <v>0.1</v>
      </c>
      <c r="D155" s="309">
        <v>0.1</v>
      </c>
      <c r="E155" s="309">
        <v>0.1</v>
      </c>
      <c r="F155" s="309">
        <v>0.1</v>
      </c>
      <c r="G155" s="310">
        <v>0.1</v>
      </c>
    </row>
    <row r="156" spans="1:7">
      <c r="A156" s="319" t="s">
        <v>273</v>
      </c>
      <c r="B156" s="308" t="s">
        <v>2406</v>
      </c>
      <c r="C156" s="309">
        <v>0.13</v>
      </c>
      <c r="D156" s="309">
        <v>0.13</v>
      </c>
      <c r="E156" s="309">
        <v>0.13</v>
      </c>
      <c r="F156" s="309">
        <v>0.13</v>
      </c>
      <c r="G156" s="310">
        <v>0.13</v>
      </c>
    </row>
    <row r="157" spans="1:7">
      <c r="A157" s="319" t="s">
        <v>273</v>
      </c>
      <c r="B157" s="308" t="s">
        <v>2407</v>
      </c>
      <c r="C157" s="309">
        <v>0.13</v>
      </c>
      <c r="D157" s="309">
        <v>0.13</v>
      </c>
      <c r="E157" s="309">
        <v>0.125</v>
      </c>
      <c r="F157" s="309">
        <v>0.13</v>
      </c>
      <c r="G157" s="310">
        <v>0.13</v>
      </c>
    </row>
    <row r="158" spans="1:7">
      <c r="A158" s="319" t="s">
        <v>273</v>
      </c>
      <c r="B158" s="308" t="s">
        <v>2408</v>
      </c>
      <c r="C158" s="309">
        <v>0.124</v>
      </c>
      <c r="D158" s="309">
        <v>0.124</v>
      </c>
      <c r="E158" s="309">
        <v>0.11700000000000001</v>
      </c>
      <c r="F158" s="309">
        <v>0.121</v>
      </c>
      <c r="G158" s="310">
        <v>0.124</v>
      </c>
    </row>
    <row r="159" spans="1:7">
      <c r="A159" s="319" t="s">
        <v>273</v>
      </c>
      <c r="B159" s="308" t="s">
        <v>2409</v>
      </c>
      <c r="C159" s="309">
        <v>0.127</v>
      </c>
      <c r="D159" s="309">
        <v>0.127</v>
      </c>
      <c r="E159" s="309">
        <v>0.122</v>
      </c>
      <c r="F159" s="309">
        <v>0.13</v>
      </c>
      <c r="G159" s="310">
        <v>0.129</v>
      </c>
    </row>
    <row r="160" spans="1:7">
      <c r="A160" s="319" t="s">
        <v>273</v>
      </c>
      <c r="B160" s="308" t="s">
        <v>2410</v>
      </c>
      <c r="C160" s="309">
        <v>0.13</v>
      </c>
      <c r="D160" s="309">
        <v>0.13</v>
      </c>
      <c r="E160" s="309">
        <v>0.124</v>
      </c>
      <c r="F160" s="309">
        <v>0.126</v>
      </c>
      <c r="G160" s="310">
        <v>0.13</v>
      </c>
    </row>
    <row r="161" spans="1:7">
      <c r="A161" s="319" t="s">
        <v>273</v>
      </c>
      <c r="B161" s="308" t="s">
        <v>2411</v>
      </c>
      <c r="C161" s="309">
        <v>0.13</v>
      </c>
      <c r="D161" s="309">
        <v>0.13</v>
      </c>
      <c r="E161" s="309">
        <v>0.124</v>
      </c>
      <c r="F161" s="309">
        <v>0.127</v>
      </c>
      <c r="G161" s="310">
        <v>0.13</v>
      </c>
    </row>
    <row r="162" spans="1:7">
      <c r="A162" s="319" t="s">
        <v>273</v>
      </c>
      <c r="B162" s="308" t="s">
        <v>2412</v>
      </c>
      <c r="C162" s="309">
        <v>0.1</v>
      </c>
      <c r="D162" s="309">
        <v>0.1</v>
      </c>
      <c r="E162" s="309">
        <v>0.1</v>
      </c>
      <c r="F162" s="309">
        <v>0.121</v>
      </c>
      <c r="G162" s="310">
        <v>0.105</v>
      </c>
    </row>
    <row r="163" spans="1:7">
      <c r="A163" s="319" t="s">
        <v>273</v>
      </c>
      <c r="B163" s="308" t="s">
        <v>2413</v>
      </c>
      <c r="C163" s="309">
        <v>0.1</v>
      </c>
      <c r="D163" s="309">
        <v>0.1</v>
      </c>
      <c r="E163" s="309">
        <v>0.1</v>
      </c>
      <c r="F163" s="309">
        <v>0.1</v>
      </c>
      <c r="G163" s="310">
        <v>0.1</v>
      </c>
    </row>
    <row r="164" spans="1:7">
      <c r="A164" s="319" t="s">
        <v>273</v>
      </c>
      <c r="B164" s="308" t="s">
        <v>2414</v>
      </c>
      <c r="C164" s="325"/>
      <c r="D164" s="325"/>
      <c r="E164" s="325"/>
      <c r="F164" s="309">
        <v>0.1</v>
      </c>
      <c r="G164" s="321"/>
    </row>
    <row r="165" spans="1:7">
      <c r="A165" s="319" t="s">
        <v>273</v>
      </c>
      <c r="B165" s="308" t="s">
        <v>2415</v>
      </c>
      <c r="C165" s="309">
        <v>0.126</v>
      </c>
      <c r="D165" s="309">
        <v>0.126</v>
      </c>
      <c r="E165" s="309">
        <v>0.11899999999999999</v>
      </c>
      <c r="F165" s="309">
        <v>0.13</v>
      </c>
      <c r="G165" s="310">
        <v>0.128</v>
      </c>
    </row>
    <row r="166" spans="1:7">
      <c r="A166" s="319" t="s">
        <v>273</v>
      </c>
      <c r="B166" s="308" t="s">
        <v>2416</v>
      </c>
      <c r="C166" s="309">
        <v>0.129</v>
      </c>
      <c r="D166" s="309">
        <v>0.129</v>
      </c>
      <c r="E166" s="309">
        <v>0.123</v>
      </c>
      <c r="F166" s="309">
        <v>0.128</v>
      </c>
      <c r="G166" s="310">
        <v>0.13</v>
      </c>
    </row>
    <row r="167" spans="1:7">
      <c r="A167" s="319" t="s">
        <v>273</v>
      </c>
      <c r="B167" s="308" t="s">
        <v>2417</v>
      </c>
      <c r="C167" s="309">
        <v>0.125</v>
      </c>
      <c r="D167" s="309">
        <v>0.125</v>
      </c>
      <c r="E167" s="309">
        <v>0.11700000000000001</v>
      </c>
      <c r="F167" s="309">
        <v>0.13</v>
      </c>
      <c r="G167" s="310">
        <v>0.126</v>
      </c>
    </row>
    <row r="168" spans="1:7">
      <c r="A168" s="319" t="s">
        <v>273</v>
      </c>
      <c r="B168" s="308" t="s">
        <v>2418</v>
      </c>
      <c r="C168" s="309">
        <v>0.128</v>
      </c>
      <c r="D168" s="309">
        <v>0.128</v>
      </c>
      <c r="E168" s="309">
        <v>0.123</v>
      </c>
      <c r="F168" s="320"/>
      <c r="G168" s="310">
        <v>0.13</v>
      </c>
    </row>
    <row r="169" spans="1:7">
      <c r="A169" s="319" t="s">
        <v>273</v>
      </c>
      <c r="B169" s="308" t="s">
        <v>2419</v>
      </c>
      <c r="C169" s="325"/>
      <c r="D169" s="325"/>
      <c r="E169" s="325"/>
      <c r="F169" s="309">
        <v>0.05</v>
      </c>
      <c r="G169" s="321"/>
    </row>
    <row r="170" spans="1:7">
      <c r="A170" s="319" t="s">
        <v>273</v>
      </c>
      <c r="B170" s="308" t="s">
        <v>2420</v>
      </c>
      <c r="C170" s="325"/>
      <c r="D170" s="325"/>
      <c r="E170" s="325"/>
      <c r="F170" s="309">
        <v>0.05</v>
      </c>
      <c r="G170" s="321"/>
    </row>
    <row r="171" spans="1:7">
      <c r="A171" s="319" t="s">
        <v>273</v>
      </c>
      <c r="B171" s="308" t="s">
        <v>2421</v>
      </c>
      <c r="C171" s="325"/>
      <c r="D171" s="325"/>
      <c r="E171" s="325"/>
      <c r="F171" s="309">
        <v>0.05</v>
      </c>
      <c r="G171" s="326"/>
    </row>
    <row r="172" spans="1:7">
      <c r="A172" s="319" t="s">
        <v>273</v>
      </c>
      <c r="B172" s="308" t="s">
        <v>2422</v>
      </c>
      <c r="C172" s="325"/>
      <c r="D172" s="325"/>
      <c r="E172" s="325"/>
      <c r="F172" s="309">
        <v>0.05</v>
      </c>
      <c r="G172" s="326"/>
    </row>
    <row r="173" spans="1:7">
      <c r="A173" s="319" t="s">
        <v>273</v>
      </c>
      <c r="B173" s="308" t="s">
        <v>2423</v>
      </c>
      <c r="C173" s="325"/>
      <c r="D173" s="325"/>
      <c r="E173" s="325"/>
      <c r="F173" s="309">
        <v>0.05</v>
      </c>
      <c r="G173" s="321"/>
    </row>
    <row r="174" spans="1:7">
      <c r="A174" s="319" t="s">
        <v>273</v>
      </c>
      <c r="B174" s="308" t="s">
        <v>2424</v>
      </c>
      <c r="C174" s="325"/>
      <c r="D174" s="325"/>
      <c r="E174" s="325"/>
      <c r="F174" s="309">
        <v>0.05</v>
      </c>
      <c r="G174" s="321"/>
    </row>
    <row r="175" spans="1:7">
      <c r="A175" s="319" t="s">
        <v>273</v>
      </c>
      <c r="B175" s="308" t="s">
        <v>2425</v>
      </c>
      <c r="C175" s="325"/>
      <c r="D175" s="325"/>
      <c r="E175" s="325"/>
      <c r="F175" s="309">
        <v>0.05</v>
      </c>
      <c r="G175" s="321"/>
    </row>
    <row r="176" spans="1:7">
      <c r="A176" s="319" t="s">
        <v>273</v>
      </c>
      <c r="B176" s="308" t="s">
        <v>2426</v>
      </c>
      <c r="C176" s="325"/>
      <c r="D176" s="325"/>
      <c r="E176" s="325"/>
      <c r="F176" s="309">
        <v>0.05</v>
      </c>
      <c r="G176" s="321"/>
    </row>
    <row r="177" spans="1:7">
      <c r="A177" s="319" t="s">
        <v>273</v>
      </c>
      <c r="B177" s="308" t="s">
        <v>2427</v>
      </c>
      <c r="C177" s="320"/>
      <c r="D177" s="320"/>
      <c r="E177" s="320"/>
      <c r="F177" s="309">
        <v>0.05</v>
      </c>
      <c r="G177" s="326"/>
    </row>
    <row r="178" spans="1:7">
      <c r="A178" s="319" t="s">
        <v>273</v>
      </c>
      <c r="B178" s="308" t="s">
        <v>2428</v>
      </c>
      <c r="C178" s="320"/>
      <c r="D178" s="320"/>
      <c r="E178" s="320"/>
      <c r="F178" s="309">
        <v>0.05</v>
      </c>
      <c r="G178" s="326"/>
    </row>
    <row r="179" spans="1:7">
      <c r="A179" s="319" t="s">
        <v>273</v>
      </c>
      <c r="B179" s="308" t="s">
        <v>2429</v>
      </c>
      <c r="C179" s="320"/>
      <c r="D179" s="320"/>
      <c r="E179" s="320"/>
      <c r="F179" s="309">
        <v>0.05</v>
      </c>
      <c r="G179" s="326"/>
    </row>
    <row r="180" spans="1:7">
      <c r="A180" s="319" t="s">
        <v>273</v>
      </c>
      <c r="B180" s="308" t="s">
        <v>2430</v>
      </c>
      <c r="C180" s="320"/>
      <c r="D180" s="320"/>
      <c r="E180" s="320"/>
      <c r="F180" s="309">
        <v>0.05</v>
      </c>
      <c r="G180" s="326"/>
    </row>
    <row r="181" spans="1:7">
      <c r="A181" s="319" t="s">
        <v>273</v>
      </c>
      <c r="B181" s="308" t="s">
        <v>2431</v>
      </c>
      <c r="C181" s="320"/>
      <c r="D181" s="320"/>
      <c r="E181" s="320"/>
      <c r="F181" s="309">
        <v>0.05</v>
      </c>
      <c r="G181" s="326"/>
    </row>
    <row r="182" spans="1:7">
      <c r="A182" s="319" t="s">
        <v>273</v>
      </c>
      <c r="B182" s="308" t="s">
        <v>2432</v>
      </c>
      <c r="C182" s="320"/>
      <c r="D182" s="320"/>
      <c r="E182" s="320"/>
      <c r="F182" s="309">
        <v>0.05</v>
      </c>
      <c r="G182" s="326"/>
    </row>
    <row r="183" spans="1:7">
      <c r="A183" s="319" t="s">
        <v>273</v>
      </c>
      <c r="B183" s="308" t="s">
        <v>2433</v>
      </c>
      <c r="C183" s="320"/>
      <c r="D183" s="320"/>
      <c r="E183" s="320"/>
      <c r="F183" s="309">
        <v>0.05</v>
      </c>
      <c r="G183" s="326"/>
    </row>
    <row r="184" spans="1:7">
      <c r="A184" s="319" t="s">
        <v>273</v>
      </c>
      <c r="B184" s="308" t="s">
        <v>2434</v>
      </c>
      <c r="C184" s="320"/>
      <c r="D184" s="320"/>
      <c r="E184" s="320"/>
      <c r="F184" s="309">
        <v>0.05</v>
      </c>
      <c r="G184" s="326"/>
    </row>
    <row r="185" spans="1:7">
      <c r="A185" s="319" t="s">
        <v>273</v>
      </c>
      <c r="B185" s="308" t="s">
        <v>2435</v>
      </c>
      <c r="C185" s="320"/>
      <c r="D185" s="320"/>
      <c r="E185" s="320"/>
      <c r="F185" s="309">
        <v>0.05</v>
      </c>
      <c r="G185" s="326"/>
    </row>
    <row r="186" spans="1:7">
      <c r="A186" s="319" t="s">
        <v>273</v>
      </c>
      <c r="B186" s="308" t="s">
        <v>2436</v>
      </c>
      <c r="C186" s="320"/>
      <c r="D186" s="320"/>
      <c r="E186" s="320"/>
      <c r="F186" s="309">
        <v>0.05</v>
      </c>
      <c r="G186" s="326"/>
    </row>
    <row r="187" spans="1:7">
      <c r="A187" s="319" t="s">
        <v>273</v>
      </c>
      <c r="B187" s="308" t="s">
        <v>2437</v>
      </c>
      <c r="C187" s="320"/>
      <c r="D187" s="320"/>
      <c r="E187" s="320"/>
      <c r="F187" s="309">
        <v>0.05</v>
      </c>
      <c r="G187" s="326"/>
    </row>
    <row r="188" spans="1:7">
      <c r="A188" s="319" t="s">
        <v>273</v>
      </c>
      <c r="B188" s="308" t="s">
        <v>2438</v>
      </c>
      <c r="C188" s="320"/>
      <c r="D188" s="320"/>
      <c r="E188" s="320"/>
      <c r="F188" s="309">
        <v>0.05</v>
      </c>
      <c r="G188" s="326"/>
    </row>
    <row r="189" spans="1:7">
      <c r="A189" s="322" t="s">
        <v>273</v>
      </c>
      <c r="B189" s="312" t="s">
        <v>2439</v>
      </c>
      <c r="C189" s="314"/>
      <c r="D189" s="314"/>
      <c r="E189" s="314"/>
      <c r="F189" s="313">
        <v>0.05</v>
      </c>
      <c r="G189" s="327"/>
    </row>
    <row r="190" spans="1:7">
      <c r="A190" s="318" t="s">
        <v>278</v>
      </c>
      <c r="B190" s="304" t="s">
        <v>2440</v>
      </c>
      <c r="C190" s="305">
        <v>0.124</v>
      </c>
      <c r="D190" s="305">
        <v>0.124</v>
      </c>
      <c r="E190" s="305">
        <v>0.129</v>
      </c>
      <c r="F190" s="305">
        <v>0.13</v>
      </c>
      <c r="G190" s="306">
        <v>0.127</v>
      </c>
    </row>
    <row r="191" spans="1:7">
      <c r="A191" s="319" t="s">
        <v>278</v>
      </c>
      <c r="B191" s="308" t="s">
        <v>2441</v>
      </c>
      <c r="C191" s="309">
        <v>0.13</v>
      </c>
      <c r="D191" s="309">
        <v>0.13</v>
      </c>
      <c r="E191" s="309">
        <v>0.13</v>
      </c>
      <c r="F191" s="309">
        <v>0.13</v>
      </c>
      <c r="G191" s="310">
        <v>0.13</v>
      </c>
    </row>
    <row r="192" spans="1:7">
      <c r="A192" s="319" t="s">
        <v>278</v>
      </c>
      <c r="B192" s="308" t="s">
        <v>2442</v>
      </c>
      <c r="C192" s="309">
        <v>0.13</v>
      </c>
      <c r="D192" s="309">
        <v>0.13</v>
      </c>
      <c r="E192" s="309">
        <v>0.13</v>
      </c>
      <c r="F192" s="309">
        <v>0.13</v>
      </c>
      <c r="G192" s="310">
        <v>0.13</v>
      </c>
    </row>
    <row r="193" spans="1:7">
      <c r="A193" s="319" t="s">
        <v>278</v>
      </c>
      <c r="B193" s="308" t="s">
        <v>2443</v>
      </c>
      <c r="C193" s="309">
        <v>0.13</v>
      </c>
      <c r="D193" s="309">
        <v>0.13</v>
      </c>
      <c r="E193" s="309">
        <v>0.13</v>
      </c>
      <c r="F193" s="309">
        <v>0.13</v>
      </c>
      <c r="G193" s="310">
        <v>0.13</v>
      </c>
    </row>
    <row r="194" spans="1:7">
      <c r="A194" s="319" t="s">
        <v>278</v>
      </c>
      <c r="B194" s="308" t="s">
        <v>2444</v>
      </c>
      <c r="C194" s="309">
        <v>0.123</v>
      </c>
      <c r="D194" s="309">
        <v>0.123</v>
      </c>
      <c r="E194" s="309">
        <v>0.128</v>
      </c>
      <c r="F194" s="309">
        <v>0.13</v>
      </c>
      <c r="G194" s="310">
        <v>0.126</v>
      </c>
    </row>
    <row r="195" spans="1:7">
      <c r="A195" s="319" t="s">
        <v>278</v>
      </c>
      <c r="B195" s="308" t="s">
        <v>2445</v>
      </c>
      <c r="C195" s="309">
        <v>0.127</v>
      </c>
      <c r="D195" s="309">
        <v>0.127</v>
      </c>
      <c r="E195" s="309">
        <v>0.121</v>
      </c>
      <c r="F195" s="309">
        <v>0.129</v>
      </c>
      <c r="G195" s="310">
        <v>0.129</v>
      </c>
    </row>
    <row r="196" spans="1:7">
      <c r="A196" s="319" t="s">
        <v>278</v>
      </c>
      <c r="B196" s="308" t="s">
        <v>2446</v>
      </c>
      <c r="C196" s="309">
        <v>0.127</v>
      </c>
      <c r="D196" s="309">
        <v>0.128</v>
      </c>
      <c r="E196" s="309">
        <v>0.122</v>
      </c>
      <c r="F196" s="309">
        <v>0.13</v>
      </c>
      <c r="G196" s="310">
        <v>0.129</v>
      </c>
    </row>
    <row r="197" spans="1:7">
      <c r="A197" s="319" t="s">
        <v>278</v>
      </c>
      <c r="B197" s="308" t="s">
        <v>2447</v>
      </c>
      <c r="C197" s="309">
        <v>0.126</v>
      </c>
      <c r="D197" s="309">
        <v>0.126</v>
      </c>
      <c r="E197" s="309">
        <v>0.11899999999999999</v>
      </c>
      <c r="F197" s="309">
        <v>0.13</v>
      </c>
      <c r="G197" s="310">
        <v>0.128</v>
      </c>
    </row>
    <row r="198" spans="1:7">
      <c r="A198" s="319" t="s">
        <v>278</v>
      </c>
      <c r="B198" s="308" t="s">
        <v>2448</v>
      </c>
      <c r="C198" s="309">
        <v>0.13</v>
      </c>
      <c r="D198" s="309">
        <v>0.13</v>
      </c>
      <c r="E198" s="309">
        <v>0.126</v>
      </c>
      <c r="F198" s="325"/>
      <c r="G198" s="310">
        <v>0.13</v>
      </c>
    </row>
    <row r="199" spans="1:7">
      <c r="A199" s="319" t="s">
        <v>278</v>
      </c>
      <c r="B199" s="308" t="s">
        <v>2449</v>
      </c>
      <c r="C199" s="309">
        <v>0.13</v>
      </c>
      <c r="D199" s="309">
        <v>0.13</v>
      </c>
      <c r="E199" s="309">
        <v>0.13</v>
      </c>
      <c r="F199" s="309">
        <v>0.13</v>
      </c>
      <c r="G199" s="310">
        <v>0.13</v>
      </c>
    </row>
    <row r="200" spans="1:7">
      <c r="A200" s="319" t="s">
        <v>278</v>
      </c>
      <c r="B200" s="308" t="s">
        <v>2450</v>
      </c>
      <c r="C200" s="325"/>
      <c r="D200" s="325"/>
      <c r="E200" s="325"/>
      <c r="F200" s="309">
        <v>0.13</v>
      </c>
      <c r="G200" s="321"/>
    </row>
    <row r="201" spans="1:7">
      <c r="A201" s="319" t="s">
        <v>278</v>
      </c>
      <c r="B201" s="308" t="s">
        <v>2451</v>
      </c>
      <c r="C201" s="309">
        <v>0.13</v>
      </c>
      <c r="D201" s="309">
        <v>0.13</v>
      </c>
      <c r="E201" s="309">
        <v>0.13</v>
      </c>
      <c r="F201" s="309">
        <v>0.129</v>
      </c>
      <c r="G201" s="310">
        <v>0.13</v>
      </c>
    </row>
    <row r="202" spans="1:7">
      <c r="A202" s="319" t="s">
        <v>278</v>
      </c>
      <c r="B202" s="308" t="s">
        <v>2452</v>
      </c>
      <c r="C202" s="309">
        <v>0.13</v>
      </c>
      <c r="D202" s="309">
        <v>0.13</v>
      </c>
      <c r="E202" s="309">
        <v>0.13</v>
      </c>
      <c r="F202" s="309">
        <v>0.13</v>
      </c>
      <c r="G202" s="310">
        <v>0.13</v>
      </c>
    </row>
    <row r="203" spans="1:7">
      <c r="A203" s="319" t="s">
        <v>278</v>
      </c>
      <c r="B203" s="308" t="s">
        <v>2453</v>
      </c>
      <c r="C203" s="309">
        <v>0.129</v>
      </c>
      <c r="D203" s="309">
        <v>0.129</v>
      </c>
      <c r="E203" s="309">
        <v>0.13</v>
      </c>
      <c r="F203" s="309">
        <v>0.13</v>
      </c>
      <c r="G203" s="310">
        <v>0.13</v>
      </c>
    </row>
    <row r="204" spans="1:7">
      <c r="A204" s="319" t="s">
        <v>278</v>
      </c>
      <c r="B204" s="308" t="s">
        <v>2454</v>
      </c>
      <c r="C204" s="309">
        <v>0.129</v>
      </c>
      <c r="D204" s="309">
        <v>0.129</v>
      </c>
      <c r="E204" s="309">
        <v>0.123</v>
      </c>
      <c r="F204" s="309">
        <v>0.13</v>
      </c>
      <c r="G204" s="310">
        <v>0.13</v>
      </c>
    </row>
    <row r="205" spans="1:7">
      <c r="A205" s="319" t="s">
        <v>278</v>
      </c>
      <c r="B205" s="308" t="s">
        <v>2455</v>
      </c>
      <c r="C205" s="309">
        <v>0.13</v>
      </c>
      <c r="D205" s="309">
        <v>0.13</v>
      </c>
      <c r="E205" s="309">
        <v>0.13</v>
      </c>
      <c r="F205" s="309">
        <v>0.13</v>
      </c>
      <c r="G205" s="310">
        <v>0.13</v>
      </c>
    </row>
    <row r="206" spans="1:7">
      <c r="A206" s="319" t="s">
        <v>278</v>
      </c>
      <c r="B206" s="308" t="s">
        <v>2456</v>
      </c>
      <c r="C206" s="309">
        <v>0.13</v>
      </c>
      <c r="D206" s="309">
        <v>0.13</v>
      </c>
      <c r="E206" s="309">
        <v>0.13</v>
      </c>
      <c r="F206" s="309">
        <v>0.128</v>
      </c>
      <c r="G206" s="310">
        <v>0.13</v>
      </c>
    </row>
    <row r="207" spans="1:7">
      <c r="A207" s="319" t="s">
        <v>278</v>
      </c>
      <c r="B207" s="308" t="s">
        <v>2457</v>
      </c>
      <c r="C207" s="309">
        <v>0.13</v>
      </c>
      <c r="D207" s="309">
        <v>0.13</v>
      </c>
      <c r="E207" s="309">
        <v>0.13</v>
      </c>
      <c r="F207" s="309">
        <v>0.13</v>
      </c>
      <c r="G207" s="310">
        <v>0.13</v>
      </c>
    </row>
    <row r="208" spans="1:7">
      <c r="A208" s="319" t="s">
        <v>278</v>
      </c>
      <c r="B208" s="308" t="s">
        <v>2458</v>
      </c>
      <c r="C208" s="309">
        <v>0.13</v>
      </c>
      <c r="D208" s="309">
        <v>0.13</v>
      </c>
      <c r="E208" s="309">
        <v>0.13</v>
      </c>
      <c r="F208" s="309">
        <v>0.13</v>
      </c>
      <c r="G208" s="310">
        <v>0.13</v>
      </c>
    </row>
    <row r="209" spans="1:7">
      <c r="A209" s="319" t="s">
        <v>278</v>
      </c>
      <c r="B209" s="308" t="s">
        <v>2459</v>
      </c>
      <c r="C209" s="309">
        <v>0.13</v>
      </c>
      <c r="D209" s="309">
        <v>0.13</v>
      </c>
      <c r="E209" s="309">
        <v>0.13</v>
      </c>
      <c r="F209" s="309">
        <v>0.13</v>
      </c>
      <c r="G209" s="310">
        <v>0.13</v>
      </c>
    </row>
    <row r="210" spans="1:7">
      <c r="A210" s="319" t="s">
        <v>278</v>
      </c>
      <c r="B210" s="308" t="s">
        <v>2460</v>
      </c>
      <c r="C210" s="309">
        <v>0.121</v>
      </c>
      <c r="D210" s="309">
        <v>0.121</v>
      </c>
      <c r="E210" s="309">
        <v>0.125</v>
      </c>
      <c r="F210" s="309">
        <v>0.13</v>
      </c>
      <c r="G210" s="310">
        <v>0.123</v>
      </c>
    </row>
    <row r="211" spans="1:7">
      <c r="A211" s="319" t="s">
        <v>278</v>
      </c>
      <c r="B211" s="308" t="s">
        <v>2461</v>
      </c>
      <c r="C211" s="309">
        <v>0.123</v>
      </c>
      <c r="D211" s="309">
        <v>0.123</v>
      </c>
      <c r="E211" s="309">
        <v>0.127</v>
      </c>
      <c r="F211" s="309">
        <v>0.115</v>
      </c>
      <c r="G211" s="310">
        <v>0.126</v>
      </c>
    </row>
    <row r="212" spans="1:7">
      <c r="A212" s="319" t="s">
        <v>278</v>
      </c>
      <c r="B212" s="308" t="s">
        <v>2462</v>
      </c>
      <c r="C212" s="309">
        <v>0.126</v>
      </c>
      <c r="D212" s="309">
        <v>0.126</v>
      </c>
      <c r="E212" s="309">
        <v>0.13</v>
      </c>
      <c r="F212" s="309">
        <v>0.13</v>
      </c>
      <c r="G212" s="310">
        <v>0.129</v>
      </c>
    </row>
    <row r="213" spans="1:7">
      <c r="A213" s="319" t="s">
        <v>278</v>
      </c>
      <c r="B213" s="308" t="s">
        <v>2463</v>
      </c>
      <c r="C213" s="309">
        <v>0.129</v>
      </c>
      <c r="D213" s="309">
        <v>0.13</v>
      </c>
      <c r="E213" s="309">
        <v>0.127</v>
      </c>
      <c r="F213" s="309">
        <v>0.13</v>
      </c>
      <c r="G213" s="310">
        <v>0.13</v>
      </c>
    </row>
    <row r="214" spans="1:7">
      <c r="A214" s="319" t="s">
        <v>278</v>
      </c>
      <c r="B214" s="308" t="s">
        <v>2464</v>
      </c>
      <c r="C214" s="309">
        <v>0.128</v>
      </c>
      <c r="D214" s="309">
        <v>0.128</v>
      </c>
      <c r="E214" s="309">
        <v>0.13</v>
      </c>
      <c r="F214" s="309">
        <v>0.13</v>
      </c>
      <c r="G214" s="310">
        <v>0.13</v>
      </c>
    </row>
    <row r="215" spans="1:7">
      <c r="A215" s="319" t="s">
        <v>278</v>
      </c>
      <c r="B215" s="308" t="s">
        <v>2465</v>
      </c>
      <c r="C215" s="309">
        <v>0.13</v>
      </c>
      <c r="D215" s="309">
        <v>0.13</v>
      </c>
      <c r="E215" s="309">
        <v>0.13</v>
      </c>
      <c r="F215" s="309">
        <v>0.129</v>
      </c>
      <c r="G215" s="310">
        <v>0.13</v>
      </c>
    </row>
    <row r="216" spans="1:7">
      <c r="A216" s="319" t="s">
        <v>278</v>
      </c>
      <c r="B216" s="308" t="s">
        <v>511</v>
      </c>
      <c r="C216" s="309">
        <v>0.13</v>
      </c>
      <c r="D216" s="309">
        <v>0.13</v>
      </c>
      <c r="E216" s="309">
        <v>0.13</v>
      </c>
      <c r="F216" s="309">
        <v>0.13</v>
      </c>
      <c r="G216" s="310">
        <v>0.13</v>
      </c>
    </row>
    <row r="217" spans="1:7">
      <c r="A217" s="319" t="s">
        <v>278</v>
      </c>
      <c r="B217" s="308" t="s">
        <v>2466</v>
      </c>
      <c r="C217" s="309">
        <v>0.129</v>
      </c>
      <c r="D217" s="309">
        <v>0.129</v>
      </c>
      <c r="E217" s="309">
        <v>0.13</v>
      </c>
      <c r="F217" s="309">
        <v>0.13</v>
      </c>
      <c r="G217" s="310">
        <v>0.13</v>
      </c>
    </row>
    <row r="218" spans="1:7">
      <c r="A218" s="319" t="s">
        <v>278</v>
      </c>
      <c r="B218" s="308" t="s">
        <v>2467</v>
      </c>
      <c r="C218" s="320"/>
      <c r="D218" s="320"/>
      <c r="E218" s="320"/>
      <c r="F218" s="309">
        <v>0.05</v>
      </c>
      <c r="G218" s="326"/>
    </row>
    <row r="219" spans="1:7">
      <c r="A219" s="319" t="s">
        <v>278</v>
      </c>
      <c r="B219" s="308" t="s">
        <v>2468</v>
      </c>
      <c r="C219" s="320"/>
      <c r="D219" s="320"/>
      <c r="E219" s="320"/>
      <c r="F219" s="309">
        <v>0.05</v>
      </c>
      <c r="G219" s="326"/>
    </row>
    <row r="220" spans="1:7">
      <c r="A220" s="319" t="s">
        <v>278</v>
      </c>
      <c r="B220" s="308" t="s">
        <v>2469</v>
      </c>
      <c r="C220" s="320"/>
      <c r="D220" s="320"/>
      <c r="E220" s="320"/>
      <c r="F220" s="309">
        <v>0.05</v>
      </c>
      <c r="G220" s="326"/>
    </row>
    <row r="221" spans="1:7">
      <c r="A221" s="319" t="s">
        <v>278</v>
      </c>
      <c r="B221" s="308" t="s">
        <v>2470</v>
      </c>
      <c r="C221" s="320"/>
      <c r="D221" s="320"/>
      <c r="E221" s="320"/>
      <c r="F221" s="309">
        <v>0.05</v>
      </c>
      <c r="G221" s="326"/>
    </row>
    <row r="222" spans="1:7">
      <c r="A222" s="319" t="s">
        <v>278</v>
      </c>
      <c r="B222" s="308" t="s">
        <v>2471</v>
      </c>
      <c r="C222" s="320"/>
      <c r="D222" s="320"/>
      <c r="E222" s="320"/>
      <c r="F222" s="309">
        <v>0.05</v>
      </c>
      <c r="G222" s="326"/>
    </row>
    <row r="223" spans="1:7">
      <c r="A223" s="319" t="s">
        <v>278</v>
      </c>
      <c r="B223" s="308" t="s">
        <v>2472</v>
      </c>
      <c r="C223" s="320"/>
      <c r="D223" s="320"/>
      <c r="E223" s="320"/>
      <c r="F223" s="309">
        <v>0.05</v>
      </c>
      <c r="G223" s="326"/>
    </row>
    <row r="224" spans="1:7">
      <c r="A224" s="319" t="s">
        <v>278</v>
      </c>
      <c r="B224" s="308" t="s">
        <v>2473</v>
      </c>
      <c r="C224" s="320"/>
      <c r="D224" s="320"/>
      <c r="E224" s="320"/>
      <c r="F224" s="309">
        <v>0.05</v>
      </c>
      <c r="G224" s="326"/>
    </row>
    <row r="225" spans="1:7">
      <c r="A225" s="319" t="s">
        <v>278</v>
      </c>
      <c r="B225" s="308" t="s">
        <v>2474</v>
      </c>
      <c r="C225" s="320"/>
      <c r="D225" s="320"/>
      <c r="E225" s="320"/>
      <c r="F225" s="309">
        <v>0.05</v>
      </c>
      <c r="G225" s="326"/>
    </row>
    <row r="226" spans="1:7">
      <c r="A226" s="319" t="s">
        <v>278</v>
      </c>
      <c r="B226" s="308" t="s">
        <v>2475</v>
      </c>
      <c r="C226" s="320"/>
      <c r="D226" s="320"/>
      <c r="E226" s="320"/>
      <c r="F226" s="309">
        <v>0.05</v>
      </c>
      <c r="G226" s="326"/>
    </row>
    <row r="227" spans="1:7">
      <c r="A227" s="319" t="s">
        <v>278</v>
      </c>
      <c r="B227" s="308" t="s">
        <v>2476</v>
      </c>
      <c r="C227" s="320"/>
      <c r="D227" s="320"/>
      <c r="E227" s="320"/>
      <c r="F227" s="309">
        <v>0.05</v>
      </c>
      <c r="G227" s="326"/>
    </row>
    <row r="228" spans="1:7">
      <c r="A228" s="319" t="s">
        <v>278</v>
      </c>
      <c r="B228" s="308" t="s">
        <v>2477</v>
      </c>
      <c r="C228" s="320"/>
      <c r="D228" s="320"/>
      <c r="E228" s="320"/>
      <c r="F228" s="309">
        <v>0.05</v>
      </c>
      <c r="G228" s="326"/>
    </row>
    <row r="229" spans="1:7">
      <c r="A229" s="319" t="s">
        <v>278</v>
      </c>
      <c r="B229" s="308" t="s">
        <v>2478</v>
      </c>
      <c r="C229" s="320"/>
      <c r="D229" s="320"/>
      <c r="E229" s="320"/>
      <c r="F229" s="309">
        <v>0.05</v>
      </c>
      <c r="G229" s="326"/>
    </row>
    <row r="230" spans="1:7">
      <c r="A230" s="319" t="s">
        <v>278</v>
      </c>
      <c r="B230" s="308" t="s">
        <v>2479</v>
      </c>
      <c r="C230" s="320"/>
      <c r="D230" s="320"/>
      <c r="E230" s="320"/>
      <c r="F230" s="309">
        <v>0.05</v>
      </c>
      <c r="G230" s="326"/>
    </row>
    <row r="231" spans="1:7">
      <c r="A231" s="319" t="s">
        <v>278</v>
      </c>
      <c r="B231" s="308" t="s">
        <v>2480</v>
      </c>
      <c r="C231" s="320"/>
      <c r="D231" s="320"/>
      <c r="E231" s="320"/>
      <c r="F231" s="309">
        <v>0.05</v>
      </c>
      <c r="G231" s="326"/>
    </row>
    <row r="232" spans="1:7">
      <c r="A232" s="319" t="s">
        <v>278</v>
      </c>
      <c r="B232" s="308" t="s">
        <v>2481</v>
      </c>
      <c r="C232" s="320"/>
      <c r="D232" s="320"/>
      <c r="E232" s="320"/>
      <c r="F232" s="309">
        <v>0.05</v>
      </c>
      <c r="G232" s="326"/>
    </row>
    <row r="233" spans="1:7">
      <c r="A233" s="322" t="s">
        <v>278</v>
      </c>
      <c r="B233" s="312" t="s">
        <v>2482</v>
      </c>
      <c r="C233" s="314"/>
      <c r="D233" s="314"/>
      <c r="E233" s="314"/>
      <c r="F233" s="313">
        <v>0.05</v>
      </c>
      <c r="G233" s="327"/>
    </row>
    <row r="234" spans="1:7">
      <c r="A234" s="318" t="s">
        <v>284</v>
      </c>
      <c r="B234" s="304" t="s">
        <v>2483</v>
      </c>
      <c r="C234" s="305">
        <v>0.13</v>
      </c>
      <c r="D234" s="305">
        <v>0.128</v>
      </c>
      <c r="E234" s="305">
        <v>0.14199999999999999</v>
      </c>
      <c r="F234" s="305">
        <v>0.14699999999999999</v>
      </c>
      <c r="G234" s="306">
        <v>0.14000000000000001</v>
      </c>
    </row>
    <row r="235" spans="1:7">
      <c r="A235" s="319" t="s">
        <v>284</v>
      </c>
      <c r="B235" s="308" t="s">
        <v>2484</v>
      </c>
      <c r="C235" s="309">
        <v>0.13600000000000001</v>
      </c>
      <c r="D235" s="309">
        <v>0.13800000000000001</v>
      </c>
      <c r="E235" s="309">
        <v>0.14499999999999999</v>
      </c>
      <c r="F235" s="309">
        <v>0.14299999999999999</v>
      </c>
      <c r="G235" s="310">
        <v>0.14099999999999999</v>
      </c>
    </row>
    <row r="236" spans="1:7">
      <c r="A236" s="319" t="s">
        <v>284</v>
      </c>
      <c r="B236" s="308" t="s">
        <v>2485</v>
      </c>
      <c r="C236" s="309">
        <v>0.15</v>
      </c>
      <c r="D236" s="309">
        <v>0.15</v>
      </c>
      <c r="E236" s="309">
        <v>0.15</v>
      </c>
      <c r="F236" s="309">
        <v>0.15</v>
      </c>
      <c r="G236" s="310">
        <v>0.15</v>
      </c>
    </row>
    <row r="237" spans="1:7">
      <c r="A237" s="319" t="s">
        <v>284</v>
      </c>
      <c r="B237" s="308" t="s">
        <v>2486</v>
      </c>
      <c r="C237" s="309">
        <v>0.15</v>
      </c>
      <c r="D237" s="309">
        <v>0.15</v>
      </c>
      <c r="E237" s="309">
        <v>0.15</v>
      </c>
      <c r="F237" s="309">
        <v>0.15</v>
      </c>
      <c r="G237" s="310">
        <v>0.15</v>
      </c>
    </row>
    <row r="238" spans="1:7">
      <c r="A238" s="319" t="s">
        <v>284</v>
      </c>
      <c r="B238" s="308" t="s">
        <v>2487</v>
      </c>
      <c r="C238" s="309">
        <v>0.14899999999999999</v>
      </c>
      <c r="D238" s="309">
        <v>0.14899999999999999</v>
      </c>
      <c r="E238" s="309">
        <v>0.15</v>
      </c>
      <c r="F238" s="309">
        <v>0.15</v>
      </c>
      <c r="G238" s="310">
        <v>0.15</v>
      </c>
    </row>
    <row r="239" spans="1:7">
      <c r="A239" s="319" t="s">
        <v>284</v>
      </c>
      <c r="B239" s="308" t="s">
        <v>2488</v>
      </c>
      <c r="C239" s="309">
        <v>0.15</v>
      </c>
      <c r="D239" s="309">
        <v>0.15</v>
      </c>
      <c r="E239" s="309">
        <v>0.15</v>
      </c>
      <c r="F239" s="309">
        <v>0.15</v>
      </c>
      <c r="G239" s="310">
        <v>0.15</v>
      </c>
    </row>
    <row r="240" spans="1:7">
      <c r="A240" s="319" t="s">
        <v>284</v>
      </c>
      <c r="B240" s="308" t="s">
        <v>2489</v>
      </c>
      <c r="C240" s="309">
        <v>0.15</v>
      </c>
      <c r="D240" s="309">
        <v>0.15</v>
      </c>
      <c r="E240" s="309">
        <v>0.15</v>
      </c>
      <c r="F240" s="309">
        <v>0.15</v>
      </c>
      <c r="G240" s="310">
        <v>0.15</v>
      </c>
    </row>
    <row r="241" spans="1:7">
      <c r="A241" s="319" t="s">
        <v>284</v>
      </c>
      <c r="B241" s="308" t="s">
        <v>2490</v>
      </c>
      <c r="C241" s="309">
        <v>0.14099999999999999</v>
      </c>
      <c r="D241" s="309">
        <v>0.14199999999999999</v>
      </c>
      <c r="E241" s="309">
        <v>0.14899999999999999</v>
      </c>
      <c r="F241" s="309">
        <v>0.15</v>
      </c>
      <c r="G241" s="310">
        <v>0.14399999999999999</v>
      </c>
    </row>
    <row r="242" spans="1:7">
      <c r="A242" s="319" t="s">
        <v>284</v>
      </c>
      <c r="B242" s="308" t="s">
        <v>2491</v>
      </c>
      <c r="C242" s="309">
        <v>0.14099999999999999</v>
      </c>
      <c r="D242" s="309">
        <v>0.14199999999999999</v>
      </c>
      <c r="E242" s="309">
        <v>0.14799999999999999</v>
      </c>
      <c r="F242" s="309">
        <v>0.127</v>
      </c>
      <c r="G242" s="310">
        <v>0.14399999999999999</v>
      </c>
    </row>
    <row r="243" spans="1:7">
      <c r="A243" s="319" t="s">
        <v>284</v>
      </c>
      <c r="B243" s="308" t="s">
        <v>2492</v>
      </c>
      <c r="C243" s="309">
        <v>0.14699999999999999</v>
      </c>
      <c r="D243" s="309">
        <v>0.14699999999999999</v>
      </c>
      <c r="E243" s="309">
        <v>0.15</v>
      </c>
      <c r="F243" s="309">
        <v>0.15</v>
      </c>
      <c r="G243" s="310">
        <v>0.14899999999999999</v>
      </c>
    </row>
    <row r="244" spans="1:7">
      <c r="A244" s="319" t="s">
        <v>284</v>
      </c>
      <c r="B244" s="308" t="s">
        <v>2493</v>
      </c>
      <c r="C244" s="309">
        <v>0.15</v>
      </c>
      <c r="D244" s="309">
        <v>0.15</v>
      </c>
      <c r="E244" s="309">
        <v>0.15</v>
      </c>
      <c r="F244" s="309">
        <v>0.15</v>
      </c>
      <c r="G244" s="310">
        <v>0.15</v>
      </c>
    </row>
    <row r="245" spans="1:7">
      <c r="A245" s="319" t="s">
        <v>284</v>
      </c>
      <c r="B245" s="308" t="s">
        <v>2494</v>
      </c>
      <c r="C245" s="309">
        <v>0.14199999999999999</v>
      </c>
      <c r="D245" s="309">
        <v>0.14199999999999999</v>
      </c>
      <c r="E245" s="309">
        <v>0.15</v>
      </c>
      <c r="F245" s="309">
        <v>0.15</v>
      </c>
      <c r="G245" s="310">
        <v>0.14499999999999999</v>
      </c>
    </row>
    <row r="246" spans="1:7">
      <c r="A246" s="319" t="s">
        <v>284</v>
      </c>
      <c r="B246" s="308" t="s">
        <v>2495</v>
      </c>
      <c r="C246" s="309">
        <v>0.14199999999999999</v>
      </c>
      <c r="D246" s="309">
        <v>0.14299999999999999</v>
      </c>
      <c r="E246" s="309">
        <v>0.15</v>
      </c>
      <c r="F246" s="309">
        <v>0.14199999999999999</v>
      </c>
      <c r="G246" s="310">
        <v>0.14399999999999999</v>
      </c>
    </row>
    <row r="247" spans="1:7">
      <c r="A247" s="319" t="s">
        <v>284</v>
      </c>
      <c r="B247" s="308" t="s">
        <v>2496</v>
      </c>
      <c r="C247" s="309">
        <v>0.14899999999999999</v>
      </c>
      <c r="D247" s="309">
        <v>0.14899999999999999</v>
      </c>
      <c r="E247" s="309">
        <v>0.15</v>
      </c>
      <c r="F247" s="309">
        <v>0.15</v>
      </c>
      <c r="G247" s="310">
        <v>0.15</v>
      </c>
    </row>
    <row r="248" spans="1:7">
      <c r="A248" s="319" t="s">
        <v>284</v>
      </c>
      <c r="B248" s="308" t="s">
        <v>2497</v>
      </c>
      <c r="C248" s="309">
        <v>0.14399999999999999</v>
      </c>
      <c r="D248" s="309">
        <v>0.14399999999999999</v>
      </c>
      <c r="E248" s="309">
        <v>0.14899999999999999</v>
      </c>
      <c r="F248" s="309">
        <v>0.14799999999999999</v>
      </c>
      <c r="G248" s="310">
        <v>0.14599999999999999</v>
      </c>
    </row>
    <row r="249" spans="1:7">
      <c r="A249" s="319" t="s">
        <v>284</v>
      </c>
      <c r="B249" s="308" t="s">
        <v>2498</v>
      </c>
      <c r="C249" s="309">
        <v>0.14000000000000001</v>
      </c>
      <c r="D249" s="309">
        <v>0.14000000000000001</v>
      </c>
      <c r="E249" s="309">
        <v>0.14699999999999999</v>
      </c>
      <c r="F249" s="309">
        <v>0.14899999999999999</v>
      </c>
      <c r="G249" s="310">
        <v>0.14199999999999999</v>
      </c>
    </row>
    <row r="250" spans="1:7">
      <c r="A250" s="319" t="s">
        <v>284</v>
      </c>
      <c r="B250" s="308" t="s">
        <v>2499</v>
      </c>
      <c r="C250" s="309">
        <v>0.14399999999999999</v>
      </c>
      <c r="D250" s="309">
        <v>0.14299999999999999</v>
      </c>
      <c r="E250" s="309">
        <v>0.14899999999999999</v>
      </c>
      <c r="F250" s="309">
        <v>0.15</v>
      </c>
      <c r="G250" s="310">
        <v>0.14599999999999999</v>
      </c>
    </row>
    <row r="251" spans="1:7">
      <c r="A251" s="319" t="s">
        <v>284</v>
      </c>
      <c r="B251" s="308" t="s">
        <v>2500</v>
      </c>
      <c r="C251" s="325"/>
      <c r="D251" s="320"/>
      <c r="E251" s="320"/>
      <c r="F251" s="309">
        <v>0.1</v>
      </c>
      <c r="G251" s="326"/>
    </row>
    <row r="252" spans="1:7">
      <c r="A252" s="319" t="s">
        <v>284</v>
      </c>
      <c r="B252" s="308" t="s">
        <v>2501</v>
      </c>
      <c r="C252" s="309">
        <v>0.14399999999999999</v>
      </c>
      <c r="D252" s="309">
        <v>0.14399999999999999</v>
      </c>
      <c r="E252" s="309">
        <v>0.15</v>
      </c>
      <c r="F252" s="309">
        <v>0.14899999999999999</v>
      </c>
      <c r="G252" s="310">
        <v>0.14599999999999999</v>
      </c>
    </row>
    <row r="253" spans="1:7">
      <c r="A253" s="319" t="s">
        <v>284</v>
      </c>
      <c r="B253" s="308" t="s">
        <v>2502</v>
      </c>
      <c r="C253" s="309">
        <v>0.14199999999999999</v>
      </c>
      <c r="D253" s="309">
        <v>0.14199999999999999</v>
      </c>
      <c r="E253" s="309">
        <v>0.14599999999999999</v>
      </c>
      <c r="F253" s="309">
        <v>0.14799999999999999</v>
      </c>
      <c r="G253" s="310">
        <v>0.14499999999999999</v>
      </c>
    </row>
    <row r="254" spans="1:7">
      <c r="A254" s="319" t="s">
        <v>284</v>
      </c>
      <c r="B254" s="308" t="s">
        <v>2503</v>
      </c>
      <c r="C254" s="309">
        <v>0.15</v>
      </c>
      <c r="D254" s="309">
        <v>0.15</v>
      </c>
      <c r="E254" s="309">
        <v>0.15</v>
      </c>
      <c r="F254" s="309">
        <v>0.15</v>
      </c>
      <c r="G254" s="310">
        <v>0.15</v>
      </c>
    </row>
    <row r="255" spans="1:7">
      <c r="A255" s="319" t="s">
        <v>284</v>
      </c>
      <c r="B255" s="308" t="s">
        <v>2504</v>
      </c>
      <c r="C255" s="309">
        <v>0.14299999999999999</v>
      </c>
      <c r="D255" s="309">
        <v>0.14299999999999999</v>
      </c>
      <c r="E255" s="309">
        <v>0.15</v>
      </c>
      <c r="F255" s="309">
        <v>0.15</v>
      </c>
      <c r="G255" s="310">
        <v>0.14499999999999999</v>
      </c>
    </row>
    <row r="256" spans="1:7">
      <c r="A256" s="319" t="s">
        <v>284</v>
      </c>
      <c r="B256" s="308" t="s">
        <v>2505</v>
      </c>
      <c r="C256" s="309">
        <v>0.15</v>
      </c>
      <c r="D256" s="309">
        <v>0.15</v>
      </c>
      <c r="E256" s="309">
        <v>0.15</v>
      </c>
      <c r="F256" s="309">
        <v>0.14599999999999999</v>
      </c>
      <c r="G256" s="310">
        <v>0.15</v>
      </c>
    </row>
    <row r="257" spans="1:7">
      <c r="A257" s="319" t="s">
        <v>284</v>
      </c>
      <c r="B257" s="308" t="s">
        <v>2506</v>
      </c>
      <c r="C257" s="309">
        <v>0.14199999999999999</v>
      </c>
      <c r="D257" s="309">
        <v>0.14299999999999999</v>
      </c>
      <c r="E257" s="309">
        <v>0.14799999999999999</v>
      </c>
      <c r="F257" s="309">
        <v>0.15</v>
      </c>
      <c r="G257" s="310">
        <v>0.14499999999999999</v>
      </c>
    </row>
    <row r="258" spans="1:7">
      <c r="A258" s="319" t="s">
        <v>284</v>
      </c>
      <c r="B258" s="308" t="s">
        <v>2507</v>
      </c>
      <c r="C258" s="309">
        <v>0.14299999999999999</v>
      </c>
      <c r="D258" s="309">
        <v>0.14299999999999999</v>
      </c>
      <c r="E258" s="309">
        <v>0.15</v>
      </c>
      <c r="F258" s="309">
        <v>0.14799999999999999</v>
      </c>
      <c r="G258" s="310">
        <v>0.14599999999999999</v>
      </c>
    </row>
    <row r="259" spans="1:7">
      <c r="A259" s="319" t="s">
        <v>284</v>
      </c>
      <c r="B259" s="308" t="s">
        <v>2508</v>
      </c>
      <c r="C259" s="309">
        <v>0.14399999999999999</v>
      </c>
      <c r="D259" s="309">
        <v>0.14399999999999999</v>
      </c>
      <c r="E259" s="309">
        <v>0.14899999999999999</v>
      </c>
      <c r="F259" s="309">
        <v>0.14699999999999999</v>
      </c>
      <c r="G259" s="310">
        <v>0.14599999999999999</v>
      </c>
    </row>
    <row r="260" spans="1:7">
      <c r="A260" s="319" t="s">
        <v>284</v>
      </c>
      <c r="B260" s="308" t="s">
        <v>2509</v>
      </c>
      <c r="C260" s="309">
        <v>0.109</v>
      </c>
      <c r="D260" s="309">
        <v>0.111</v>
      </c>
      <c r="E260" s="309">
        <v>0.13100000000000001</v>
      </c>
      <c r="F260" s="309">
        <v>0.126</v>
      </c>
      <c r="G260" s="310">
        <v>0.11899999999999999</v>
      </c>
    </row>
    <row r="261" spans="1:7">
      <c r="A261" s="319" t="s">
        <v>284</v>
      </c>
      <c r="B261" s="308" t="s">
        <v>2510</v>
      </c>
      <c r="C261" s="309">
        <v>0.1</v>
      </c>
      <c r="D261" s="309">
        <v>0.1</v>
      </c>
      <c r="E261" s="309">
        <v>0.11799999999999999</v>
      </c>
      <c r="F261" s="309">
        <v>0.108</v>
      </c>
      <c r="G261" s="310">
        <v>0.107</v>
      </c>
    </row>
    <row r="262" spans="1:7">
      <c r="A262" s="319" t="s">
        <v>284</v>
      </c>
      <c r="B262" s="308" t="s">
        <v>2511</v>
      </c>
      <c r="C262" s="309">
        <v>0.1</v>
      </c>
      <c r="D262" s="309">
        <v>0.1</v>
      </c>
      <c r="E262" s="309">
        <v>0.1</v>
      </c>
      <c r="F262" s="309">
        <v>0.14099999999999999</v>
      </c>
      <c r="G262" s="310">
        <v>0.1</v>
      </c>
    </row>
    <row r="263" spans="1:7">
      <c r="A263" s="319" t="s">
        <v>284</v>
      </c>
      <c r="B263" s="308" t="s">
        <v>2512</v>
      </c>
      <c r="C263" s="309">
        <v>0.14799999999999999</v>
      </c>
      <c r="D263" s="309">
        <v>0.14799999999999999</v>
      </c>
      <c r="E263" s="309">
        <v>0.15</v>
      </c>
      <c r="F263" s="309">
        <v>0.14699999999999999</v>
      </c>
      <c r="G263" s="310">
        <v>0.15</v>
      </c>
    </row>
    <row r="264" spans="1:7">
      <c r="A264" s="319" t="s">
        <v>284</v>
      </c>
      <c r="B264" s="308" t="s">
        <v>2513</v>
      </c>
      <c r="C264" s="309">
        <v>0.14299999999999999</v>
      </c>
      <c r="D264" s="309">
        <v>0.14299999999999999</v>
      </c>
      <c r="E264" s="309">
        <v>0.15</v>
      </c>
      <c r="F264" s="309">
        <v>0.14899999999999999</v>
      </c>
      <c r="G264" s="310">
        <v>0.14599999999999999</v>
      </c>
    </row>
    <row r="265" spans="1:7">
      <c r="A265" s="319" t="s">
        <v>284</v>
      </c>
      <c r="B265" s="308" t="s">
        <v>2514</v>
      </c>
      <c r="C265" s="320"/>
      <c r="D265" s="320"/>
      <c r="E265" s="320"/>
      <c r="F265" s="309">
        <v>0.05</v>
      </c>
      <c r="G265" s="326"/>
    </row>
    <row r="266" spans="1:7">
      <c r="A266" s="319" t="s">
        <v>284</v>
      </c>
      <c r="B266" s="308" t="s">
        <v>2515</v>
      </c>
      <c r="C266" s="320"/>
      <c r="D266" s="320"/>
      <c r="E266" s="320"/>
      <c r="F266" s="309">
        <v>0.05</v>
      </c>
      <c r="G266" s="326"/>
    </row>
    <row r="267" spans="1:7">
      <c r="A267" s="319" t="s">
        <v>284</v>
      </c>
      <c r="B267" s="308" t="s">
        <v>2516</v>
      </c>
      <c r="C267" s="320"/>
      <c r="D267" s="320"/>
      <c r="E267" s="320"/>
      <c r="F267" s="309">
        <v>0.05</v>
      </c>
      <c r="G267" s="326"/>
    </row>
    <row r="268" spans="1:7">
      <c r="A268" s="319" t="s">
        <v>284</v>
      </c>
      <c r="B268" s="308" t="s">
        <v>2517</v>
      </c>
      <c r="C268" s="320"/>
      <c r="D268" s="320"/>
      <c r="E268" s="320"/>
      <c r="F268" s="309">
        <v>0.05</v>
      </c>
      <c r="G268" s="326"/>
    </row>
    <row r="269" spans="1:7">
      <c r="A269" s="319" t="s">
        <v>284</v>
      </c>
      <c r="B269" s="308" t="s">
        <v>2518</v>
      </c>
      <c r="C269" s="320"/>
      <c r="D269" s="320"/>
      <c r="E269" s="320"/>
      <c r="F269" s="309">
        <v>0.05</v>
      </c>
      <c r="G269" s="326"/>
    </row>
    <row r="270" spans="1:7">
      <c r="A270" s="319" t="s">
        <v>284</v>
      </c>
      <c r="B270" s="308" t="s">
        <v>2519</v>
      </c>
      <c r="C270" s="320"/>
      <c r="D270" s="320"/>
      <c r="E270" s="320"/>
      <c r="F270" s="309">
        <v>0.05</v>
      </c>
      <c r="G270" s="326"/>
    </row>
    <row r="271" spans="1:7">
      <c r="A271" s="319" t="s">
        <v>284</v>
      </c>
      <c r="B271" s="308" t="s">
        <v>2520</v>
      </c>
      <c r="C271" s="320"/>
      <c r="D271" s="320"/>
      <c r="E271" s="320"/>
      <c r="F271" s="309">
        <v>0.05</v>
      </c>
      <c r="G271" s="326"/>
    </row>
    <row r="272" spans="1:7">
      <c r="A272" s="319" t="s">
        <v>284</v>
      </c>
      <c r="B272" s="308" t="s">
        <v>2521</v>
      </c>
      <c r="C272" s="320"/>
      <c r="D272" s="320"/>
      <c r="E272" s="320"/>
      <c r="F272" s="309">
        <v>0.05</v>
      </c>
      <c r="G272" s="326"/>
    </row>
    <row r="273" spans="1:7">
      <c r="A273" s="319" t="s">
        <v>284</v>
      </c>
      <c r="B273" s="308" t="s">
        <v>2522</v>
      </c>
      <c r="C273" s="320"/>
      <c r="D273" s="320"/>
      <c r="E273" s="320"/>
      <c r="F273" s="309">
        <v>0.05</v>
      </c>
      <c r="G273" s="326"/>
    </row>
    <row r="274" spans="1:7">
      <c r="A274" s="319" t="s">
        <v>284</v>
      </c>
      <c r="B274" s="308" t="s">
        <v>2523</v>
      </c>
      <c r="C274" s="320"/>
      <c r="D274" s="320"/>
      <c r="E274" s="320"/>
      <c r="F274" s="309">
        <v>0.05</v>
      </c>
      <c r="G274" s="326"/>
    </row>
    <row r="275" spans="1:7">
      <c r="A275" s="319" t="s">
        <v>284</v>
      </c>
      <c r="B275" s="308" t="s">
        <v>2524</v>
      </c>
      <c r="C275" s="320"/>
      <c r="D275" s="320"/>
      <c r="E275" s="320"/>
      <c r="F275" s="309">
        <v>0.05</v>
      </c>
      <c r="G275" s="326"/>
    </row>
    <row r="276" spans="1:7">
      <c r="A276" s="322" t="s">
        <v>284</v>
      </c>
      <c r="B276" s="312" t="s">
        <v>2525</v>
      </c>
      <c r="C276" s="314"/>
      <c r="D276" s="314"/>
      <c r="E276" s="314"/>
      <c r="F276" s="313">
        <v>0.05</v>
      </c>
      <c r="G276" s="327"/>
    </row>
    <row r="277" spans="1:7">
      <c r="A277" s="318" t="s">
        <v>288</v>
      </c>
      <c r="B277" s="304" t="s">
        <v>2526</v>
      </c>
      <c r="C277" s="305">
        <v>0.15</v>
      </c>
      <c r="D277" s="305">
        <v>0.15</v>
      </c>
      <c r="E277" s="305">
        <v>0.15</v>
      </c>
      <c r="F277" s="305">
        <v>0.15</v>
      </c>
      <c r="G277" s="306">
        <v>0.15</v>
      </c>
    </row>
    <row r="278" spans="1:7">
      <c r="A278" s="319" t="s">
        <v>288</v>
      </c>
      <c r="B278" s="308" t="s">
        <v>2527</v>
      </c>
      <c r="C278" s="309">
        <v>0.15</v>
      </c>
      <c r="D278" s="309">
        <v>0.15</v>
      </c>
      <c r="E278" s="309">
        <v>0.15</v>
      </c>
      <c r="F278" s="309">
        <v>0.15</v>
      </c>
      <c r="G278" s="310">
        <v>0.15</v>
      </c>
    </row>
    <row r="279" spans="1:7">
      <c r="A279" s="319" t="s">
        <v>288</v>
      </c>
      <c r="B279" s="308" t="s">
        <v>2528</v>
      </c>
      <c r="C279" s="309">
        <v>0.15</v>
      </c>
      <c r="D279" s="309">
        <v>0.15</v>
      </c>
      <c r="E279" s="309">
        <v>0.15</v>
      </c>
      <c r="F279" s="309">
        <v>0.15</v>
      </c>
      <c r="G279" s="310">
        <v>0.15</v>
      </c>
    </row>
    <row r="280" spans="1:7">
      <c r="A280" s="319" t="s">
        <v>288</v>
      </c>
      <c r="B280" s="308" t="s">
        <v>2529</v>
      </c>
      <c r="C280" s="309">
        <v>0.15</v>
      </c>
      <c r="D280" s="309">
        <v>0.15</v>
      </c>
      <c r="E280" s="309">
        <v>0.15</v>
      </c>
      <c r="F280" s="309">
        <v>0.15</v>
      </c>
      <c r="G280" s="310">
        <v>0.15</v>
      </c>
    </row>
    <row r="281" spans="1:7">
      <c r="A281" s="319" t="s">
        <v>288</v>
      </c>
      <c r="B281" s="308" t="s">
        <v>2530</v>
      </c>
      <c r="C281" s="309">
        <v>0.15</v>
      </c>
      <c r="D281" s="309">
        <v>0.15</v>
      </c>
      <c r="E281" s="309">
        <v>0.15</v>
      </c>
      <c r="F281" s="309">
        <v>0.15</v>
      </c>
      <c r="G281" s="310">
        <v>0.15</v>
      </c>
    </row>
    <row r="282" spans="1:7">
      <c r="A282" s="319" t="s">
        <v>288</v>
      </c>
      <c r="B282" s="308" t="s">
        <v>2531</v>
      </c>
      <c r="C282" s="309">
        <v>0.15</v>
      </c>
      <c r="D282" s="309">
        <v>0.15</v>
      </c>
      <c r="E282" s="309">
        <v>0.15</v>
      </c>
      <c r="F282" s="309">
        <v>0.14499999999999999</v>
      </c>
      <c r="G282" s="310">
        <v>0.15</v>
      </c>
    </row>
    <row r="283" spans="1:7">
      <c r="A283" s="319" t="s">
        <v>288</v>
      </c>
      <c r="B283" s="308" t="s">
        <v>2532</v>
      </c>
      <c r="C283" s="309">
        <v>0.15</v>
      </c>
      <c r="D283" s="309">
        <v>0.15</v>
      </c>
      <c r="E283" s="309">
        <v>0.15</v>
      </c>
      <c r="F283" s="309">
        <v>0.14199999999999999</v>
      </c>
      <c r="G283" s="310">
        <v>0.15</v>
      </c>
    </row>
    <row r="284" spans="1:7">
      <c r="A284" s="319" t="s">
        <v>288</v>
      </c>
      <c r="B284" s="308" t="s">
        <v>2533</v>
      </c>
      <c r="C284" s="309">
        <v>0.15</v>
      </c>
      <c r="D284" s="309">
        <v>0.15</v>
      </c>
      <c r="E284" s="309">
        <v>0.15</v>
      </c>
      <c r="F284" s="309">
        <v>0.15</v>
      </c>
      <c r="G284" s="310">
        <v>0.15</v>
      </c>
    </row>
    <row r="285" spans="1:7">
      <c r="A285" s="319" t="s">
        <v>288</v>
      </c>
      <c r="B285" s="308" t="s">
        <v>2534</v>
      </c>
      <c r="C285" s="309">
        <v>0.15</v>
      </c>
      <c r="D285" s="309">
        <v>0.15</v>
      </c>
      <c r="E285" s="309">
        <v>0.15</v>
      </c>
      <c r="F285" s="309">
        <v>0.15</v>
      </c>
      <c r="G285" s="310">
        <v>0.15</v>
      </c>
    </row>
    <row r="286" spans="1:7">
      <c r="A286" s="319" t="s">
        <v>288</v>
      </c>
      <c r="B286" s="308" t="s">
        <v>2535</v>
      </c>
      <c r="C286" s="309">
        <v>0.14499999999999999</v>
      </c>
      <c r="D286" s="309">
        <v>0.14499999999999999</v>
      </c>
      <c r="E286" s="309">
        <v>0.15</v>
      </c>
      <c r="F286" s="309">
        <v>0.14099999999999999</v>
      </c>
      <c r="G286" s="310">
        <v>0.14499999999999999</v>
      </c>
    </row>
    <row r="287" spans="1:7">
      <c r="A287" s="319" t="s">
        <v>288</v>
      </c>
      <c r="B287" s="308" t="s">
        <v>2536</v>
      </c>
      <c r="C287" s="309">
        <v>0.11</v>
      </c>
      <c r="D287" s="309">
        <v>0.111</v>
      </c>
      <c r="E287" s="309">
        <v>0.14099999999999999</v>
      </c>
      <c r="F287" s="309">
        <v>0.11</v>
      </c>
      <c r="G287" s="310">
        <v>0.12</v>
      </c>
    </row>
    <row r="288" spans="1:7">
      <c r="A288" s="319" t="s">
        <v>288</v>
      </c>
      <c r="B288" s="308" t="s">
        <v>2537</v>
      </c>
      <c r="C288" s="309">
        <v>0.14199999999999999</v>
      </c>
      <c r="D288" s="309">
        <v>0.14299999999999999</v>
      </c>
      <c r="E288" s="309">
        <v>0.15</v>
      </c>
      <c r="F288" s="309">
        <v>0.14199999999999999</v>
      </c>
      <c r="G288" s="310">
        <v>0.14399999999999999</v>
      </c>
    </row>
    <row r="289" spans="1:7">
      <c r="A289" s="319" t="s">
        <v>288</v>
      </c>
      <c r="B289" s="308" t="s">
        <v>2538</v>
      </c>
      <c r="C289" s="309">
        <v>0.14299999999999999</v>
      </c>
      <c r="D289" s="309">
        <v>0.14299999999999999</v>
      </c>
      <c r="E289" s="309">
        <v>0.14799999999999999</v>
      </c>
      <c r="F289" s="309">
        <v>0.14399999999999999</v>
      </c>
      <c r="G289" s="310">
        <v>0.14399999999999999</v>
      </c>
    </row>
    <row r="290" spans="1:7">
      <c r="A290" s="319" t="s">
        <v>288</v>
      </c>
      <c r="B290" s="308" t="s">
        <v>2539</v>
      </c>
      <c r="C290" s="309">
        <v>0.14799999999999999</v>
      </c>
      <c r="D290" s="309">
        <v>0.14899999999999999</v>
      </c>
      <c r="E290" s="309">
        <v>0.15</v>
      </c>
      <c r="F290" s="309">
        <v>0.127</v>
      </c>
      <c r="G290" s="310">
        <v>0.15</v>
      </c>
    </row>
    <row r="291" spans="1:7">
      <c r="A291" s="319" t="s">
        <v>288</v>
      </c>
      <c r="B291" s="308" t="s">
        <v>2540</v>
      </c>
      <c r="C291" s="309">
        <v>0.15</v>
      </c>
      <c r="D291" s="309">
        <v>0.15</v>
      </c>
      <c r="E291" s="309">
        <v>0.15</v>
      </c>
      <c r="F291" s="309">
        <v>0.14899999999999999</v>
      </c>
      <c r="G291" s="310">
        <v>0.15</v>
      </c>
    </row>
    <row r="292" spans="1:7">
      <c r="A292" s="319" t="s">
        <v>288</v>
      </c>
      <c r="B292" s="308" t="s">
        <v>2541</v>
      </c>
      <c r="C292" s="309">
        <v>0.15</v>
      </c>
      <c r="D292" s="309">
        <v>0.15</v>
      </c>
      <c r="E292" s="309">
        <v>0.15</v>
      </c>
      <c r="F292" s="309">
        <v>0.14399999999999999</v>
      </c>
      <c r="G292" s="310">
        <v>0.15</v>
      </c>
    </row>
    <row r="293" spans="1:7">
      <c r="A293" s="319" t="s">
        <v>288</v>
      </c>
      <c r="B293" s="308" t="s">
        <v>2542</v>
      </c>
      <c r="C293" s="309">
        <v>0.15</v>
      </c>
      <c r="D293" s="309">
        <v>0.15</v>
      </c>
      <c r="E293" s="309">
        <v>0.15</v>
      </c>
      <c r="F293" s="309">
        <v>0.14499999999999999</v>
      </c>
      <c r="G293" s="310">
        <v>0.15</v>
      </c>
    </row>
    <row r="294" spans="1:7">
      <c r="A294" s="319" t="s">
        <v>288</v>
      </c>
      <c r="B294" s="308" t="s">
        <v>2543</v>
      </c>
      <c r="C294" s="309">
        <v>0.15</v>
      </c>
      <c r="D294" s="309">
        <v>0.15</v>
      </c>
      <c r="E294" s="309">
        <v>0.15</v>
      </c>
      <c r="F294" s="309">
        <v>0.14899999999999999</v>
      </c>
      <c r="G294" s="310">
        <v>0.15</v>
      </c>
    </row>
    <row r="295" spans="1:7">
      <c r="A295" s="319" t="s">
        <v>288</v>
      </c>
      <c r="B295" s="308" t="s">
        <v>2544</v>
      </c>
      <c r="C295" s="309">
        <v>0.15</v>
      </c>
      <c r="D295" s="309">
        <v>0.15</v>
      </c>
      <c r="E295" s="309">
        <v>0.15</v>
      </c>
      <c r="F295" s="309">
        <v>0.14799999999999999</v>
      </c>
      <c r="G295" s="310">
        <v>0.15</v>
      </c>
    </row>
    <row r="296" spans="1:7">
      <c r="A296" s="319" t="s">
        <v>288</v>
      </c>
      <c r="B296" s="308" t="s">
        <v>2545</v>
      </c>
      <c r="C296" s="309">
        <v>0.15</v>
      </c>
      <c r="D296" s="309">
        <v>0.15</v>
      </c>
      <c r="E296" s="309">
        <v>0.15</v>
      </c>
      <c r="F296" s="309">
        <v>0.14399999999999999</v>
      </c>
      <c r="G296" s="310">
        <v>0.15</v>
      </c>
    </row>
    <row r="297" spans="1:7">
      <c r="A297" s="319" t="s">
        <v>288</v>
      </c>
      <c r="B297" s="308" t="s">
        <v>2546</v>
      </c>
      <c r="C297" s="309">
        <v>0.15</v>
      </c>
      <c r="D297" s="309">
        <v>0.15</v>
      </c>
      <c r="E297" s="309">
        <v>0.15</v>
      </c>
      <c r="F297" s="309">
        <v>0.14499999999999999</v>
      </c>
      <c r="G297" s="310">
        <v>0.15</v>
      </c>
    </row>
    <row r="298" spans="1:7">
      <c r="A298" s="319" t="s">
        <v>288</v>
      </c>
      <c r="B298" s="308" t="s">
        <v>2547</v>
      </c>
      <c r="C298" s="309">
        <v>0.15</v>
      </c>
      <c r="D298" s="309">
        <v>0.15</v>
      </c>
      <c r="E298" s="309">
        <v>0.15</v>
      </c>
      <c r="F298" s="309">
        <v>0.15</v>
      </c>
      <c r="G298" s="310">
        <v>0.15</v>
      </c>
    </row>
    <row r="299" spans="1:7">
      <c r="A299" s="319" t="s">
        <v>288</v>
      </c>
      <c r="B299" s="328" t="s">
        <v>2548</v>
      </c>
      <c r="C299" s="309">
        <v>0.15</v>
      </c>
      <c r="D299" s="309">
        <v>0.15</v>
      </c>
      <c r="E299" s="309">
        <v>0.15</v>
      </c>
      <c r="F299" s="309">
        <v>0.14499999999999999</v>
      </c>
      <c r="G299" s="310">
        <v>0.15</v>
      </c>
    </row>
    <row r="300" spans="1:7">
      <c r="A300" s="319" t="s">
        <v>288</v>
      </c>
      <c r="B300" s="328" t="s">
        <v>2549</v>
      </c>
      <c r="C300" s="309">
        <v>0.15</v>
      </c>
      <c r="D300" s="309">
        <v>0.15</v>
      </c>
      <c r="E300" s="309">
        <v>0.15</v>
      </c>
      <c r="F300" s="309">
        <v>0.14599999999999999</v>
      </c>
      <c r="G300" s="310">
        <v>0.15</v>
      </c>
    </row>
    <row r="301" spans="1:7">
      <c r="A301" s="319" t="s">
        <v>288</v>
      </c>
      <c r="B301" s="328" t="s">
        <v>2550</v>
      </c>
      <c r="C301" s="309">
        <v>0.126</v>
      </c>
      <c r="D301" s="309">
        <v>0.124</v>
      </c>
      <c r="E301" s="309">
        <v>0.14099999999999999</v>
      </c>
      <c r="F301" s="309">
        <v>0.14399999999999999</v>
      </c>
      <c r="G301" s="310">
        <v>0.13</v>
      </c>
    </row>
    <row r="302" spans="1:7">
      <c r="A302" s="319" t="s">
        <v>288</v>
      </c>
      <c r="B302" s="308" t="s">
        <v>2551</v>
      </c>
      <c r="C302" s="309">
        <v>0.15</v>
      </c>
      <c r="D302" s="309">
        <v>0.15</v>
      </c>
      <c r="E302" s="309">
        <v>0.15</v>
      </c>
      <c r="F302" s="309">
        <v>0.14699999999999999</v>
      </c>
      <c r="G302" s="310">
        <v>0.15</v>
      </c>
    </row>
    <row r="303" spans="1:7">
      <c r="A303" s="319" t="s">
        <v>288</v>
      </c>
      <c r="B303" s="308" t="s">
        <v>2552</v>
      </c>
      <c r="C303" s="309">
        <v>0.15</v>
      </c>
      <c r="D303" s="309">
        <v>0.15</v>
      </c>
      <c r="E303" s="309">
        <v>0.15</v>
      </c>
      <c r="F303" s="309">
        <v>0.14199999999999999</v>
      </c>
      <c r="G303" s="310">
        <v>0.15</v>
      </c>
    </row>
    <row r="304" spans="1:7">
      <c r="A304" s="319" t="s">
        <v>288</v>
      </c>
      <c r="B304" s="308" t="s">
        <v>2553</v>
      </c>
      <c r="C304" s="309">
        <v>0.15</v>
      </c>
      <c r="D304" s="309">
        <v>0.15</v>
      </c>
      <c r="E304" s="309">
        <v>0.15</v>
      </c>
      <c r="F304" s="309">
        <v>0.14499999999999999</v>
      </c>
      <c r="G304" s="310">
        <v>0.15</v>
      </c>
    </row>
    <row r="305" spans="1:7">
      <c r="A305" s="319" t="s">
        <v>288</v>
      </c>
      <c r="B305" s="308" t="s">
        <v>2554</v>
      </c>
      <c r="C305" s="309">
        <v>0.15</v>
      </c>
      <c r="D305" s="309">
        <v>0.15</v>
      </c>
      <c r="E305" s="309">
        <v>0.15</v>
      </c>
      <c r="F305" s="309">
        <v>0.111</v>
      </c>
      <c r="G305" s="310">
        <v>0.15</v>
      </c>
    </row>
    <row r="306" spans="1:7">
      <c r="A306" s="319" t="s">
        <v>288</v>
      </c>
      <c r="B306" s="308" t="s">
        <v>2555</v>
      </c>
      <c r="C306" s="309">
        <v>0.15</v>
      </c>
      <c r="D306" s="309">
        <v>0.15</v>
      </c>
      <c r="E306" s="309">
        <v>0.15</v>
      </c>
      <c r="F306" s="309">
        <v>0.126</v>
      </c>
      <c r="G306" s="310">
        <v>0.15</v>
      </c>
    </row>
    <row r="307" spans="1:7">
      <c r="A307" s="319" t="s">
        <v>288</v>
      </c>
      <c r="B307" s="308" t="s">
        <v>2556</v>
      </c>
      <c r="C307" s="309">
        <v>0.15</v>
      </c>
      <c r="D307" s="309">
        <v>0.15</v>
      </c>
      <c r="E307" s="309">
        <v>0.15</v>
      </c>
      <c r="F307" s="309">
        <v>0.12</v>
      </c>
      <c r="G307" s="310">
        <v>0.15</v>
      </c>
    </row>
    <row r="308" spans="1:7">
      <c r="A308" s="319" t="s">
        <v>288</v>
      </c>
      <c r="B308" s="308" t="s">
        <v>2557</v>
      </c>
      <c r="C308" s="309">
        <v>0.15</v>
      </c>
      <c r="D308" s="309">
        <v>0.15</v>
      </c>
      <c r="E308" s="309">
        <v>0.15</v>
      </c>
      <c r="F308" s="309">
        <v>0.13</v>
      </c>
      <c r="G308" s="310">
        <v>0.15</v>
      </c>
    </row>
    <row r="309" spans="1:7">
      <c r="A309" s="319" t="s">
        <v>288</v>
      </c>
      <c r="B309" s="308" t="s">
        <v>2558</v>
      </c>
      <c r="C309" s="309">
        <v>0.15</v>
      </c>
      <c r="D309" s="309">
        <v>0.15</v>
      </c>
      <c r="E309" s="309">
        <v>0.15</v>
      </c>
      <c r="F309" s="309">
        <v>0.14099999999999999</v>
      </c>
      <c r="G309" s="310">
        <v>0.15</v>
      </c>
    </row>
    <row r="310" spans="1:7">
      <c r="A310" s="319" t="s">
        <v>288</v>
      </c>
      <c r="B310" s="308" t="s">
        <v>2559</v>
      </c>
      <c r="C310" s="309">
        <v>0.15</v>
      </c>
      <c r="D310" s="309">
        <v>0.15</v>
      </c>
      <c r="E310" s="309">
        <v>0.15</v>
      </c>
      <c r="F310" s="309">
        <v>0.15</v>
      </c>
      <c r="G310" s="310">
        <v>0.15</v>
      </c>
    </row>
    <row r="311" spans="1:7">
      <c r="A311" s="319" t="s">
        <v>288</v>
      </c>
      <c r="B311" s="308" t="s">
        <v>2560</v>
      </c>
      <c r="C311" s="309">
        <v>0.13200000000000001</v>
      </c>
      <c r="D311" s="309">
        <v>0.13300000000000001</v>
      </c>
      <c r="E311" s="309">
        <v>0.14499999999999999</v>
      </c>
      <c r="F311" s="309">
        <v>0.14199999999999999</v>
      </c>
      <c r="G311" s="310">
        <v>0.14000000000000001</v>
      </c>
    </row>
    <row r="312" spans="1:7">
      <c r="A312" s="319" t="s">
        <v>288</v>
      </c>
      <c r="B312" s="308" t="s">
        <v>2561</v>
      </c>
      <c r="C312" s="309">
        <v>0.13800000000000001</v>
      </c>
      <c r="D312" s="309">
        <v>0.14000000000000001</v>
      </c>
      <c r="E312" s="309">
        <v>0.14599999999999999</v>
      </c>
      <c r="F312" s="309">
        <v>0.14899999999999999</v>
      </c>
      <c r="G312" s="310">
        <v>0.14199999999999999</v>
      </c>
    </row>
    <row r="313" spans="1:7">
      <c r="A313" s="319" t="s">
        <v>288</v>
      </c>
      <c r="B313" s="308" t="s">
        <v>2562</v>
      </c>
      <c r="C313" s="309">
        <v>0.125</v>
      </c>
      <c r="D313" s="309">
        <v>0.127</v>
      </c>
      <c r="E313" s="309">
        <v>0.14399999999999999</v>
      </c>
      <c r="F313" s="309">
        <v>0.115</v>
      </c>
      <c r="G313" s="310">
        <v>0.13600000000000001</v>
      </c>
    </row>
    <row r="314" spans="1:7">
      <c r="A314" s="319" t="s">
        <v>288</v>
      </c>
      <c r="B314" s="308" t="s">
        <v>2563</v>
      </c>
      <c r="C314" s="325"/>
      <c r="D314" s="325"/>
      <c r="E314" s="325"/>
      <c r="F314" s="309">
        <v>0.05</v>
      </c>
      <c r="G314" s="326"/>
    </row>
    <row r="315" spans="1:7">
      <c r="A315" s="319" t="s">
        <v>288</v>
      </c>
      <c r="B315" s="308" t="s">
        <v>2564</v>
      </c>
      <c r="C315" s="325"/>
      <c r="D315" s="325"/>
      <c r="E315" s="325"/>
      <c r="F315" s="309">
        <v>0.05</v>
      </c>
      <c r="G315" s="326"/>
    </row>
    <row r="316" spans="1:7">
      <c r="A316" s="319" t="s">
        <v>288</v>
      </c>
      <c r="B316" s="308" t="s">
        <v>2565</v>
      </c>
      <c r="C316" s="320"/>
      <c r="D316" s="320"/>
      <c r="E316" s="320"/>
      <c r="F316" s="309">
        <v>0.05</v>
      </c>
      <c r="G316" s="326"/>
    </row>
    <row r="317" spans="1:7">
      <c r="A317" s="319" t="s">
        <v>288</v>
      </c>
      <c r="B317" s="308" t="s">
        <v>2566</v>
      </c>
      <c r="C317" s="320"/>
      <c r="D317" s="320"/>
      <c r="E317" s="320"/>
      <c r="F317" s="309">
        <v>0.05</v>
      </c>
      <c r="G317" s="326"/>
    </row>
    <row r="318" spans="1:7">
      <c r="A318" s="319" t="s">
        <v>288</v>
      </c>
      <c r="B318" s="308" t="s">
        <v>2567</v>
      </c>
      <c r="C318" s="320"/>
      <c r="D318" s="320"/>
      <c r="E318" s="320"/>
      <c r="F318" s="309">
        <v>0.05</v>
      </c>
      <c r="G318" s="326"/>
    </row>
    <row r="319" spans="1:7">
      <c r="A319" s="319" t="s">
        <v>288</v>
      </c>
      <c r="B319" s="308" t="s">
        <v>2568</v>
      </c>
      <c r="C319" s="320"/>
      <c r="D319" s="320"/>
      <c r="E319" s="320"/>
      <c r="F319" s="309">
        <v>0.05</v>
      </c>
      <c r="G319" s="326"/>
    </row>
    <row r="320" spans="1:7">
      <c r="A320" s="319" t="s">
        <v>288</v>
      </c>
      <c r="B320" s="308" t="s">
        <v>2569</v>
      </c>
      <c r="C320" s="320"/>
      <c r="D320" s="320"/>
      <c r="E320" s="320"/>
      <c r="F320" s="309">
        <v>0.05</v>
      </c>
      <c r="G320" s="326"/>
    </row>
    <row r="321" spans="1:7">
      <c r="A321" s="319" t="s">
        <v>288</v>
      </c>
      <c r="B321" s="308" t="s">
        <v>2570</v>
      </c>
      <c r="C321" s="320"/>
      <c r="D321" s="320"/>
      <c r="E321" s="320"/>
      <c r="F321" s="309">
        <v>0.05</v>
      </c>
      <c r="G321" s="326"/>
    </row>
    <row r="322" spans="1:7">
      <c r="A322" s="319" t="s">
        <v>288</v>
      </c>
      <c r="B322" s="308" t="s">
        <v>2571</v>
      </c>
      <c r="C322" s="320"/>
      <c r="D322" s="320"/>
      <c r="E322" s="320"/>
      <c r="F322" s="309">
        <v>0.05</v>
      </c>
      <c r="G322" s="326"/>
    </row>
    <row r="323" spans="1:7">
      <c r="A323" s="319" t="s">
        <v>288</v>
      </c>
      <c r="B323" s="308" t="s">
        <v>2572</v>
      </c>
      <c r="C323" s="320"/>
      <c r="D323" s="320"/>
      <c r="E323" s="320"/>
      <c r="F323" s="309">
        <v>0.05</v>
      </c>
      <c r="G323" s="326"/>
    </row>
    <row r="324" spans="1:7">
      <c r="A324" s="319" t="s">
        <v>288</v>
      </c>
      <c r="B324" s="308" t="s">
        <v>2573</v>
      </c>
      <c r="C324" s="320"/>
      <c r="D324" s="320"/>
      <c r="E324" s="320"/>
      <c r="F324" s="309">
        <v>0.05</v>
      </c>
      <c r="G324" s="326"/>
    </row>
    <row r="325" spans="1:7">
      <c r="A325" s="319" t="s">
        <v>288</v>
      </c>
      <c r="B325" s="308" t="s">
        <v>2574</v>
      </c>
      <c r="C325" s="320"/>
      <c r="D325" s="320"/>
      <c r="E325" s="320"/>
      <c r="F325" s="309">
        <v>0.05</v>
      </c>
      <c r="G325" s="326"/>
    </row>
    <row r="326" spans="1:7">
      <c r="A326" s="322" t="s">
        <v>288</v>
      </c>
      <c r="B326" s="312" t="s">
        <v>2575</v>
      </c>
      <c r="C326" s="314"/>
      <c r="D326" s="314"/>
      <c r="E326" s="314"/>
      <c r="F326" s="313">
        <v>0.05</v>
      </c>
      <c r="G326" s="327"/>
    </row>
    <row r="327" spans="1:7">
      <c r="A327" s="318" t="s">
        <v>292</v>
      </c>
      <c r="B327" s="304" t="s">
        <v>2576</v>
      </c>
      <c r="C327" s="305">
        <v>0.15</v>
      </c>
      <c r="D327" s="305">
        <v>0.15</v>
      </c>
      <c r="E327" s="305">
        <v>0.15</v>
      </c>
      <c r="F327" s="305">
        <v>0.15</v>
      </c>
      <c r="G327" s="306">
        <v>0.15</v>
      </c>
    </row>
    <row r="328" spans="1:7">
      <c r="A328" s="319" t="s">
        <v>292</v>
      </c>
      <c r="B328" s="308" t="s">
        <v>2577</v>
      </c>
      <c r="C328" s="309">
        <v>0.15</v>
      </c>
      <c r="D328" s="309">
        <v>0.15</v>
      </c>
      <c r="E328" s="309">
        <v>0.15</v>
      </c>
      <c r="F328" s="309">
        <v>0.126</v>
      </c>
      <c r="G328" s="310">
        <v>0.15</v>
      </c>
    </row>
    <row r="329" spans="1:7">
      <c r="A329" s="319" t="s">
        <v>292</v>
      </c>
      <c r="B329" s="308" t="s">
        <v>2578</v>
      </c>
      <c r="C329" s="309">
        <v>0.15</v>
      </c>
      <c r="D329" s="309">
        <v>0.15</v>
      </c>
      <c r="E329" s="309">
        <v>0.15</v>
      </c>
      <c r="F329" s="309">
        <v>0.15</v>
      </c>
      <c r="G329" s="310">
        <v>0.15</v>
      </c>
    </row>
    <row r="330" spans="1:7">
      <c r="A330" s="319" t="s">
        <v>292</v>
      </c>
      <c r="B330" s="308" t="s">
        <v>2579</v>
      </c>
      <c r="C330" s="309">
        <v>0.15</v>
      </c>
      <c r="D330" s="309">
        <v>0.15</v>
      </c>
      <c r="E330" s="309">
        <v>0.15</v>
      </c>
      <c r="F330" s="309">
        <v>0.15</v>
      </c>
      <c r="G330" s="310">
        <v>0.15</v>
      </c>
    </row>
    <row r="331" spans="1:7">
      <c r="A331" s="319" t="s">
        <v>292</v>
      </c>
      <c r="B331" s="308" t="s">
        <v>2580</v>
      </c>
      <c r="C331" s="309">
        <v>0.15</v>
      </c>
      <c r="D331" s="309">
        <v>0.15</v>
      </c>
      <c r="E331" s="309">
        <v>0.15</v>
      </c>
      <c r="F331" s="309">
        <v>0.15</v>
      </c>
      <c r="G331" s="310">
        <v>0.15</v>
      </c>
    </row>
    <row r="332" spans="1:7">
      <c r="A332" s="319" t="s">
        <v>292</v>
      </c>
      <c r="B332" s="308" t="s">
        <v>2581</v>
      </c>
      <c r="C332" s="309">
        <v>0.15</v>
      </c>
      <c r="D332" s="309">
        <v>0.15</v>
      </c>
      <c r="E332" s="309">
        <v>0.15</v>
      </c>
      <c r="F332" s="309">
        <v>0.15</v>
      </c>
      <c r="G332" s="310">
        <v>0.15</v>
      </c>
    </row>
    <row r="333" spans="1:7">
      <c r="A333" s="319" t="s">
        <v>292</v>
      </c>
      <c r="B333" s="308" t="s">
        <v>2582</v>
      </c>
      <c r="C333" s="309">
        <v>0.14899999999999999</v>
      </c>
      <c r="D333" s="309">
        <v>0.14899999999999999</v>
      </c>
      <c r="E333" s="309">
        <v>0.15</v>
      </c>
      <c r="F333" s="309">
        <v>0.11600000000000001</v>
      </c>
      <c r="G333" s="310">
        <v>0.15</v>
      </c>
    </row>
    <row r="334" spans="1:7">
      <c r="A334" s="319" t="s">
        <v>292</v>
      </c>
      <c r="B334" s="308" t="s">
        <v>2583</v>
      </c>
      <c r="C334" s="309">
        <v>0.15</v>
      </c>
      <c r="D334" s="309">
        <v>0.15</v>
      </c>
      <c r="E334" s="309">
        <v>0.15</v>
      </c>
      <c r="F334" s="309">
        <v>0.13</v>
      </c>
      <c r="G334" s="310">
        <v>0.15</v>
      </c>
    </row>
    <row r="335" spans="1:7">
      <c r="A335" s="319" t="s">
        <v>292</v>
      </c>
      <c r="B335" s="308" t="s">
        <v>2584</v>
      </c>
      <c r="C335" s="309">
        <v>0.15</v>
      </c>
      <c r="D335" s="309">
        <v>0.15</v>
      </c>
      <c r="E335" s="309">
        <v>0.15</v>
      </c>
      <c r="F335" s="309">
        <v>0.14399999999999999</v>
      </c>
      <c r="G335" s="310">
        <v>0.15</v>
      </c>
    </row>
    <row r="336" spans="1:7">
      <c r="A336" s="319" t="s">
        <v>292</v>
      </c>
      <c r="B336" s="308" t="s">
        <v>2585</v>
      </c>
      <c r="C336" s="309">
        <v>0.15</v>
      </c>
      <c r="D336" s="309">
        <v>0.15</v>
      </c>
      <c r="E336" s="309">
        <v>0.15</v>
      </c>
      <c r="F336" s="309">
        <v>0.14199999999999999</v>
      </c>
      <c r="G336" s="310">
        <v>0.15</v>
      </c>
    </row>
    <row r="337" spans="1:7">
      <c r="A337" s="319" t="s">
        <v>292</v>
      </c>
      <c r="B337" s="308" t="s">
        <v>2586</v>
      </c>
      <c r="C337" s="309">
        <v>0.15</v>
      </c>
      <c r="D337" s="309">
        <v>0.15</v>
      </c>
      <c r="E337" s="309">
        <v>0.15</v>
      </c>
      <c r="F337" s="309">
        <v>0.14499999999999999</v>
      </c>
      <c r="G337" s="310">
        <v>0.15</v>
      </c>
    </row>
    <row r="338" spans="1:7">
      <c r="A338" s="319" t="s">
        <v>292</v>
      </c>
      <c r="B338" s="308" t="s">
        <v>2587</v>
      </c>
      <c r="C338" s="309">
        <v>0.15</v>
      </c>
      <c r="D338" s="309">
        <v>0.15</v>
      </c>
      <c r="E338" s="309">
        <v>0.15</v>
      </c>
      <c r="F338" s="309">
        <v>0.15</v>
      </c>
      <c r="G338" s="310">
        <v>0.15</v>
      </c>
    </row>
    <row r="339" spans="1:7">
      <c r="A339" s="319" t="s">
        <v>292</v>
      </c>
      <c r="B339" s="308" t="s">
        <v>2588</v>
      </c>
      <c r="C339" s="309">
        <v>0.15</v>
      </c>
      <c r="D339" s="309">
        <v>0.15</v>
      </c>
      <c r="E339" s="309">
        <v>0.15</v>
      </c>
      <c r="F339" s="309">
        <v>0.14699999999999999</v>
      </c>
      <c r="G339" s="310">
        <v>0.15</v>
      </c>
    </row>
    <row r="340" spans="1:7">
      <c r="A340" s="319" t="s">
        <v>292</v>
      </c>
      <c r="B340" s="308" t="s">
        <v>2589</v>
      </c>
      <c r="C340" s="309">
        <v>0.14599999999999999</v>
      </c>
      <c r="D340" s="309">
        <v>0.14599999999999999</v>
      </c>
      <c r="E340" s="309">
        <v>0.15</v>
      </c>
      <c r="F340" s="309">
        <v>0.14099999999999999</v>
      </c>
      <c r="G340" s="310">
        <v>0.14699999999999999</v>
      </c>
    </row>
    <row r="341" spans="1:7">
      <c r="A341" s="319" t="s">
        <v>292</v>
      </c>
      <c r="B341" s="308" t="s">
        <v>2590</v>
      </c>
      <c r="C341" s="309">
        <v>0.126</v>
      </c>
      <c r="D341" s="309">
        <v>0.124</v>
      </c>
      <c r="E341" s="309">
        <v>0.14099999999999999</v>
      </c>
      <c r="F341" s="309">
        <v>0.14399999999999999</v>
      </c>
      <c r="G341" s="310">
        <v>0.13</v>
      </c>
    </row>
    <row r="342" spans="1:7">
      <c r="A342" s="319" t="s">
        <v>292</v>
      </c>
      <c r="B342" s="308" t="s">
        <v>2591</v>
      </c>
      <c r="C342" s="309">
        <v>0.15</v>
      </c>
      <c r="D342" s="309">
        <v>0.15</v>
      </c>
      <c r="E342" s="309">
        <v>0.15</v>
      </c>
      <c r="F342" s="309">
        <v>0.14399999999999999</v>
      </c>
      <c r="G342" s="310">
        <v>0.15</v>
      </c>
    </row>
    <row r="343" spans="1:7">
      <c r="A343" s="319" t="s">
        <v>292</v>
      </c>
      <c r="B343" s="308" t="s">
        <v>2592</v>
      </c>
      <c r="C343" s="309">
        <v>0.15</v>
      </c>
      <c r="D343" s="309">
        <v>0.15</v>
      </c>
      <c r="E343" s="309">
        <v>0.15</v>
      </c>
      <c r="F343" s="309">
        <v>0.128</v>
      </c>
      <c r="G343" s="310">
        <v>0.15</v>
      </c>
    </row>
    <row r="344" spans="1:7">
      <c r="A344" s="319" t="s">
        <v>292</v>
      </c>
      <c r="B344" s="308" t="s">
        <v>2593</v>
      </c>
      <c r="C344" s="309">
        <v>0.15</v>
      </c>
      <c r="D344" s="309">
        <v>0.15</v>
      </c>
      <c r="E344" s="309">
        <v>0.15</v>
      </c>
      <c r="F344" s="309">
        <v>0.14799999999999999</v>
      </c>
      <c r="G344" s="310">
        <v>0.15</v>
      </c>
    </row>
    <row r="345" spans="1:7">
      <c r="A345" s="319" t="s">
        <v>292</v>
      </c>
      <c r="B345" s="308" t="s">
        <v>2594</v>
      </c>
      <c r="C345" s="309">
        <v>0.15</v>
      </c>
      <c r="D345" s="309">
        <v>0.15</v>
      </c>
      <c r="E345" s="309">
        <v>0.15</v>
      </c>
      <c r="F345" s="309">
        <v>0.13800000000000001</v>
      </c>
      <c r="G345" s="310">
        <v>0.15</v>
      </c>
    </row>
    <row r="346" spans="1:7">
      <c r="A346" s="319" t="s">
        <v>292</v>
      </c>
      <c r="B346" s="308" t="s">
        <v>2595</v>
      </c>
      <c r="C346" s="309">
        <v>0.15</v>
      </c>
      <c r="D346" s="309">
        <v>0.15</v>
      </c>
      <c r="E346" s="309">
        <v>0.15</v>
      </c>
      <c r="F346" s="309">
        <v>0.14399999999999999</v>
      </c>
      <c r="G346" s="310">
        <v>0.15</v>
      </c>
    </row>
    <row r="347" spans="1:7">
      <c r="A347" s="319" t="s">
        <v>292</v>
      </c>
      <c r="B347" s="308" t="s">
        <v>2596</v>
      </c>
      <c r="C347" s="309">
        <v>0.15</v>
      </c>
      <c r="D347" s="309">
        <v>0.15</v>
      </c>
      <c r="E347" s="309">
        <v>0.15</v>
      </c>
      <c r="F347" s="309">
        <v>0.14599999999999999</v>
      </c>
      <c r="G347" s="310">
        <v>0.15</v>
      </c>
    </row>
    <row r="348" spans="1:7">
      <c r="A348" s="319" t="s">
        <v>292</v>
      </c>
      <c r="B348" s="308" t="s">
        <v>2597</v>
      </c>
      <c r="C348" s="309">
        <v>0.15</v>
      </c>
      <c r="D348" s="309">
        <v>0.15</v>
      </c>
      <c r="E348" s="309">
        <v>0.15</v>
      </c>
      <c r="F348" s="309">
        <v>0.14399999999999999</v>
      </c>
      <c r="G348" s="310">
        <v>0.15</v>
      </c>
    </row>
    <row r="349" spans="1:7">
      <c r="A349" s="319" t="s">
        <v>292</v>
      </c>
      <c r="B349" s="308" t="s">
        <v>2598</v>
      </c>
      <c r="C349" s="309">
        <v>0.15</v>
      </c>
      <c r="D349" s="309">
        <v>0.15</v>
      </c>
      <c r="E349" s="309">
        <v>0.15</v>
      </c>
      <c r="F349" s="309">
        <v>0.15</v>
      </c>
      <c r="G349" s="310">
        <v>0.15</v>
      </c>
    </row>
    <row r="350" spans="1:7">
      <c r="A350" s="319" t="s">
        <v>292</v>
      </c>
      <c r="B350" s="308" t="s">
        <v>2599</v>
      </c>
      <c r="C350" s="309">
        <v>0.15</v>
      </c>
      <c r="D350" s="309">
        <v>0.15</v>
      </c>
      <c r="E350" s="309">
        <v>0.15</v>
      </c>
      <c r="F350" s="309">
        <v>0.14699999999999999</v>
      </c>
      <c r="G350" s="310">
        <v>0.15</v>
      </c>
    </row>
    <row r="351" spans="1:7">
      <c r="A351" s="319" t="s">
        <v>292</v>
      </c>
      <c r="B351" s="308" t="s">
        <v>2600</v>
      </c>
      <c r="C351" s="309">
        <v>0.15</v>
      </c>
      <c r="D351" s="309">
        <v>0.15</v>
      </c>
      <c r="E351" s="309">
        <v>0.15</v>
      </c>
      <c r="F351" s="309">
        <v>0.13</v>
      </c>
      <c r="G351" s="310">
        <v>0.15</v>
      </c>
    </row>
    <row r="352" spans="1:7">
      <c r="A352" s="319" t="s">
        <v>292</v>
      </c>
      <c r="B352" s="308" t="s">
        <v>2601</v>
      </c>
      <c r="C352" s="309">
        <v>0.15</v>
      </c>
      <c r="D352" s="309">
        <v>0.15</v>
      </c>
      <c r="E352" s="309">
        <v>0.15</v>
      </c>
      <c r="F352" s="309">
        <v>0.14599999999999999</v>
      </c>
      <c r="G352" s="310">
        <v>0.15</v>
      </c>
    </row>
    <row r="353" spans="1:7">
      <c r="A353" s="319" t="s">
        <v>292</v>
      </c>
      <c r="B353" s="308" t="s">
        <v>2602</v>
      </c>
      <c r="C353" s="309">
        <v>0.15</v>
      </c>
      <c r="D353" s="309">
        <v>0.15</v>
      </c>
      <c r="E353" s="309">
        <v>0.15</v>
      </c>
      <c r="F353" s="309">
        <v>0.14499999999999999</v>
      </c>
      <c r="G353" s="310">
        <v>0.15</v>
      </c>
    </row>
    <row r="354" spans="1:7">
      <c r="A354" s="319" t="s">
        <v>292</v>
      </c>
      <c r="B354" s="308" t="s">
        <v>2603</v>
      </c>
      <c r="C354" s="309">
        <v>0.15</v>
      </c>
      <c r="D354" s="309">
        <v>0.15</v>
      </c>
      <c r="E354" s="309">
        <v>0.15</v>
      </c>
      <c r="F354" s="309">
        <v>0.14099999999999999</v>
      </c>
      <c r="G354" s="310">
        <v>0.15</v>
      </c>
    </row>
    <row r="355" spans="1:7">
      <c r="A355" s="319" t="s">
        <v>292</v>
      </c>
      <c r="B355" s="308" t="s">
        <v>2604</v>
      </c>
      <c r="C355" s="309">
        <v>0.15</v>
      </c>
      <c r="D355" s="309">
        <v>0.15</v>
      </c>
      <c r="E355" s="309">
        <v>0.15</v>
      </c>
      <c r="F355" s="309">
        <v>0.15</v>
      </c>
      <c r="G355" s="310">
        <v>0.15</v>
      </c>
    </row>
    <row r="356" spans="1:7">
      <c r="A356" s="319" t="s">
        <v>292</v>
      </c>
      <c r="B356" s="308" t="s">
        <v>2605</v>
      </c>
      <c r="C356" s="309">
        <v>0.15</v>
      </c>
      <c r="D356" s="309">
        <v>0.15</v>
      </c>
      <c r="E356" s="309">
        <v>0.15</v>
      </c>
      <c r="F356" s="309">
        <v>0.15</v>
      </c>
      <c r="G356" s="310">
        <v>0.15</v>
      </c>
    </row>
    <row r="357" spans="1:7">
      <c r="A357" s="322" t="s">
        <v>292</v>
      </c>
      <c r="B357" s="312" t="s">
        <v>2606</v>
      </c>
      <c r="C357" s="313">
        <v>0.126</v>
      </c>
      <c r="D357" s="313">
        <v>0.127</v>
      </c>
      <c r="E357" s="313">
        <v>0.14299999999999999</v>
      </c>
      <c r="F357" s="313">
        <v>0.125</v>
      </c>
      <c r="G357" s="315">
        <v>0.129</v>
      </c>
    </row>
    <row r="358" spans="1:7">
      <c r="A358" s="318" t="s">
        <v>296</v>
      </c>
      <c r="B358" s="304" t="s">
        <v>2607</v>
      </c>
      <c r="C358" s="305">
        <v>0.15</v>
      </c>
      <c r="D358" s="305">
        <v>0.15</v>
      </c>
      <c r="E358" s="305">
        <v>0.15</v>
      </c>
      <c r="F358" s="305">
        <v>0.15</v>
      </c>
      <c r="G358" s="306">
        <v>0.15</v>
      </c>
    </row>
    <row r="359" spans="1:7">
      <c r="A359" s="319" t="s">
        <v>296</v>
      </c>
      <c r="B359" s="308" t="s">
        <v>2608</v>
      </c>
      <c r="C359" s="309">
        <v>0.1</v>
      </c>
      <c r="D359" s="309">
        <v>0.1</v>
      </c>
      <c r="E359" s="309">
        <v>0.1</v>
      </c>
      <c r="F359" s="309">
        <v>0.1</v>
      </c>
      <c r="G359" s="310">
        <v>0.1</v>
      </c>
    </row>
    <row r="360" spans="1:7">
      <c r="A360" s="319" t="s">
        <v>296</v>
      </c>
      <c r="B360" s="308" t="s">
        <v>2609</v>
      </c>
      <c r="C360" s="309">
        <v>0.15</v>
      </c>
      <c r="D360" s="309">
        <v>0.15</v>
      </c>
      <c r="E360" s="309">
        <v>0.15</v>
      </c>
      <c r="F360" s="309">
        <v>0.14899999999999999</v>
      </c>
      <c r="G360" s="310">
        <v>0.15</v>
      </c>
    </row>
    <row r="361" spans="1:7">
      <c r="A361" s="319" t="s">
        <v>296</v>
      </c>
      <c r="B361" s="308" t="s">
        <v>2610</v>
      </c>
      <c r="C361" s="309">
        <v>0.15</v>
      </c>
      <c r="D361" s="309">
        <v>0.15</v>
      </c>
      <c r="E361" s="309">
        <v>0.15</v>
      </c>
      <c r="F361" s="309">
        <v>0.115</v>
      </c>
      <c r="G361" s="310">
        <v>0.15</v>
      </c>
    </row>
    <row r="362" spans="1:7">
      <c r="A362" s="319" t="s">
        <v>296</v>
      </c>
      <c r="B362" s="308" t="s">
        <v>2611</v>
      </c>
      <c r="C362" s="309">
        <v>0.15</v>
      </c>
      <c r="D362" s="309">
        <v>0.15</v>
      </c>
      <c r="E362" s="309">
        <v>0.15</v>
      </c>
      <c r="F362" s="309">
        <v>0.106</v>
      </c>
      <c r="G362" s="310">
        <v>0.15</v>
      </c>
    </row>
    <row r="363" spans="1:7">
      <c r="A363" s="319" t="s">
        <v>296</v>
      </c>
      <c r="B363" s="308" t="s">
        <v>2612</v>
      </c>
      <c r="C363" s="309">
        <v>0.15</v>
      </c>
      <c r="D363" s="309">
        <v>0.15</v>
      </c>
      <c r="E363" s="309">
        <v>0.15</v>
      </c>
      <c r="F363" s="309">
        <v>0.14699999999999999</v>
      </c>
      <c r="G363" s="310">
        <v>0.15</v>
      </c>
    </row>
    <row r="364" spans="1:7">
      <c r="A364" s="319" t="s">
        <v>296</v>
      </c>
      <c r="B364" s="308" t="s">
        <v>2613</v>
      </c>
      <c r="C364" s="309">
        <v>0.15</v>
      </c>
      <c r="D364" s="309">
        <v>0.15</v>
      </c>
      <c r="E364" s="309">
        <v>0.15</v>
      </c>
      <c r="F364" s="309">
        <v>0.14799999999999999</v>
      </c>
      <c r="G364" s="310">
        <v>0.15</v>
      </c>
    </row>
    <row r="365" spans="1:7">
      <c r="A365" s="319" t="s">
        <v>296</v>
      </c>
      <c r="B365" s="308" t="s">
        <v>2614</v>
      </c>
      <c r="C365" s="309">
        <v>0.15</v>
      </c>
      <c r="D365" s="309">
        <v>0.15</v>
      </c>
      <c r="E365" s="309">
        <v>0.15</v>
      </c>
      <c r="F365" s="309">
        <v>0.15</v>
      </c>
      <c r="G365" s="310">
        <v>0.15</v>
      </c>
    </row>
    <row r="366" spans="1:7">
      <c r="A366" s="319" t="s">
        <v>296</v>
      </c>
      <c r="B366" s="308" t="s">
        <v>2615</v>
      </c>
      <c r="C366" s="309">
        <v>0.15</v>
      </c>
      <c r="D366" s="309">
        <v>0.15</v>
      </c>
      <c r="E366" s="309">
        <v>0.15</v>
      </c>
      <c r="F366" s="309">
        <v>0.15</v>
      </c>
      <c r="G366" s="310">
        <v>0.15</v>
      </c>
    </row>
    <row r="367" spans="1:7">
      <c r="A367" s="319" t="s">
        <v>296</v>
      </c>
      <c r="B367" s="308" t="s">
        <v>2616</v>
      </c>
      <c r="C367" s="309">
        <v>0.15</v>
      </c>
      <c r="D367" s="309">
        <v>0.15</v>
      </c>
      <c r="E367" s="309">
        <v>0.15</v>
      </c>
      <c r="F367" s="309">
        <v>0.14699999999999999</v>
      </c>
      <c r="G367" s="310">
        <v>0.15</v>
      </c>
    </row>
    <row r="368" spans="1:7">
      <c r="A368" s="319" t="s">
        <v>296</v>
      </c>
      <c r="B368" s="308" t="s">
        <v>2617</v>
      </c>
      <c r="C368" s="309">
        <v>0.15</v>
      </c>
      <c r="D368" s="309">
        <v>0.15</v>
      </c>
      <c r="E368" s="309">
        <v>0.15</v>
      </c>
      <c r="F368" s="309">
        <v>0.13600000000000001</v>
      </c>
      <c r="G368" s="310">
        <v>0.15</v>
      </c>
    </row>
    <row r="369" spans="1:7">
      <c r="A369" s="319" t="s">
        <v>296</v>
      </c>
      <c r="B369" s="308" t="s">
        <v>2618</v>
      </c>
      <c r="C369" s="309">
        <v>0.15</v>
      </c>
      <c r="D369" s="309">
        <v>0.15</v>
      </c>
      <c r="E369" s="309">
        <v>0.15</v>
      </c>
      <c r="F369" s="309">
        <v>0.14399999999999999</v>
      </c>
      <c r="G369" s="310">
        <v>0.15</v>
      </c>
    </row>
    <row r="370" spans="1:7">
      <c r="A370" s="319" t="s">
        <v>296</v>
      </c>
      <c r="B370" s="308" t="s">
        <v>2619</v>
      </c>
      <c r="C370" s="309">
        <v>0.15</v>
      </c>
      <c r="D370" s="309">
        <v>0.15</v>
      </c>
      <c r="E370" s="309">
        <v>0.15</v>
      </c>
      <c r="F370" s="309">
        <v>0.14599999999999999</v>
      </c>
      <c r="G370" s="310">
        <v>0.15</v>
      </c>
    </row>
    <row r="371" spans="1:7">
      <c r="A371" s="319" t="s">
        <v>296</v>
      </c>
      <c r="B371" s="308" t="s">
        <v>2620</v>
      </c>
      <c r="C371" s="309">
        <v>0.15</v>
      </c>
      <c r="D371" s="309">
        <v>0.15</v>
      </c>
      <c r="E371" s="309">
        <v>0.15</v>
      </c>
      <c r="F371" s="309">
        <v>0.12</v>
      </c>
      <c r="G371" s="310">
        <v>0.15</v>
      </c>
    </row>
    <row r="372" spans="1:7">
      <c r="A372" s="319" t="s">
        <v>296</v>
      </c>
      <c r="B372" s="308" t="s">
        <v>2621</v>
      </c>
      <c r="C372" s="309">
        <v>0.15</v>
      </c>
      <c r="D372" s="309">
        <v>0.15</v>
      </c>
      <c r="E372" s="309">
        <v>0.15</v>
      </c>
      <c r="F372" s="309">
        <v>0.14299999999999999</v>
      </c>
      <c r="G372" s="310">
        <v>0.15</v>
      </c>
    </row>
    <row r="373" spans="1:7">
      <c r="A373" s="319" t="s">
        <v>296</v>
      </c>
      <c r="B373" s="308" t="s">
        <v>2622</v>
      </c>
      <c r="C373" s="309">
        <v>0.15</v>
      </c>
      <c r="D373" s="309">
        <v>0.15</v>
      </c>
      <c r="E373" s="309">
        <v>0.15</v>
      </c>
      <c r="F373" s="309">
        <v>0.14599999999999999</v>
      </c>
      <c r="G373" s="310">
        <v>0.15</v>
      </c>
    </row>
    <row r="374" spans="1:7">
      <c r="A374" s="319" t="s">
        <v>296</v>
      </c>
      <c r="B374" s="308" t="s">
        <v>2623</v>
      </c>
      <c r="C374" s="309">
        <v>0.15</v>
      </c>
      <c r="D374" s="309">
        <v>0.15</v>
      </c>
      <c r="E374" s="309">
        <v>0.15</v>
      </c>
      <c r="F374" s="309">
        <v>0.14399999999999999</v>
      </c>
      <c r="G374" s="310">
        <v>0.15</v>
      </c>
    </row>
    <row r="375" spans="1:7">
      <c r="A375" s="319" t="s">
        <v>296</v>
      </c>
      <c r="B375" s="308" t="s">
        <v>2624</v>
      </c>
      <c r="C375" s="309">
        <v>0.15</v>
      </c>
      <c r="D375" s="309">
        <v>0.15</v>
      </c>
      <c r="E375" s="309">
        <v>0.15</v>
      </c>
      <c r="F375" s="309">
        <v>0.13</v>
      </c>
      <c r="G375" s="310">
        <v>0.15</v>
      </c>
    </row>
    <row r="376" spans="1:7">
      <c r="A376" s="319" t="s">
        <v>296</v>
      </c>
      <c r="B376" s="308" t="s">
        <v>2625</v>
      </c>
      <c r="C376" s="309">
        <v>0.15</v>
      </c>
      <c r="D376" s="309">
        <v>0.15</v>
      </c>
      <c r="E376" s="309">
        <v>0.15</v>
      </c>
      <c r="F376" s="309">
        <v>0.14199999999999999</v>
      </c>
      <c r="G376" s="310">
        <v>0.15</v>
      </c>
    </row>
    <row r="377" spans="1:7">
      <c r="A377" s="322" t="s">
        <v>296</v>
      </c>
      <c r="B377" s="312" t="s">
        <v>2626</v>
      </c>
      <c r="C377" s="313">
        <v>0.15</v>
      </c>
      <c r="D377" s="313">
        <v>0.15</v>
      </c>
      <c r="E377" s="313">
        <v>0.15</v>
      </c>
      <c r="F377" s="313">
        <v>0.14000000000000001</v>
      </c>
      <c r="G377" s="315">
        <v>0.15</v>
      </c>
    </row>
    <row r="378" spans="1:7">
      <c r="A378" s="318" t="s">
        <v>300</v>
      </c>
      <c r="B378" s="304" t="s">
        <v>2627</v>
      </c>
      <c r="C378" s="305">
        <v>0.15</v>
      </c>
      <c r="D378" s="305">
        <v>0.15</v>
      </c>
      <c r="E378" s="305">
        <v>0.15</v>
      </c>
      <c r="F378" s="305">
        <v>0.107</v>
      </c>
      <c r="G378" s="306">
        <v>0.15</v>
      </c>
    </row>
    <row r="379" spans="1:7">
      <c r="A379" s="319" t="s">
        <v>300</v>
      </c>
      <c r="B379" s="308" t="s">
        <v>2628</v>
      </c>
      <c r="C379" s="309">
        <v>0.15</v>
      </c>
      <c r="D379" s="309">
        <v>0.15</v>
      </c>
      <c r="E379" s="309">
        <v>0.15</v>
      </c>
      <c r="F379" s="309">
        <v>0.115</v>
      </c>
      <c r="G379" s="310">
        <v>0.14899999999999999</v>
      </c>
    </row>
    <row r="380" spans="1:7">
      <c r="A380" s="319" t="s">
        <v>300</v>
      </c>
      <c r="B380" s="308" t="s">
        <v>2629</v>
      </c>
      <c r="C380" s="309">
        <v>0.15</v>
      </c>
      <c r="D380" s="309">
        <v>0.15</v>
      </c>
      <c r="E380" s="309">
        <v>0.15</v>
      </c>
      <c r="F380" s="309">
        <v>0.1</v>
      </c>
      <c r="G380" s="310">
        <v>0.14799999999999999</v>
      </c>
    </row>
    <row r="381" spans="1:7">
      <c r="A381" s="319" t="s">
        <v>300</v>
      </c>
      <c r="B381" s="308" t="s">
        <v>2630</v>
      </c>
      <c r="C381" s="309">
        <v>0.15</v>
      </c>
      <c r="D381" s="309">
        <v>0.15</v>
      </c>
      <c r="E381" s="309">
        <v>0.15</v>
      </c>
      <c r="F381" s="309">
        <v>0.126</v>
      </c>
      <c r="G381" s="310">
        <v>0.15</v>
      </c>
    </row>
    <row r="382" spans="1:7">
      <c r="A382" s="319" t="s">
        <v>300</v>
      </c>
      <c r="B382" s="308" t="s">
        <v>2631</v>
      </c>
      <c r="C382" s="309">
        <v>0.15</v>
      </c>
      <c r="D382" s="309">
        <v>0.15</v>
      </c>
      <c r="E382" s="309">
        <v>0.15</v>
      </c>
      <c r="F382" s="309">
        <v>0.15</v>
      </c>
      <c r="G382" s="310">
        <v>0.15</v>
      </c>
    </row>
    <row r="383" spans="1:7">
      <c r="A383" s="319" t="s">
        <v>300</v>
      </c>
      <c r="B383" s="308" t="s">
        <v>2632</v>
      </c>
      <c r="C383" s="309">
        <v>0.15</v>
      </c>
      <c r="D383" s="309">
        <v>0.15</v>
      </c>
      <c r="E383" s="309">
        <v>0.15</v>
      </c>
      <c r="F383" s="309">
        <v>0.14699999999999999</v>
      </c>
      <c r="G383" s="310">
        <v>0.15</v>
      </c>
    </row>
    <row r="384" spans="1:7">
      <c r="A384" s="329" t="s">
        <v>300</v>
      </c>
      <c r="B384" s="330" t="s">
        <v>2633</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ht="14.25">
      <c r="A1" s="3486" t="s">
        <v>2634</v>
      </c>
      <c r="B1" s="3486"/>
      <c r="C1" s="3486"/>
      <c r="D1" s="3486"/>
      <c r="E1" s="3486"/>
      <c r="F1" s="3487"/>
    </row>
    <row r="2" spans="1:6" ht="14.25">
      <c r="A2" s="292" t="s">
        <v>2635</v>
      </c>
    </row>
    <row r="3" spans="1:6" ht="14.25">
      <c r="A3" s="292" t="s">
        <v>2636</v>
      </c>
      <c r="F3" s="293" t="s">
        <v>2637</v>
      </c>
    </row>
    <row r="4" spans="1:6">
      <c r="A4" s="294" t="s">
        <v>404</v>
      </c>
      <c r="B4" s="294" t="s">
        <v>1930</v>
      </c>
      <c r="C4" s="294" t="s">
        <v>1931</v>
      </c>
      <c r="D4" s="294" t="s">
        <v>2638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2639</v>
      </c>
      <c r="C1" s="228"/>
      <c r="D1" s="228"/>
      <c r="E1" s="228"/>
      <c r="F1" s="228"/>
      <c r="G1" s="228"/>
      <c r="H1" s="228"/>
      <c r="I1" s="228"/>
      <c r="J1" s="246"/>
      <c r="K1" s="228" t="s">
        <v>2640</v>
      </c>
      <c r="L1" s="228"/>
      <c r="M1" s="228"/>
      <c r="N1" s="228"/>
      <c r="O1" s="228"/>
      <c r="P1" s="228"/>
      <c r="Q1" s="246"/>
      <c r="R1" s="3488" t="s">
        <v>2641</v>
      </c>
      <c r="S1" s="3489"/>
      <c r="T1" s="3489"/>
      <c r="U1" s="3489"/>
      <c r="V1" s="3489"/>
      <c r="W1" s="3489"/>
      <c r="X1" s="246"/>
      <c r="Y1" s="3488" t="s">
        <v>2642</v>
      </c>
      <c r="Z1" s="3489"/>
      <c r="AA1" s="3489"/>
      <c r="AB1" s="3489"/>
      <c r="AC1" s="3489"/>
      <c r="AD1" s="3489"/>
    </row>
    <row r="2" spans="1:44" s="104" customFormat="1">
      <c r="B2" s="229"/>
      <c r="C2" s="230"/>
      <c r="D2" s="113" t="s">
        <v>2643</v>
      </c>
      <c r="E2" s="114" t="s">
        <v>1930</v>
      </c>
      <c r="F2" s="114" t="s">
        <v>1931</v>
      </c>
      <c r="G2" s="114" t="s">
        <v>412</v>
      </c>
      <c r="H2" s="114" t="s">
        <v>408</v>
      </c>
      <c r="I2" s="114" t="s">
        <v>280</v>
      </c>
      <c r="J2" s="247"/>
      <c r="K2" s="113" t="s">
        <v>2643</v>
      </c>
      <c r="L2" s="114" t="s">
        <v>1930</v>
      </c>
      <c r="M2" s="114" t="s">
        <v>1931</v>
      </c>
      <c r="N2" s="114" t="s">
        <v>412</v>
      </c>
      <c r="O2" s="114" t="s">
        <v>408</v>
      </c>
      <c r="P2" s="114" t="s">
        <v>280</v>
      </c>
      <c r="Q2" s="247"/>
      <c r="R2" s="113" t="s">
        <v>2643</v>
      </c>
      <c r="S2" s="114" t="s">
        <v>1930</v>
      </c>
      <c r="T2" s="114" t="s">
        <v>1931</v>
      </c>
      <c r="U2" s="114" t="s">
        <v>412</v>
      </c>
      <c r="V2" s="114" t="s">
        <v>408</v>
      </c>
      <c r="W2" s="114" t="s">
        <v>280</v>
      </c>
      <c r="X2" s="247"/>
      <c r="Y2" s="113" t="s">
        <v>2643</v>
      </c>
      <c r="Z2" s="114" t="s">
        <v>1930</v>
      </c>
      <c r="AA2" s="114" t="s">
        <v>1931</v>
      </c>
      <c r="AB2" s="114" t="s">
        <v>412</v>
      </c>
      <c r="AC2" s="114" t="s">
        <v>408</v>
      </c>
      <c r="AD2" s="114" t="s">
        <v>280</v>
      </c>
      <c r="AF2" t="s">
        <v>2643</v>
      </c>
      <c r="AG2" t="s">
        <v>1930</v>
      </c>
      <c r="AH2" t="s">
        <v>1931</v>
      </c>
      <c r="AI2" t="s">
        <v>412</v>
      </c>
      <c r="AJ2" t="s">
        <v>408</v>
      </c>
      <c r="AK2" t="s">
        <v>280</v>
      </c>
      <c r="AM2" t="s">
        <v>2643</v>
      </c>
      <c r="AN2" t="s">
        <v>1930</v>
      </c>
      <c r="AO2" t="s">
        <v>1931</v>
      </c>
      <c r="AP2" t="s">
        <v>412</v>
      </c>
      <c r="AQ2" t="s">
        <v>408</v>
      </c>
      <c r="AR2" t="s">
        <v>280</v>
      </c>
    </row>
    <row r="3" spans="1:44" s="223" customFormat="1" ht="12.75">
      <c r="A3" s="231" t="s">
        <v>2644</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2646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2647</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2648</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2650</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2651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2652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2653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2654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2655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2656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2657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2658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2659</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2660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2661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2662</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2663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2664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2665</v>
      </c>
    </row>
    <row r="27" spans="1:44">
      <c r="I27" s="262" t="s">
        <v>1492</v>
      </c>
    </row>
    <row r="29" spans="1:44" s="103" customFormat="1" ht="12.75">
      <c r="B29" s="227" t="s">
        <v>2666</v>
      </c>
      <c r="C29" s="228"/>
      <c r="D29" s="228"/>
      <c r="E29" s="228"/>
      <c r="F29" s="228"/>
      <c r="G29" s="228"/>
      <c r="H29" s="228"/>
      <c r="I29" s="228"/>
      <c r="J29" s="246"/>
      <c r="K29" s="228" t="s">
        <v>2640</v>
      </c>
      <c r="L29" s="228"/>
      <c r="M29" s="228"/>
      <c r="N29" s="228"/>
      <c r="O29" s="228"/>
      <c r="P29" s="228"/>
      <c r="Q29" s="246"/>
      <c r="R29" s="3488" t="s">
        <v>2641</v>
      </c>
      <c r="S29" s="3489"/>
      <c r="T29" s="3489"/>
      <c r="U29" s="3489"/>
      <c r="V29" s="3489"/>
      <c r="W29" s="3489"/>
      <c r="X29" s="246"/>
      <c r="Y29" s="3488" t="s">
        <v>2642</v>
      </c>
      <c r="Z29" s="3489"/>
      <c r="AA29" s="3489"/>
      <c r="AB29" s="3489"/>
      <c r="AC29" s="3489"/>
      <c r="AD29" s="3489"/>
    </row>
    <row r="30" spans="1:44" s="104" customFormat="1">
      <c r="B30" s="229"/>
      <c r="C30" s="230"/>
      <c r="D30" s="113" t="s">
        <v>2643</v>
      </c>
      <c r="E30" s="114" t="s">
        <v>1930</v>
      </c>
      <c r="F30" s="114" t="s">
        <v>1931</v>
      </c>
      <c r="G30" s="114" t="s">
        <v>412</v>
      </c>
      <c r="H30" s="114"/>
      <c r="I30" s="114" t="s">
        <v>280</v>
      </c>
      <c r="J30" s="247"/>
      <c r="K30" s="113" t="s">
        <v>2643</v>
      </c>
      <c r="L30" s="114" t="s">
        <v>1930</v>
      </c>
      <c r="M30" s="114" t="s">
        <v>1931</v>
      </c>
      <c r="N30" s="114" t="s">
        <v>412</v>
      </c>
      <c r="O30" s="114"/>
      <c r="P30" s="114" t="s">
        <v>280</v>
      </c>
      <c r="Q30" s="247"/>
      <c r="R30" s="113" t="s">
        <v>2643</v>
      </c>
      <c r="S30" s="114" t="s">
        <v>1930</v>
      </c>
      <c r="T30" s="114" t="s">
        <v>1931</v>
      </c>
      <c r="U30" s="114" t="s">
        <v>412</v>
      </c>
      <c r="V30" s="114"/>
      <c r="W30" s="114" t="s">
        <v>280</v>
      </c>
      <c r="X30" s="247"/>
      <c r="Y30" s="113" t="s">
        <v>2643</v>
      </c>
      <c r="Z30" s="114" t="s">
        <v>1930</v>
      </c>
      <c r="AA30" s="114" t="s">
        <v>1931</v>
      </c>
      <c r="AB30" s="114" t="s">
        <v>412</v>
      </c>
      <c r="AC30" s="114"/>
      <c r="AD30" s="114" t="s">
        <v>280</v>
      </c>
      <c r="AG30" t="s">
        <v>1930</v>
      </c>
      <c r="AH30" t="s">
        <v>1931</v>
      </c>
      <c r="AI30" t="s">
        <v>412</v>
      </c>
      <c r="AJ30"/>
      <c r="AK30" t="s">
        <v>280</v>
      </c>
      <c r="AN30" t="s">
        <v>1930</v>
      </c>
      <c r="AO30" t="s">
        <v>1931</v>
      </c>
      <c r="AP30" t="s">
        <v>412</v>
      </c>
      <c r="AQ30"/>
      <c r="AR30" t="s">
        <v>280</v>
      </c>
    </row>
    <row r="31" spans="1:44" s="223" customFormat="1" ht="12.75">
      <c r="A31" s="231" t="s">
        <v>2644</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2646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2647</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2649</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2650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2651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2652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2653</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2654</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2655</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2656</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2657</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2658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2659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2660</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2661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2662</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2663</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2664</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2667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0" t="s">
        <v>2668</v>
      </c>
      <c r="C1" s="3490"/>
      <c r="D1" s="3490"/>
      <c r="E1" s="3490"/>
      <c r="F1" s="3490"/>
      <c r="G1" s="3489" t="s">
        <v>2669</v>
      </c>
      <c r="H1" s="3489"/>
      <c r="I1" s="3489"/>
      <c r="J1" s="3489"/>
      <c r="K1" s="3489"/>
      <c r="L1" s="3489"/>
      <c r="N1" s="3489" t="s">
        <v>2640</v>
      </c>
      <c r="O1" s="3489"/>
      <c r="P1" s="3489"/>
      <c r="Q1" s="3489"/>
      <c r="S1" s="3489" t="s">
        <v>2670</v>
      </c>
      <c r="T1" s="3489"/>
      <c r="U1" s="3489"/>
      <c r="V1" s="3489"/>
      <c r="X1" s="3488" t="s">
        <v>2641</v>
      </c>
      <c r="Y1" s="3489"/>
      <c r="Z1" s="3489"/>
      <c r="AA1" s="3489"/>
      <c r="AB1" s="3489"/>
      <c r="AD1" s="3488" t="s">
        <v>2642</v>
      </c>
      <c r="AE1" s="3489"/>
      <c r="AF1" s="3489"/>
      <c r="AG1" s="3489"/>
      <c r="AH1" s="3489"/>
    </row>
    <row r="2" spans="1:34" s="104" customFormat="1" ht="13.5">
      <c r="B2" s="113" t="s">
        <v>435</v>
      </c>
      <c r="C2" s="113" t="s">
        <v>2671</v>
      </c>
      <c r="D2" s="114" t="s">
        <v>1931</v>
      </c>
      <c r="E2" s="114" t="s">
        <v>412</v>
      </c>
      <c r="F2" s="113" t="s">
        <v>2672</v>
      </c>
      <c r="G2" s="115"/>
      <c r="I2" s="113" t="s">
        <v>435</v>
      </c>
      <c r="J2" s="114" t="s">
        <v>1940</v>
      </c>
      <c r="K2" s="114" t="s">
        <v>412</v>
      </c>
      <c r="L2" s="113" t="s">
        <v>2672</v>
      </c>
      <c r="N2" s="113" t="s">
        <v>435</v>
      </c>
      <c r="O2" s="114" t="s">
        <v>1940</v>
      </c>
      <c r="P2" s="114" t="s">
        <v>412</v>
      </c>
      <c r="Q2" s="113" t="s">
        <v>2672</v>
      </c>
      <c r="S2" s="113" t="s">
        <v>435</v>
      </c>
      <c r="T2" s="114" t="s">
        <v>1940</v>
      </c>
      <c r="U2" s="114" t="s">
        <v>412</v>
      </c>
      <c r="V2" s="113" t="s">
        <v>2672</v>
      </c>
      <c r="X2" s="113" t="s">
        <v>435</v>
      </c>
      <c r="Y2" s="113" t="s">
        <v>2671</v>
      </c>
      <c r="Z2" s="114" t="s">
        <v>1931</v>
      </c>
      <c r="AA2" s="114" t="s">
        <v>412</v>
      </c>
      <c r="AB2" s="113" t="s">
        <v>2672</v>
      </c>
      <c r="AD2" s="113" t="s">
        <v>435</v>
      </c>
      <c r="AE2" s="113" t="s">
        <v>2671</v>
      </c>
      <c r="AF2" s="114" t="s">
        <v>1931</v>
      </c>
      <c r="AG2" s="114" t="s">
        <v>412</v>
      </c>
      <c r="AH2" s="113" t="s">
        <v>2672</v>
      </c>
    </row>
    <row r="3" spans="1:34" s="105" customFormat="1" ht="14.25">
      <c r="A3" s="116" t="s">
        <v>2644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2657</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2658</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2659</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2660</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2661</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2662</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2663</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2664</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2686</v>
      </c>
      <c r="B25" s="131">
        <v>439</v>
      </c>
      <c r="C25" s="131">
        <v>327</v>
      </c>
      <c r="D25" s="131">
        <f t="shared" si="217"/>
        <v>327</v>
      </c>
      <c r="E25" s="131">
        <v>627</v>
      </c>
      <c r="F25" s="132">
        <v>283</v>
      </c>
      <c r="G25" s="349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2688</v>
      </c>
      <c r="B27" s="124">
        <f t="shared" si="232"/>
        <v>419.31181600000002</v>
      </c>
      <c r="C27" s="124">
        <f t="shared" si="233"/>
        <v>313.95436799999999</v>
      </c>
      <c r="D27" s="124">
        <f t="shared" si="234"/>
        <v>313.95436799999999</v>
      </c>
      <c r="E27" s="124">
        <f t="shared" si="235"/>
        <v>596.63028431999999</v>
      </c>
      <c r="F27" s="124">
        <f t="shared" si="236"/>
        <v>274.74220703999998</v>
      </c>
      <c r="G27" s="349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2689</v>
      </c>
      <c r="B28" s="124">
        <f t="shared" si="232"/>
        <v>405.524</v>
      </c>
      <c r="C28" s="124">
        <f t="shared" si="233"/>
        <v>307.79840000000002</v>
      </c>
      <c r="D28" s="124">
        <f t="shared" si="234"/>
        <v>307.79840000000002</v>
      </c>
      <c r="E28" s="124">
        <f t="shared" si="235"/>
        <v>574.67759999999998</v>
      </c>
      <c r="F28" s="124">
        <f t="shared" si="236"/>
        <v>270.20280000000002</v>
      </c>
      <c r="G28" s="349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2690</v>
      </c>
      <c r="B29" s="131">
        <v>392</v>
      </c>
      <c r="C29" s="131">
        <v>302</v>
      </c>
      <c r="D29" s="131">
        <f t="shared" si="234"/>
        <v>302</v>
      </c>
      <c r="E29" s="131">
        <v>553</v>
      </c>
      <c r="F29" s="132">
        <v>266</v>
      </c>
      <c r="G29" s="349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2692</v>
      </c>
      <c r="B31" s="124">
        <f t="shared" si="245"/>
        <v>360.06949782209398</v>
      </c>
      <c r="C31" s="124">
        <f t="shared" si="245"/>
        <v>289.84672674747799</v>
      </c>
      <c r="D31" s="124">
        <f t="shared" si="246"/>
        <v>289.84672674747799</v>
      </c>
      <c r="E31" s="124">
        <f t="shared" si="247"/>
        <v>501.06543001181501</v>
      </c>
      <c r="F31" s="124">
        <f t="shared" si="247"/>
        <v>256.82882500745001</v>
      </c>
      <c r="G31" s="349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2693</v>
      </c>
      <c r="B32" s="124">
        <f t="shared" si="245"/>
        <v>346.720748986128</v>
      </c>
      <c r="C32" s="124">
        <f t="shared" si="245"/>
        <v>284.30282172386302</v>
      </c>
      <c r="D32" s="124">
        <f t="shared" si="246"/>
        <v>284.30282172386302</v>
      </c>
      <c r="E32" s="124">
        <f t="shared" si="247"/>
        <v>479.58023546306902</v>
      </c>
      <c r="F32" s="124">
        <f t="shared" si="247"/>
        <v>253.25788877571199</v>
      </c>
      <c r="G32" s="349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2694</v>
      </c>
      <c r="B33" s="131">
        <v>333</v>
      </c>
      <c r="C33" s="131">
        <v>277</v>
      </c>
      <c r="D33" s="131">
        <f t="shared" si="246"/>
        <v>277</v>
      </c>
      <c r="E33" s="131">
        <v>459</v>
      </c>
      <c r="F33" s="132">
        <v>249</v>
      </c>
      <c r="G33" s="349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2696</v>
      </c>
      <c r="B35" s="124">
        <f t="shared" si="249"/>
        <v>322.34053690220799</v>
      </c>
      <c r="C35" s="124">
        <f t="shared" si="249"/>
        <v>271.461607704225</v>
      </c>
      <c r="D35" s="124">
        <f t="shared" si="246"/>
        <v>271.461607704225</v>
      </c>
      <c r="E35" s="124">
        <f t="shared" si="250"/>
        <v>442.69434542172502</v>
      </c>
      <c r="F35" s="124">
        <f t="shared" si="250"/>
        <v>241.34030753190899</v>
      </c>
      <c r="G35" s="349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2697</v>
      </c>
      <c r="B36" s="124">
        <f t="shared" si="249"/>
        <v>319.87748030386803</v>
      </c>
      <c r="C36" s="124">
        <f t="shared" si="249"/>
        <v>269.60135833173598</v>
      </c>
      <c r="D36" s="124">
        <f t="shared" si="246"/>
        <v>269.60135833173598</v>
      </c>
      <c r="E36" s="124">
        <f t="shared" si="250"/>
        <v>439.18089823583801</v>
      </c>
      <c r="F36" s="124">
        <f t="shared" si="250"/>
        <v>239.23503918706299</v>
      </c>
      <c r="G36" s="349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2698</v>
      </c>
      <c r="B37" s="136">
        <v>318</v>
      </c>
      <c r="C37" s="136">
        <v>268</v>
      </c>
      <c r="D37" s="136">
        <f t="shared" si="246"/>
        <v>268</v>
      </c>
      <c r="E37" s="136">
        <v>437</v>
      </c>
      <c r="F37" s="137">
        <v>237</v>
      </c>
      <c r="G37" s="349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2700</v>
      </c>
      <c r="B39" s="124">
        <f t="shared" si="251"/>
        <v>314.721411723865</v>
      </c>
      <c r="C39" s="124">
        <f t="shared" si="251"/>
        <v>263.03901319069001</v>
      </c>
      <c r="D39" s="124">
        <f t="shared" si="246"/>
        <v>263.03901319069001</v>
      </c>
      <c r="E39" s="124">
        <f t="shared" si="252"/>
        <v>433.65745506782798</v>
      </c>
      <c r="F39" s="124">
        <f t="shared" si="252"/>
        <v>233.23005080045701</v>
      </c>
      <c r="G39" s="349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2701</v>
      </c>
      <c r="B40" s="140">
        <f t="shared" si="251"/>
        <v>307.34512863658699</v>
      </c>
      <c r="C40" s="140">
        <f t="shared" si="251"/>
        <v>257.80556031626998</v>
      </c>
      <c r="D40" s="140">
        <f t="shared" si="246"/>
        <v>257.80556031626998</v>
      </c>
      <c r="E40" s="140">
        <f t="shared" si="252"/>
        <v>422.70928459677202</v>
      </c>
      <c r="F40" s="140">
        <f t="shared" si="252"/>
        <v>229.738032703366</v>
      </c>
      <c r="G40" s="349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2702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2703</v>
      </c>
      <c r="B41" s="131">
        <v>299</v>
      </c>
      <c r="C41" s="131">
        <v>252</v>
      </c>
      <c r="D41" s="131">
        <f t="shared" si="246"/>
        <v>252</v>
      </c>
      <c r="E41" s="131">
        <v>409</v>
      </c>
      <c r="F41" s="132">
        <v>227</v>
      </c>
      <c r="G41" s="349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49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2705</v>
      </c>
      <c r="B43" s="124">
        <f t="shared" si="255"/>
        <v>288.264905382878</v>
      </c>
      <c r="C43" s="124">
        <f t="shared" si="255"/>
        <v>243.64564425013299</v>
      </c>
      <c r="D43" s="124">
        <f t="shared" si="246"/>
        <v>243.64564425013299</v>
      </c>
      <c r="E43" s="124">
        <f t="shared" si="256"/>
        <v>393.31080825986498</v>
      </c>
      <c r="F43" s="124">
        <f t="shared" si="256"/>
        <v>223.079037905512</v>
      </c>
      <c r="G43" s="349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2706</v>
      </c>
      <c r="B44" s="124">
        <f t="shared" si="255"/>
        <v>282.50186729015797</v>
      </c>
      <c r="C44" s="124">
        <f t="shared" si="255"/>
        <v>238.097961741555</v>
      </c>
      <c r="D44" s="124">
        <f t="shared" si="246"/>
        <v>238.097961741555</v>
      </c>
      <c r="E44" s="124">
        <f t="shared" si="256"/>
        <v>385.33438646014099</v>
      </c>
      <c r="F44" s="124">
        <f t="shared" si="256"/>
        <v>221.550340555677</v>
      </c>
      <c r="G44" s="349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2707</v>
      </c>
      <c r="B45" s="143">
        <v>278</v>
      </c>
      <c r="C45" s="143">
        <v>234</v>
      </c>
      <c r="D45" s="143">
        <f t="shared" si="246"/>
        <v>234</v>
      </c>
      <c r="E45" s="143">
        <v>379</v>
      </c>
      <c r="F45" s="144">
        <v>220</v>
      </c>
      <c r="G45" s="349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2708</v>
      </c>
      <c r="B46" s="124">
        <f>B45/(1+N45)</f>
        <v>275.49301357645402</v>
      </c>
      <c r="C46" s="124">
        <f>C45/(1+O45)</f>
        <v>232.41954707985701</v>
      </c>
      <c r="D46" s="124">
        <f t="shared" si="246"/>
        <v>232.41954707985701</v>
      </c>
      <c r="E46" s="124">
        <f t="shared" ref="E46:F48" si="257">E45/(1+P45)</f>
        <v>375.32184591008098</v>
      </c>
      <c r="F46" s="124">
        <f t="shared" si="257"/>
        <v>218.03766105054501</v>
      </c>
      <c r="G46" s="349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2709</v>
      </c>
      <c r="B47" s="124">
        <f>B46/(1+N46)</f>
        <v>275.24529281292303</v>
      </c>
      <c r="C47" s="124">
        <f>C46/(1+O46)</f>
        <v>231.74747938962699</v>
      </c>
      <c r="D47" s="124">
        <f t="shared" si="246"/>
        <v>231.74747938962699</v>
      </c>
      <c r="E47" s="124">
        <f t="shared" si="257"/>
        <v>375.35938184826603</v>
      </c>
      <c r="F47" s="124">
        <f t="shared" si="257"/>
        <v>216.78033510692501</v>
      </c>
      <c r="G47" s="349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2710</v>
      </c>
      <c r="B48" s="124">
        <f>B47/(1+N47)</f>
        <v>275.19025476196998</v>
      </c>
      <c r="C48" s="145">
        <v>232</v>
      </c>
      <c r="D48" s="145">
        <f t="shared" si="246"/>
        <v>232</v>
      </c>
      <c r="E48" s="124">
        <f t="shared" si="257"/>
        <v>375.65990977608698</v>
      </c>
      <c r="F48" s="124">
        <f t="shared" si="257"/>
        <v>214.12518283971301</v>
      </c>
      <c r="G48" s="349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2711</v>
      </c>
      <c r="B49" s="131">
        <v>275</v>
      </c>
      <c r="C49" s="131">
        <v>232</v>
      </c>
      <c r="D49" s="131">
        <f t="shared" si="246"/>
        <v>232</v>
      </c>
      <c r="E49" s="131">
        <v>376</v>
      </c>
      <c r="F49" s="132">
        <v>213</v>
      </c>
      <c r="G49" s="349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2712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2713</v>
      </c>
      <c r="B51" s="124">
        <f t="shared" si="258"/>
        <v>275.19335084830601</v>
      </c>
      <c r="C51" s="124">
        <f t="shared" si="258"/>
        <v>230.18088050139701</v>
      </c>
      <c r="D51" s="124">
        <f t="shared" si="246"/>
        <v>230.18088050139701</v>
      </c>
      <c r="E51" s="124">
        <f t="shared" si="259"/>
        <v>377.58482925212297</v>
      </c>
      <c r="F51" s="124">
        <f t="shared" si="259"/>
        <v>210.906879978479</v>
      </c>
      <c r="G51" s="349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2714</v>
      </c>
      <c r="B52" s="124">
        <f t="shared" si="258"/>
        <v>276.29854502841999</v>
      </c>
      <c r="C52" s="124">
        <f t="shared" si="258"/>
        <v>229.79023709833001</v>
      </c>
      <c r="D52" s="124">
        <f t="shared" si="246"/>
        <v>229.79023709833001</v>
      </c>
      <c r="E52" s="124">
        <f t="shared" si="259"/>
        <v>379.78759731655902</v>
      </c>
      <c r="F52" s="124">
        <f t="shared" si="259"/>
        <v>211.32953905659201</v>
      </c>
      <c r="G52" s="349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2715</v>
      </c>
      <c r="B53" s="131">
        <v>269</v>
      </c>
      <c r="C53" s="131">
        <v>221</v>
      </c>
      <c r="D53" s="131">
        <f t="shared" si="246"/>
        <v>221</v>
      </c>
      <c r="E53" s="131">
        <v>373</v>
      </c>
      <c r="F53" s="132">
        <v>196</v>
      </c>
      <c r="G53" s="349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2716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2717</v>
      </c>
      <c r="B55" s="124">
        <f t="shared" si="260"/>
        <v>242.95398227588399</v>
      </c>
      <c r="C55" s="124">
        <f t="shared" si="260"/>
        <v>199.591370536141</v>
      </c>
      <c r="D55" s="124">
        <f t="shared" si="246"/>
        <v>199.591370536141</v>
      </c>
      <c r="E55" s="124">
        <f t="shared" si="261"/>
        <v>335.92189522342102</v>
      </c>
      <c r="F55" s="124">
        <f t="shared" si="261"/>
        <v>183.101399911095</v>
      </c>
      <c r="G55" s="349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2718</v>
      </c>
      <c r="B56" s="124">
        <f t="shared" si="260"/>
        <v>232.06990378821601</v>
      </c>
      <c r="C56" s="124">
        <f t="shared" si="260"/>
        <v>192.74878854286899</v>
      </c>
      <c r="D56" s="124">
        <f t="shared" si="246"/>
        <v>192.74878854286899</v>
      </c>
      <c r="E56" s="124">
        <f t="shared" si="261"/>
        <v>319.71247284993001</v>
      </c>
      <c r="F56" s="124">
        <f t="shared" si="261"/>
        <v>175.670536228624</v>
      </c>
      <c r="G56" s="349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2719</v>
      </c>
      <c r="B57" s="131">
        <v>220</v>
      </c>
      <c r="C57" s="131">
        <v>187</v>
      </c>
      <c r="D57" s="131">
        <f t="shared" si="246"/>
        <v>187</v>
      </c>
      <c r="E57" s="131">
        <v>301</v>
      </c>
      <c r="F57" s="132">
        <v>168</v>
      </c>
      <c r="G57" s="349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2720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2721</v>
      </c>
      <c r="B59" s="124">
        <f t="shared" si="262"/>
        <v>210.630522469011</v>
      </c>
      <c r="C59" s="124">
        <f t="shared" si="262"/>
        <v>181.695678122472</v>
      </c>
      <c r="D59" s="124">
        <f t="shared" si="246"/>
        <v>181.695678122472</v>
      </c>
      <c r="E59" s="124">
        <f t="shared" si="263"/>
        <v>286.13517466736698</v>
      </c>
      <c r="F59" s="124">
        <f t="shared" si="263"/>
        <v>165.47535084591101</v>
      </c>
      <c r="G59" s="349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2722</v>
      </c>
      <c r="B60" s="124">
        <f t="shared" si="262"/>
        <v>208.834545378754</v>
      </c>
      <c r="C60" s="124">
        <f t="shared" si="262"/>
        <v>183.77230517090399</v>
      </c>
      <c r="D60" s="124">
        <f t="shared" si="246"/>
        <v>183.77230517090399</v>
      </c>
      <c r="E60" s="124">
        <f t="shared" si="263"/>
        <v>281.10342338870902</v>
      </c>
      <c r="F60" s="124">
        <f t="shared" si="263"/>
        <v>168.97309388942301</v>
      </c>
      <c r="G60" s="349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2723</v>
      </c>
      <c r="B61" s="143">
        <v>214</v>
      </c>
      <c r="C61" s="143">
        <v>188</v>
      </c>
      <c r="D61" s="143">
        <f t="shared" si="246"/>
        <v>188</v>
      </c>
      <c r="E61" s="143">
        <v>289</v>
      </c>
      <c r="F61" s="144">
        <v>166</v>
      </c>
      <c r="G61" s="349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2725</v>
      </c>
      <c r="B63" s="124">
        <f t="shared" si="264"/>
        <v>206.31694671589099</v>
      </c>
      <c r="C63" s="124">
        <f t="shared" si="264"/>
        <v>183.61041121036101</v>
      </c>
      <c r="D63" s="124">
        <f t="shared" si="246"/>
        <v>183.61041121036101</v>
      </c>
      <c r="E63" s="124">
        <f t="shared" si="265"/>
        <v>276.66850301795603</v>
      </c>
      <c r="F63" s="124">
        <f t="shared" si="265"/>
        <v>165.136093827861</v>
      </c>
      <c r="G63" s="349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2726</v>
      </c>
      <c r="B64" s="146">
        <f t="shared" si="264"/>
        <v>196.62341248059801</v>
      </c>
      <c r="C64" s="146">
        <f t="shared" si="264"/>
        <v>170.99125648199001</v>
      </c>
      <c r="D64" s="146">
        <f t="shared" si="246"/>
        <v>170.99125648199001</v>
      </c>
      <c r="E64" s="146">
        <f t="shared" si="265"/>
        <v>266.07857570490103</v>
      </c>
      <c r="F64" s="146">
        <f t="shared" si="265"/>
        <v>154.53499328828499</v>
      </c>
      <c r="G64" s="349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2727</v>
      </c>
      <c r="B65" s="131">
        <v>188</v>
      </c>
      <c r="C65" s="131">
        <v>165</v>
      </c>
      <c r="D65" s="131">
        <f t="shared" si="246"/>
        <v>165</v>
      </c>
      <c r="E65" s="131">
        <v>254</v>
      </c>
      <c r="F65" s="132">
        <v>148</v>
      </c>
      <c r="G65" s="349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2728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2729</v>
      </c>
      <c r="B67" s="124">
        <f t="shared" si="268"/>
        <v>168.820177487156</v>
      </c>
      <c r="C67" s="124">
        <f t="shared" si="268"/>
        <v>148.06267029972801</v>
      </c>
      <c r="D67" s="124">
        <f t="shared" si="246"/>
        <v>148.06267029972801</v>
      </c>
      <c r="E67" s="124">
        <f t="shared" si="269"/>
        <v>216.46288379323701</v>
      </c>
      <c r="F67" s="124">
        <f t="shared" si="269"/>
        <v>134.23529411764699</v>
      </c>
      <c r="G67" s="349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2730</v>
      </c>
      <c r="B68" s="124">
        <f t="shared" si="268"/>
        <v>163.849135917795</v>
      </c>
      <c r="C68" s="124">
        <f t="shared" si="268"/>
        <v>145.028337874659</v>
      </c>
      <c r="D68" s="124">
        <f t="shared" si="246"/>
        <v>145.028337874659</v>
      </c>
      <c r="E68" s="124">
        <f t="shared" si="269"/>
        <v>204.95180722891601</v>
      </c>
      <c r="F68" s="124">
        <f t="shared" si="269"/>
        <v>125.959203036053</v>
      </c>
      <c r="G68" s="349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2731</v>
      </c>
      <c r="B69" s="136">
        <v>159</v>
      </c>
      <c r="C69" s="136">
        <v>141</v>
      </c>
      <c r="D69" s="136">
        <f t="shared" si="246"/>
        <v>141</v>
      </c>
      <c r="E69" s="136">
        <v>195</v>
      </c>
      <c r="F69" s="137">
        <v>122</v>
      </c>
      <c r="G69" s="349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2732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2733</v>
      </c>
      <c r="B71" s="124">
        <f t="shared" si="272"/>
        <v>146.57412060301499</v>
      </c>
      <c r="C71" s="124">
        <f t="shared" si="272"/>
        <v>136.468319559229</v>
      </c>
      <c r="D71" s="124">
        <f t="shared" si="246"/>
        <v>136.468319559229</v>
      </c>
      <c r="E71" s="124">
        <f t="shared" si="273"/>
        <v>166.73864894795099</v>
      </c>
      <c r="F71" s="124">
        <f t="shared" si="273"/>
        <v>115.058823529412</v>
      </c>
      <c r="G71" s="349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2734</v>
      </c>
      <c r="B72" s="124">
        <f t="shared" si="272"/>
        <v>144.04145728643201</v>
      </c>
      <c r="C72" s="124">
        <f t="shared" si="272"/>
        <v>136.123966942149</v>
      </c>
      <c r="D72" s="124">
        <f t="shared" si="246"/>
        <v>136.123966942149</v>
      </c>
      <c r="E72" s="124">
        <f t="shared" si="273"/>
        <v>158.32225913621301</v>
      </c>
      <c r="F72" s="124">
        <f t="shared" si="273"/>
        <v>114.04278074866301</v>
      </c>
      <c r="G72" s="349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2735</v>
      </c>
      <c r="B73" s="136">
        <v>138</v>
      </c>
      <c r="C73" s="136">
        <v>131</v>
      </c>
      <c r="D73" s="136">
        <f t="shared" si="246"/>
        <v>131</v>
      </c>
      <c r="E73" s="136">
        <v>155</v>
      </c>
      <c r="F73" s="137">
        <v>114</v>
      </c>
      <c r="G73" s="349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2736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2737</v>
      </c>
      <c r="B75" s="124">
        <f t="shared" si="276"/>
        <v>124.290322580645</v>
      </c>
      <c r="C75" s="124">
        <f t="shared" si="276"/>
        <v>123.896860986547</v>
      </c>
      <c r="D75" s="124">
        <f t="shared" si="246"/>
        <v>123.896860986547</v>
      </c>
      <c r="E75" s="124">
        <f t="shared" si="277"/>
        <v>138.005076142132</v>
      </c>
      <c r="F75" s="124">
        <f t="shared" si="277"/>
        <v>107.96106557377</v>
      </c>
      <c r="G75" s="349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2738</v>
      </c>
      <c r="B76" s="124">
        <f t="shared" si="276"/>
        <v>122.57204301075301</v>
      </c>
      <c r="C76" s="124">
        <f t="shared" si="276"/>
        <v>123.493273542601</v>
      </c>
      <c r="D76" s="124">
        <f t="shared" si="246"/>
        <v>123.493273542601</v>
      </c>
      <c r="E76" s="124">
        <f t="shared" si="277"/>
        <v>129.82233502538099</v>
      </c>
      <c r="F76" s="124">
        <f t="shared" si="277"/>
        <v>107.39446721311501</v>
      </c>
      <c r="G76" s="349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2739</v>
      </c>
      <c r="B77" s="143">
        <v>121</v>
      </c>
      <c r="C77" s="143">
        <v>122</v>
      </c>
      <c r="D77" s="143">
        <f t="shared" si="246"/>
        <v>122</v>
      </c>
      <c r="E77" s="143">
        <v>124</v>
      </c>
      <c r="F77" s="144">
        <v>107</v>
      </c>
      <c r="G77" s="349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2740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2741</v>
      </c>
      <c r="B79" s="124">
        <f t="shared" si="280"/>
        <v>116.99099099099099</v>
      </c>
      <c r="C79" s="124">
        <f t="shared" si="280"/>
        <v>118.848484848485</v>
      </c>
      <c r="D79" s="124">
        <f t="shared" si="246"/>
        <v>118.848484848485</v>
      </c>
      <c r="E79" s="124">
        <f t="shared" si="281"/>
        <v>117.60960960961</v>
      </c>
      <c r="F79" s="124">
        <f t="shared" si="281"/>
        <v>104</v>
      </c>
      <c r="G79" s="349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2742</v>
      </c>
      <c r="B80" s="146">
        <f t="shared" si="280"/>
        <v>112.486486486486</v>
      </c>
      <c r="C80" s="146">
        <f t="shared" si="280"/>
        <v>115.212121212121</v>
      </c>
      <c r="D80" s="146">
        <f t="shared" si="246"/>
        <v>115.212121212121</v>
      </c>
      <c r="E80" s="146">
        <f t="shared" si="281"/>
        <v>110.402402402402</v>
      </c>
      <c r="F80" s="146">
        <f t="shared" si="281"/>
        <v>104</v>
      </c>
      <c r="G80" s="349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2743</v>
      </c>
      <c r="B81" s="191">
        <v>111</v>
      </c>
      <c r="C81" s="191">
        <v>114</v>
      </c>
      <c r="D81" s="191">
        <f t="shared" si="246"/>
        <v>114</v>
      </c>
      <c r="E81" s="191">
        <v>108</v>
      </c>
      <c r="F81" s="192">
        <v>104</v>
      </c>
      <c r="G81" s="3495">
        <v>2003</v>
      </c>
      <c r="H81" s="190">
        <v>4</v>
      </c>
      <c r="I81" s="210"/>
      <c r="J81" s="210"/>
      <c r="K81" s="210"/>
      <c r="L81" s="210"/>
      <c r="N81" s="211"/>
      <c r="O81" s="210"/>
      <c r="P81" s="210"/>
      <c r="Q81" s="210"/>
      <c r="S81" s="211"/>
      <c r="T81" s="210"/>
      <c r="U81" s="210"/>
      <c r="V81" s="210"/>
      <c r="X81" s="216"/>
      <c r="Y81" s="216"/>
      <c r="Z81" s="216"/>
    </row>
    <row r="82" spans="1:26">
      <c r="A82" s="123" t="s">
        <v>2744</v>
      </c>
      <c r="B82" s="193">
        <f t="shared" ref="B82:C84" si="282">B83+(B$81-B$85)/4</f>
        <v>109.75</v>
      </c>
      <c r="C82" s="193">
        <f t="shared" si="282"/>
        <v>112.25</v>
      </c>
      <c r="D82" s="193">
        <f t="shared" si="246"/>
        <v>112.25</v>
      </c>
      <c r="E82" s="193">
        <f t="shared" ref="E82:F84" si="283">E83+(E$81-E$85)/4</f>
        <v>107.25</v>
      </c>
      <c r="F82" s="193">
        <f t="shared" si="283"/>
        <v>103.5</v>
      </c>
      <c r="G82" s="3491">
        <v>2003</v>
      </c>
      <c r="H82" s="135">
        <v>3</v>
      </c>
      <c r="I82" s="210"/>
      <c r="J82" s="210"/>
      <c r="K82" s="210"/>
      <c r="L82" s="210"/>
      <c r="X82" s="216"/>
      <c r="Y82" s="216"/>
      <c r="Z82" s="216"/>
    </row>
    <row r="83" spans="1:26">
      <c r="A83" s="123" t="s">
        <v>2745</v>
      </c>
      <c r="B83" s="193">
        <f t="shared" si="282"/>
        <v>108.5</v>
      </c>
      <c r="C83" s="193">
        <f t="shared" si="282"/>
        <v>110.5</v>
      </c>
      <c r="D83" s="193">
        <f t="shared" si="246"/>
        <v>110.5</v>
      </c>
      <c r="E83" s="193">
        <f t="shared" si="283"/>
        <v>106.5</v>
      </c>
      <c r="F83" s="193">
        <f t="shared" si="283"/>
        <v>103</v>
      </c>
      <c r="G83" s="3491">
        <v>2003</v>
      </c>
      <c r="H83" s="133">
        <v>2</v>
      </c>
      <c r="I83" s="210"/>
      <c r="J83" s="210"/>
      <c r="K83" s="210"/>
      <c r="L83" s="210"/>
      <c r="X83" s="216"/>
      <c r="Y83" s="216"/>
      <c r="Z83" s="216"/>
    </row>
    <row r="84" spans="1:26">
      <c r="A84" s="123" t="s">
        <v>2746</v>
      </c>
      <c r="B84" s="193">
        <f t="shared" si="282"/>
        <v>107.25</v>
      </c>
      <c r="C84" s="193">
        <f t="shared" si="282"/>
        <v>108.75</v>
      </c>
      <c r="D84" s="193">
        <f t="shared" si="246"/>
        <v>108.75</v>
      </c>
      <c r="E84" s="193">
        <f t="shared" si="283"/>
        <v>105.75</v>
      </c>
      <c r="F84" s="193">
        <f t="shared" si="283"/>
        <v>102.5</v>
      </c>
      <c r="G84" s="3494">
        <v>2003</v>
      </c>
      <c r="H84" s="194">
        <v>1</v>
      </c>
      <c r="I84" s="210"/>
      <c r="J84" s="210"/>
      <c r="K84" s="210"/>
      <c r="L84" s="210"/>
      <c r="S84" s="152"/>
      <c r="T84" s="153"/>
      <c r="U84" s="153"/>
      <c r="X84" s="216"/>
      <c r="Y84" s="216"/>
      <c r="Z84" s="216"/>
    </row>
    <row r="85" spans="1:26">
      <c r="A85" s="123" t="s">
        <v>2747</v>
      </c>
      <c r="B85" s="195">
        <v>106</v>
      </c>
      <c r="C85" s="195">
        <v>107</v>
      </c>
      <c r="D85" s="195">
        <f t="shared" si="246"/>
        <v>107</v>
      </c>
      <c r="E85" s="195">
        <v>105</v>
      </c>
      <c r="F85" s="196">
        <v>102</v>
      </c>
      <c r="G85" s="3495">
        <v>2002</v>
      </c>
      <c r="H85" s="134">
        <v>4</v>
      </c>
      <c r="I85" s="210"/>
      <c r="J85" s="210"/>
      <c r="K85" s="210"/>
      <c r="L85" s="210"/>
      <c r="N85" s="211"/>
      <c r="O85" s="210"/>
      <c r="P85" s="210"/>
      <c r="Q85" s="210"/>
      <c r="S85" s="211"/>
      <c r="T85" s="210"/>
      <c r="U85" s="210"/>
      <c r="V85" s="210"/>
      <c r="X85" s="216"/>
      <c r="Y85" s="216"/>
      <c r="Z85" s="216"/>
    </row>
    <row r="86" spans="1:26">
      <c r="A86" s="123" t="s">
        <v>2748</v>
      </c>
      <c r="B86" s="193">
        <f t="shared" ref="B86:C88" si="284">B87+(B$85-B$89)/4</f>
        <v>105</v>
      </c>
      <c r="C86" s="193">
        <f t="shared" si="284"/>
        <v>106</v>
      </c>
      <c r="D86" s="193">
        <f t="shared" si="246"/>
        <v>106</v>
      </c>
      <c r="E86" s="193">
        <f t="shared" ref="E86:F88" si="285">E87+(E$85-E$89)/4</f>
        <v>104.5</v>
      </c>
      <c r="F86" s="193">
        <f t="shared" si="285"/>
        <v>101.5</v>
      </c>
      <c r="G86" s="3491">
        <v>2002</v>
      </c>
      <c r="H86" s="135">
        <v>3</v>
      </c>
      <c r="I86" s="210"/>
      <c r="J86" s="210"/>
      <c r="K86" s="210"/>
      <c r="L86" s="210"/>
      <c r="X86" s="216"/>
      <c r="Y86" s="216"/>
      <c r="Z86" s="216"/>
    </row>
    <row r="87" spans="1:26">
      <c r="A87" s="123" t="s">
        <v>2749</v>
      </c>
      <c r="B87" s="193">
        <f t="shared" si="284"/>
        <v>104</v>
      </c>
      <c r="C87" s="193">
        <f t="shared" si="284"/>
        <v>105</v>
      </c>
      <c r="D87" s="193">
        <f t="shared" si="246"/>
        <v>105</v>
      </c>
      <c r="E87" s="193">
        <f t="shared" si="285"/>
        <v>104</v>
      </c>
      <c r="F87" s="193">
        <f t="shared" si="285"/>
        <v>101</v>
      </c>
      <c r="G87" s="3491">
        <v>2002</v>
      </c>
      <c r="H87" s="133">
        <v>2</v>
      </c>
      <c r="I87" s="210"/>
      <c r="J87" s="210"/>
      <c r="K87" s="210"/>
      <c r="L87" s="210"/>
      <c r="X87" s="216"/>
      <c r="Y87" s="216"/>
      <c r="Z87" s="216"/>
    </row>
    <row r="88" spans="1:26" s="108" customFormat="1">
      <c r="A88" s="139" t="s">
        <v>2750</v>
      </c>
      <c r="B88" s="181">
        <f t="shared" si="284"/>
        <v>103</v>
      </c>
      <c r="C88" s="181">
        <f t="shared" si="284"/>
        <v>104</v>
      </c>
      <c r="D88" s="181">
        <f t="shared" si="246"/>
        <v>104</v>
      </c>
      <c r="E88" s="181">
        <f t="shared" si="285"/>
        <v>103.5</v>
      </c>
      <c r="F88" s="181">
        <f t="shared" si="285"/>
        <v>100.5</v>
      </c>
      <c r="G88" s="349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2751</v>
      </c>
      <c r="G91" s="202"/>
      <c r="N91" s="202"/>
      <c r="S91" s="202"/>
    </row>
    <row r="92" spans="1:26" s="110" customFormat="1">
      <c r="A92" s="110" t="s">
        <v>2752</v>
      </c>
      <c r="G92" s="202"/>
      <c r="N92" s="202"/>
      <c r="S92" s="202"/>
    </row>
    <row r="93" spans="1:26" s="110" customFormat="1">
      <c r="A93" s="110" t="s">
        <v>2753</v>
      </c>
      <c r="G93" s="202"/>
      <c r="I93" s="214"/>
      <c r="J93" s="214"/>
      <c r="K93" s="214"/>
      <c r="L93" s="214"/>
      <c r="N93" s="215"/>
      <c r="O93" s="214"/>
      <c r="P93" s="214"/>
      <c r="Q93" s="214"/>
      <c r="S93" s="215"/>
      <c r="T93" s="214"/>
      <c r="U93" s="214"/>
      <c r="V93" s="214"/>
    </row>
    <row r="94" spans="1:26" s="110" customFormat="1">
      <c r="A94" s="110" t="s">
        <v>2754</v>
      </c>
      <c r="G94" s="202"/>
      <c r="N94" s="202"/>
      <c r="S94" s="202"/>
    </row>
    <row r="102" spans="7:22">
      <c r="G102" s="111"/>
      <c r="S102" s="219" t="s">
        <v>2755</v>
      </c>
      <c r="T102" s="135" t="s">
        <v>2756</v>
      </c>
      <c r="U102" s="135" t="s">
        <v>2757</v>
      </c>
      <c r="V102" s="135" t="s">
        <v>2758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499" t="s">
        <v>2759</v>
      </c>
      <c r="B1" s="3499"/>
      <c r="C1" s="3499"/>
      <c r="D1" s="3499"/>
      <c r="E1" s="3499"/>
      <c r="F1" s="3499"/>
      <c r="G1" s="350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2760</v>
      </c>
      <c r="B2" s="75"/>
      <c r="C2" s="75"/>
      <c r="D2" s="75"/>
      <c r="E2" s="75"/>
      <c r="F2" s="75"/>
      <c r="G2" s="76" t="s">
        <v>2761</v>
      </c>
      <c r="I2" s="83" t="s">
        <v>2255</v>
      </c>
      <c r="J2" s="83" t="s">
        <v>2260</v>
      </c>
      <c r="K2" s="83" t="s">
        <v>2280</v>
      </c>
      <c r="L2" s="83" t="s">
        <v>2305</v>
      </c>
      <c r="M2" s="83" t="s">
        <v>2337</v>
      </c>
      <c r="N2" s="83" t="s">
        <v>2377</v>
      </c>
      <c r="O2" s="83" t="s">
        <v>2440</v>
      </c>
      <c r="P2" s="83" t="s">
        <v>2483</v>
      </c>
      <c r="Q2" s="83" t="s">
        <v>2526</v>
      </c>
      <c r="R2" s="83" t="s">
        <v>2576</v>
      </c>
      <c r="S2" s="83" t="s">
        <v>2607</v>
      </c>
      <c r="T2" s="83" t="s">
        <v>2627</v>
      </c>
    </row>
    <row r="3" spans="1:20" s="72" customFormat="1">
      <c r="A3" s="3501" t="s">
        <v>2253</v>
      </c>
      <c r="B3" s="77"/>
      <c r="C3" s="78" t="s">
        <v>1930</v>
      </c>
      <c r="D3" s="78" t="s">
        <v>1931</v>
      </c>
      <c r="E3" s="78" t="s">
        <v>412</v>
      </c>
      <c r="F3" s="78" t="s">
        <v>408</v>
      </c>
      <c r="G3" s="78" t="s">
        <v>280</v>
      </c>
      <c r="H3" s="79"/>
      <c r="I3" s="84" t="s">
        <v>2256</v>
      </c>
      <c r="J3" s="85" t="s">
        <v>2261</v>
      </c>
      <c r="K3" s="85" t="s">
        <v>2281</v>
      </c>
      <c r="L3" s="84" t="s">
        <v>2306</v>
      </c>
      <c r="M3" s="84" t="s">
        <v>2338</v>
      </c>
      <c r="N3" s="84" t="s">
        <v>2378</v>
      </c>
      <c r="O3" s="84" t="s">
        <v>2441</v>
      </c>
      <c r="P3" s="84" t="s">
        <v>2484</v>
      </c>
      <c r="Q3" s="84" t="s">
        <v>2527</v>
      </c>
      <c r="R3" s="84" t="s">
        <v>2577</v>
      </c>
      <c r="S3" s="84" t="s">
        <v>2608</v>
      </c>
      <c r="T3" s="84" t="s">
        <v>2628</v>
      </c>
    </row>
    <row r="4" spans="1:20" s="72" customFormat="1">
      <c r="A4" s="3502"/>
      <c r="B4" s="80" t="s">
        <v>2254</v>
      </c>
      <c r="C4" s="80" t="s">
        <v>2762</v>
      </c>
      <c r="D4" s="80" t="s">
        <v>2762</v>
      </c>
      <c r="E4" s="80" t="s">
        <v>2762</v>
      </c>
      <c r="F4" s="81" t="s">
        <v>2762</v>
      </c>
      <c r="G4" s="81" t="s">
        <v>2762</v>
      </c>
      <c r="H4" s="79"/>
      <c r="I4" s="85" t="s">
        <v>2257</v>
      </c>
      <c r="J4" s="85" t="s">
        <v>2262</v>
      </c>
      <c r="K4" s="85" t="s">
        <v>2282</v>
      </c>
      <c r="L4" s="84" t="s">
        <v>2307</v>
      </c>
      <c r="M4" s="84" t="s">
        <v>2339</v>
      </c>
      <c r="N4" s="84" t="s">
        <v>2379</v>
      </c>
      <c r="O4" s="84" t="s">
        <v>2442</v>
      </c>
      <c r="P4" s="84" t="s">
        <v>2485</v>
      </c>
      <c r="Q4" s="84" t="s">
        <v>2528</v>
      </c>
      <c r="R4" s="84" t="s">
        <v>2578</v>
      </c>
      <c r="S4" s="84" t="s">
        <v>2609</v>
      </c>
      <c r="T4" s="84" t="s">
        <v>2629</v>
      </c>
    </row>
    <row r="5" spans="1:20">
      <c r="A5" s="82" t="s">
        <v>230</v>
      </c>
      <c r="B5" s="83" t="s">
        <v>2255</v>
      </c>
      <c r="C5" s="83">
        <v>34550</v>
      </c>
      <c r="D5" s="83">
        <v>34470</v>
      </c>
      <c r="E5" s="83">
        <v>34330</v>
      </c>
      <c r="F5" s="83">
        <v>13400</v>
      </c>
      <c r="G5" s="83">
        <v>25450</v>
      </c>
      <c r="H5" s="79"/>
      <c r="I5" s="84" t="s">
        <v>2258</v>
      </c>
      <c r="J5" s="85" t="s">
        <v>2263</v>
      </c>
      <c r="K5" s="85" t="s">
        <v>2283</v>
      </c>
      <c r="L5" s="84" t="s">
        <v>2308</v>
      </c>
      <c r="M5" s="84" t="s">
        <v>2340</v>
      </c>
      <c r="N5" s="84" t="s">
        <v>2380</v>
      </c>
      <c r="O5" s="84" t="s">
        <v>2443</v>
      </c>
      <c r="P5" s="84" t="s">
        <v>2486</v>
      </c>
      <c r="Q5" s="84" t="s">
        <v>2529</v>
      </c>
      <c r="R5" s="84" t="s">
        <v>2579</v>
      </c>
      <c r="S5" s="84" t="s">
        <v>2610</v>
      </c>
      <c r="T5" s="84" t="s">
        <v>2630</v>
      </c>
    </row>
    <row r="6" spans="1:20">
      <c r="A6" s="84" t="s">
        <v>230</v>
      </c>
      <c r="B6" s="84" t="s">
        <v>2256</v>
      </c>
      <c r="C6" s="84">
        <v>36990</v>
      </c>
      <c r="D6" s="84">
        <v>36850</v>
      </c>
      <c r="E6" s="84">
        <v>36700</v>
      </c>
      <c r="F6" s="84">
        <v>14590</v>
      </c>
      <c r="G6" s="84">
        <v>27450</v>
      </c>
      <c r="H6" s="79"/>
      <c r="I6" s="87" t="s">
        <v>2259</v>
      </c>
      <c r="J6" s="85" t="s">
        <v>2264</v>
      </c>
      <c r="K6" s="85" t="s">
        <v>2284</v>
      </c>
      <c r="L6" s="84" t="s">
        <v>2309</v>
      </c>
      <c r="M6" s="84" t="s">
        <v>2341</v>
      </c>
      <c r="N6" s="84" t="s">
        <v>2381</v>
      </c>
      <c r="O6" s="84" t="s">
        <v>2444</v>
      </c>
      <c r="P6" s="84" t="s">
        <v>2487</v>
      </c>
      <c r="Q6" s="84" t="s">
        <v>2530</v>
      </c>
      <c r="R6" s="84" t="s">
        <v>2580</v>
      </c>
      <c r="S6" s="84" t="s">
        <v>2611</v>
      </c>
      <c r="T6" s="84" t="s">
        <v>2631</v>
      </c>
    </row>
    <row r="7" spans="1:20">
      <c r="A7" s="84" t="s">
        <v>230</v>
      </c>
      <c r="B7" s="85" t="s">
        <v>2257</v>
      </c>
      <c r="C7" s="84">
        <v>34850</v>
      </c>
      <c r="D7" s="84">
        <v>34690</v>
      </c>
      <c r="E7" s="84">
        <v>34550</v>
      </c>
      <c r="F7" s="84">
        <v>14360</v>
      </c>
      <c r="G7" s="84">
        <v>25620</v>
      </c>
      <c r="H7" s="79"/>
      <c r="J7" s="85" t="s">
        <v>2265</v>
      </c>
      <c r="K7" s="85" t="s">
        <v>2285</v>
      </c>
      <c r="L7" s="84" t="s">
        <v>2310</v>
      </c>
      <c r="M7" s="84" t="s">
        <v>2342</v>
      </c>
      <c r="N7" s="84" t="s">
        <v>2382</v>
      </c>
      <c r="O7" s="84" t="s">
        <v>2445</v>
      </c>
      <c r="P7" s="84" t="s">
        <v>2488</v>
      </c>
      <c r="Q7" s="84" t="s">
        <v>2531</v>
      </c>
      <c r="R7" s="84" t="s">
        <v>2581</v>
      </c>
      <c r="S7" s="84" t="s">
        <v>2612</v>
      </c>
      <c r="T7" s="84" t="s">
        <v>2632</v>
      </c>
    </row>
    <row r="8" spans="1:20">
      <c r="A8" s="84" t="s">
        <v>230</v>
      </c>
      <c r="B8" s="84" t="s">
        <v>2258</v>
      </c>
      <c r="C8" s="84">
        <v>32630</v>
      </c>
      <c r="D8" s="84">
        <v>32510</v>
      </c>
      <c r="E8" s="84">
        <v>32420</v>
      </c>
      <c r="F8" s="84">
        <v>13300</v>
      </c>
      <c r="G8" s="84">
        <v>24010</v>
      </c>
      <c r="H8" s="79"/>
      <c r="J8" s="85" t="s">
        <v>2266</v>
      </c>
      <c r="K8" s="85" t="s">
        <v>2286</v>
      </c>
      <c r="L8" s="84" t="s">
        <v>2311</v>
      </c>
      <c r="M8" s="84" t="s">
        <v>2343</v>
      </c>
      <c r="N8" s="84" t="s">
        <v>2383</v>
      </c>
      <c r="O8" s="84" t="s">
        <v>2446</v>
      </c>
      <c r="P8" s="84" t="s">
        <v>2489</v>
      </c>
      <c r="Q8" s="84" t="s">
        <v>2532</v>
      </c>
      <c r="R8" s="84" t="s">
        <v>2582</v>
      </c>
      <c r="S8" s="84" t="s">
        <v>2613</v>
      </c>
      <c r="T8" s="88" t="s">
        <v>2633</v>
      </c>
    </row>
    <row r="9" spans="1:20">
      <c r="A9" s="86" t="s">
        <v>230</v>
      </c>
      <c r="B9" s="87" t="s">
        <v>2259</v>
      </c>
      <c r="C9" s="88">
        <v>36370</v>
      </c>
      <c r="D9" s="88">
        <v>36210</v>
      </c>
      <c r="E9" s="88">
        <v>36050</v>
      </c>
      <c r="F9" s="88"/>
      <c r="G9" s="88">
        <v>26740</v>
      </c>
      <c r="H9" s="79"/>
      <c r="J9" s="85" t="s">
        <v>2267</v>
      </c>
      <c r="K9" s="85" t="s">
        <v>2287</v>
      </c>
      <c r="L9" s="84" t="s">
        <v>2312</v>
      </c>
      <c r="M9" s="84" t="s">
        <v>2344</v>
      </c>
      <c r="N9" s="84" t="s">
        <v>2384</v>
      </c>
      <c r="O9" s="84" t="s">
        <v>2447</v>
      </c>
      <c r="P9" s="84" t="s">
        <v>2490</v>
      </c>
      <c r="Q9" s="84" t="s">
        <v>2533</v>
      </c>
      <c r="R9" s="84" t="s">
        <v>2583</v>
      </c>
      <c r="S9" s="84" t="s">
        <v>2614</v>
      </c>
    </row>
    <row r="10" spans="1:20">
      <c r="A10" s="82" t="s">
        <v>241</v>
      </c>
      <c r="B10" s="83" t="s">
        <v>2260</v>
      </c>
      <c r="C10" s="84">
        <v>32350</v>
      </c>
      <c r="D10" s="84">
        <v>31430</v>
      </c>
      <c r="E10" s="84">
        <v>31320</v>
      </c>
      <c r="F10" s="84">
        <v>10850</v>
      </c>
      <c r="G10" s="84">
        <v>22860</v>
      </c>
      <c r="H10" s="79"/>
      <c r="J10" s="85" t="s">
        <v>2268</v>
      </c>
      <c r="K10" s="85" t="s">
        <v>2288</v>
      </c>
      <c r="L10" s="84" t="s">
        <v>2313</v>
      </c>
      <c r="M10" s="84" t="s">
        <v>2345</v>
      </c>
      <c r="N10" s="84" t="s">
        <v>2385</v>
      </c>
      <c r="O10" s="84" t="s">
        <v>2448</v>
      </c>
      <c r="P10" s="84" t="s">
        <v>2491</v>
      </c>
      <c r="Q10" s="84" t="s">
        <v>2534</v>
      </c>
      <c r="R10" s="84" t="s">
        <v>2584</v>
      </c>
      <c r="S10" s="84" t="s">
        <v>2615</v>
      </c>
    </row>
    <row r="11" spans="1:20">
      <c r="A11" s="84" t="s">
        <v>241</v>
      </c>
      <c r="B11" s="85" t="s">
        <v>2261</v>
      </c>
      <c r="C11" s="84">
        <v>31590</v>
      </c>
      <c r="D11" s="84">
        <v>29490</v>
      </c>
      <c r="E11" s="84">
        <v>28700</v>
      </c>
      <c r="F11" s="84">
        <v>10410</v>
      </c>
      <c r="G11" s="84">
        <v>21460</v>
      </c>
      <c r="H11" s="79"/>
      <c r="J11" s="85" t="s">
        <v>2269</v>
      </c>
      <c r="K11" s="85" t="s">
        <v>2289</v>
      </c>
      <c r="L11" s="84" t="s">
        <v>2314</v>
      </c>
      <c r="M11" s="84" t="s">
        <v>2346</v>
      </c>
      <c r="N11" s="84" t="s">
        <v>2386</v>
      </c>
      <c r="O11" s="84" t="s">
        <v>2449</v>
      </c>
      <c r="P11" s="84" t="s">
        <v>2492</v>
      </c>
      <c r="Q11" s="84" t="s">
        <v>2535</v>
      </c>
      <c r="R11" s="84" t="s">
        <v>2585</v>
      </c>
      <c r="S11" s="84" t="s">
        <v>2616</v>
      </c>
    </row>
    <row r="12" spans="1:20">
      <c r="A12" s="84" t="s">
        <v>241</v>
      </c>
      <c r="B12" s="85" t="s">
        <v>2262</v>
      </c>
      <c r="C12" s="84">
        <v>29640</v>
      </c>
      <c r="D12" s="84">
        <v>27550</v>
      </c>
      <c r="E12" s="84">
        <v>28010</v>
      </c>
      <c r="F12" s="84">
        <v>8730</v>
      </c>
      <c r="G12" s="84">
        <v>20050</v>
      </c>
      <c r="H12" s="79"/>
      <c r="J12" s="85" t="s">
        <v>2270</v>
      </c>
      <c r="K12" s="85" t="s">
        <v>2290</v>
      </c>
      <c r="L12" s="84" t="s">
        <v>2315</v>
      </c>
      <c r="M12" s="84" t="s">
        <v>2347</v>
      </c>
      <c r="N12" s="84" t="s">
        <v>2387</v>
      </c>
      <c r="O12" s="84" t="s">
        <v>2450</v>
      </c>
      <c r="P12" s="84" t="s">
        <v>2493</v>
      </c>
      <c r="Q12" s="84" t="s">
        <v>2536</v>
      </c>
      <c r="R12" s="84" t="s">
        <v>2586</v>
      </c>
      <c r="S12" s="84" t="s">
        <v>2617</v>
      </c>
    </row>
    <row r="13" spans="1:20">
      <c r="A13" s="84" t="s">
        <v>241</v>
      </c>
      <c r="B13" s="85" t="s">
        <v>2263</v>
      </c>
      <c r="C13" s="84">
        <v>29680</v>
      </c>
      <c r="D13" s="84">
        <v>27660</v>
      </c>
      <c r="E13" s="84">
        <v>28210</v>
      </c>
      <c r="F13" s="84">
        <v>9590</v>
      </c>
      <c r="G13" s="84">
        <v>20120</v>
      </c>
      <c r="H13" s="79"/>
      <c r="J13" s="85" t="s">
        <v>2271</v>
      </c>
      <c r="K13" s="85" t="s">
        <v>2291</v>
      </c>
      <c r="L13" s="84" t="s">
        <v>2316</v>
      </c>
      <c r="M13" s="84" t="s">
        <v>2348</v>
      </c>
      <c r="N13" s="84" t="s">
        <v>2388</v>
      </c>
      <c r="O13" s="84" t="s">
        <v>2451</v>
      </c>
      <c r="P13" s="84" t="s">
        <v>2494</v>
      </c>
      <c r="Q13" s="84" t="s">
        <v>2537</v>
      </c>
      <c r="R13" s="84" t="s">
        <v>2587</v>
      </c>
      <c r="S13" s="84" t="s">
        <v>2618</v>
      </c>
    </row>
    <row r="14" spans="1:20">
      <c r="A14" s="84" t="s">
        <v>241</v>
      </c>
      <c r="B14" s="85" t="s">
        <v>2264</v>
      </c>
      <c r="C14" s="84">
        <v>30520</v>
      </c>
      <c r="D14" s="84">
        <v>29510</v>
      </c>
      <c r="E14" s="84">
        <v>29400</v>
      </c>
      <c r="F14" s="84">
        <v>9630</v>
      </c>
      <c r="G14" s="84">
        <v>21480</v>
      </c>
      <c r="H14" s="79"/>
      <c r="J14" s="85" t="s">
        <v>2272</v>
      </c>
      <c r="K14" s="85" t="s">
        <v>2292</v>
      </c>
      <c r="L14" s="84" t="s">
        <v>2317</v>
      </c>
      <c r="M14" s="84" t="s">
        <v>2349</v>
      </c>
      <c r="N14" s="84" t="s">
        <v>2389</v>
      </c>
      <c r="O14" s="84" t="s">
        <v>2452</v>
      </c>
      <c r="P14" s="84" t="s">
        <v>2495</v>
      </c>
      <c r="Q14" s="84" t="s">
        <v>2538</v>
      </c>
      <c r="R14" s="84" t="s">
        <v>2588</v>
      </c>
      <c r="S14" s="84" t="s">
        <v>2619</v>
      </c>
    </row>
    <row r="15" spans="1:20">
      <c r="A15" s="84" t="s">
        <v>241</v>
      </c>
      <c r="B15" s="85" t="s">
        <v>2265</v>
      </c>
      <c r="C15" s="84">
        <v>29090</v>
      </c>
      <c r="D15" s="84">
        <v>27590</v>
      </c>
      <c r="E15" s="84">
        <v>28120</v>
      </c>
      <c r="F15" s="84">
        <v>9110</v>
      </c>
      <c r="G15" s="84">
        <v>20070</v>
      </c>
      <c r="H15" s="79"/>
      <c r="J15" s="85" t="s">
        <v>2273</v>
      </c>
      <c r="K15" s="85" t="s">
        <v>2293</v>
      </c>
      <c r="L15" s="84" t="s">
        <v>2318</v>
      </c>
      <c r="M15" s="84" t="s">
        <v>2350</v>
      </c>
      <c r="N15" s="84" t="s">
        <v>2390</v>
      </c>
      <c r="O15" s="84" t="s">
        <v>2453</v>
      </c>
      <c r="P15" s="84" t="s">
        <v>2496</v>
      </c>
      <c r="Q15" s="84" t="s">
        <v>2539</v>
      </c>
      <c r="R15" s="84" t="s">
        <v>2589</v>
      </c>
      <c r="S15" s="84" t="s">
        <v>2620</v>
      </c>
    </row>
    <row r="16" spans="1:20">
      <c r="A16" s="84" t="s">
        <v>241</v>
      </c>
      <c r="B16" s="85" t="s">
        <v>2266</v>
      </c>
      <c r="C16" s="84">
        <v>26790</v>
      </c>
      <c r="D16" s="84">
        <v>30370</v>
      </c>
      <c r="E16" s="84">
        <v>30240</v>
      </c>
      <c r="F16" s="84">
        <v>11590</v>
      </c>
      <c r="G16" s="84">
        <v>22090</v>
      </c>
      <c r="H16" s="79"/>
      <c r="J16" s="85" t="s">
        <v>2274</v>
      </c>
      <c r="K16" s="85" t="s">
        <v>2294</v>
      </c>
      <c r="L16" s="84" t="s">
        <v>2319</v>
      </c>
      <c r="M16" s="84" t="s">
        <v>2351</v>
      </c>
      <c r="N16" s="84" t="s">
        <v>2391</v>
      </c>
      <c r="O16" s="84" t="s">
        <v>2454</v>
      </c>
      <c r="P16" s="84" t="s">
        <v>2497</v>
      </c>
      <c r="Q16" s="84" t="s">
        <v>2540</v>
      </c>
      <c r="R16" s="84" t="s">
        <v>2590</v>
      </c>
      <c r="S16" s="84" t="s">
        <v>2621</v>
      </c>
    </row>
    <row r="17" spans="1:19" ht="14.25" customHeight="1">
      <c r="A17" s="84" t="s">
        <v>241</v>
      </c>
      <c r="B17" s="85" t="s">
        <v>2267</v>
      </c>
      <c r="C17" s="84">
        <v>29180</v>
      </c>
      <c r="D17" s="84">
        <v>27620</v>
      </c>
      <c r="E17" s="84">
        <v>28180</v>
      </c>
      <c r="F17" s="84">
        <v>10790</v>
      </c>
      <c r="G17" s="84">
        <v>20090</v>
      </c>
      <c r="H17" s="79"/>
      <c r="J17" s="85" t="s">
        <v>2275</v>
      </c>
      <c r="K17" s="85" t="s">
        <v>2295</v>
      </c>
      <c r="L17" s="84" t="s">
        <v>2320</v>
      </c>
      <c r="M17" s="84" t="s">
        <v>2352</v>
      </c>
      <c r="N17" s="84" t="s">
        <v>2392</v>
      </c>
      <c r="O17" s="84" t="s">
        <v>2455</v>
      </c>
      <c r="P17" s="84" t="s">
        <v>2498</v>
      </c>
      <c r="Q17" s="84" t="s">
        <v>2541</v>
      </c>
      <c r="R17" s="84" t="s">
        <v>2591</v>
      </c>
      <c r="S17" s="84" t="s">
        <v>2622</v>
      </c>
    </row>
    <row r="18" spans="1:19" ht="14.25" customHeight="1">
      <c r="A18" s="84" t="s">
        <v>241</v>
      </c>
      <c r="B18" s="85" t="s">
        <v>2268</v>
      </c>
      <c r="C18" s="84">
        <v>26840</v>
      </c>
      <c r="D18" s="84">
        <v>28930</v>
      </c>
      <c r="E18" s="84">
        <v>28820</v>
      </c>
      <c r="F18" s="84"/>
      <c r="G18" s="84">
        <v>21050</v>
      </c>
      <c r="H18" s="79"/>
      <c r="J18" s="85" t="s">
        <v>2276</v>
      </c>
      <c r="K18" s="85" t="s">
        <v>2296</v>
      </c>
      <c r="L18" s="84" t="s">
        <v>2321</v>
      </c>
      <c r="M18" s="84" t="s">
        <v>2353</v>
      </c>
      <c r="N18" s="84" t="s">
        <v>2393</v>
      </c>
      <c r="O18" s="84" t="s">
        <v>2456</v>
      </c>
      <c r="P18" s="84" t="s">
        <v>2499</v>
      </c>
      <c r="Q18" s="84" t="s">
        <v>2542</v>
      </c>
      <c r="R18" s="84" t="s">
        <v>2592</v>
      </c>
      <c r="S18" s="84" t="s">
        <v>2623</v>
      </c>
    </row>
    <row r="19" spans="1:19" ht="14.25" customHeight="1">
      <c r="A19" s="84" t="s">
        <v>241</v>
      </c>
      <c r="B19" s="85" t="s">
        <v>2269</v>
      </c>
      <c r="C19" s="84">
        <v>27750</v>
      </c>
      <c r="D19" s="84">
        <v>26680</v>
      </c>
      <c r="E19" s="84">
        <v>26590</v>
      </c>
      <c r="F19" s="84"/>
      <c r="G19" s="84">
        <v>19420</v>
      </c>
      <c r="H19" s="79"/>
      <c r="J19" s="85" t="s">
        <v>2277</v>
      </c>
      <c r="K19" s="85" t="s">
        <v>2297</v>
      </c>
      <c r="L19" s="84" t="s">
        <v>2322</v>
      </c>
      <c r="M19" s="84" t="s">
        <v>2354</v>
      </c>
      <c r="N19" s="84" t="s">
        <v>2394</v>
      </c>
      <c r="O19" s="84" t="s">
        <v>2457</v>
      </c>
      <c r="P19" s="84" t="s">
        <v>2500</v>
      </c>
      <c r="Q19" s="84" t="s">
        <v>2543</v>
      </c>
      <c r="R19" s="84" t="s">
        <v>2593</v>
      </c>
      <c r="S19" s="84" t="s">
        <v>2624</v>
      </c>
    </row>
    <row r="20" spans="1:19" ht="14.25" customHeight="1">
      <c r="A20" s="84" t="s">
        <v>241</v>
      </c>
      <c r="B20" s="85" t="s">
        <v>2270</v>
      </c>
      <c r="C20" s="84">
        <v>27050</v>
      </c>
      <c r="D20" s="84">
        <v>29010</v>
      </c>
      <c r="E20" s="84">
        <v>28910</v>
      </c>
      <c r="F20" s="84"/>
      <c r="G20" s="84">
        <v>21110</v>
      </c>
      <c r="J20" s="85" t="s">
        <v>2278</v>
      </c>
      <c r="K20" s="85" t="s">
        <v>2298</v>
      </c>
      <c r="L20" s="84" t="s">
        <v>2323</v>
      </c>
      <c r="M20" s="84" t="s">
        <v>2355</v>
      </c>
      <c r="N20" s="84" t="s">
        <v>2395</v>
      </c>
      <c r="O20" s="84" t="s">
        <v>2458</v>
      </c>
      <c r="P20" s="84" t="s">
        <v>2501</v>
      </c>
      <c r="Q20" s="84" t="s">
        <v>2544</v>
      </c>
      <c r="R20" s="84" t="s">
        <v>2594</v>
      </c>
      <c r="S20" s="84" t="s">
        <v>2625</v>
      </c>
    </row>
    <row r="21" spans="1:19" ht="14.25" customHeight="1">
      <c r="A21" s="84" t="s">
        <v>241</v>
      </c>
      <c r="B21" s="85" t="s">
        <v>2271</v>
      </c>
      <c r="C21" s="84">
        <v>32370</v>
      </c>
      <c r="D21" s="84">
        <v>26730</v>
      </c>
      <c r="E21" s="84">
        <v>26640</v>
      </c>
      <c r="F21" s="84"/>
      <c r="G21" s="84">
        <v>19440</v>
      </c>
      <c r="J21" s="88" t="s">
        <v>2279</v>
      </c>
      <c r="K21" s="85" t="s">
        <v>2299</v>
      </c>
      <c r="L21" s="84" t="s">
        <v>2324</v>
      </c>
      <c r="M21" s="84" t="s">
        <v>2356</v>
      </c>
      <c r="N21" s="84" t="s">
        <v>2396</v>
      </c>
      <c r="O21" s="84" t="s">
        <v>2459</v>
      </c>
      <c r="P21" s="84" t="s">
        <v>2502</v>
      </c>
      <c r="Q21" s="84" t="s">
        <v>2545</v>
      </c>
      <c r="R21" s="84" t="s">
        <v>2595</v>
      </c>
      <c r="S21" s="88" t="s">
        <v>2626</v>
      </c>
    </row>
    <row r="22" spans="1:19" ht="14.25" customHeight="1">
      <c r="A22" s="84" t="s">
        <v>241</v>
      </c>
      <c r="B22" s="85" t="s">
        <v>2272</v>
      </c>
      <c r="C22" s="84">
        <v>29830</v>
      </c>
      <c r="D22" s="84">
        <v>27600</v>
      </c>
      <c r="E22" s="84">
        <v>28150</v>
      </c>
      <c r="F22" s="84"/>
      <c r="G22" s="84">
        <v>20080</v>
      </c>
      <c r="K22" s="85" t="s">
        <v>2300</v>
      </c>
      <c r="L22" s="84" t="s">
        <v>2325</v>
      </c>
      <c r="M22" s="84" t="s">
        <v>2357</v>
      </c>
      <c r="N22" s="84" t="s">
        <v>2397</v>
      </c>
      <c r="O22" s="84" t="s">
        <v>2460</v>
      </c>
      <c r="P22" s="84" t="s">
        <v>2503</v>
      </c>
      <c r="Q22" s="84" t="s">
        <v>2546</v>
      </c>
      <c r="R22" s="84" t="s">
        <v>2596</v>
      </c>
    </row>
    <row r="23" spans="1:19" ht="14.25" customHeight="1">
      <c r="A23" s="84" t="s">
        <v>241</v>
      </c>
      <c r="B23" s="85" t="s">
        <v>2273</v>
      </c>
      <c r="C23" s="84">
        <v>27800</v>
      </c>
      <c r="D23" s="84">
        <v>26900</v>
      </c>
      <c r="E23" s="84">
        <v>27170</v>
      </c>
      <c r="F23" s="84"/>
      <c r="G23" s="84">
        <v>19570</v>
      </c>
      <c r="K23" s="85" t="s">
        <v>2301</v>
      </c>
      <c r="L23" s="84" t="s">
        <v>2326</v>
      </c>
      <c r="M23" s="84" t="s">
        <v>2358</v>
      </c>
      <c r="N23" s="84" t="s">
        <v>2398</v>
      </c>
      <c r="O23" s="84" t="s">
        <v>2461</v>
      </c>
      <c r="P23" s="84" t="s">
        <v>2504</v>
      </c>
      <c r="Q23" s="84" t="s">
        <v>2547</v>
      </c>
      <c r="R23" s="84" t="s">
        <v>2597</v>
      </c>
    </row>
    <row r="24" spans="1:19" ht="14.25" customHeight="1">
      <c r="A24" s="84" t="s">
        <v>241</v>
      </c>
      <c r="B24" s="85" t="s">
        <v>2274</v>
      </c>
      <c r="C24" s="84">
        <v>27930</v>
      </c>
      <c r="D24" s="84">
        <v>32260</v>
      </c>
      <c r="E24" s="84">
        <v>32120</v>
      </c>
      <c r="F24" s="84"/>
      <c r="G24" s="84">
        <v>23470</v>
      </c>
      <c r="K24" s="85" t="s">
        <v>2302</v>
      </c>
      <c r="L24" s="84" t="s">
        <v>2327</v>
      </c>
      <c r="M24" s="84" t="s">
        <v>2359</v>
      </c>
      <c r="N24" s="84" t="s">
        <v>2399</v>
      </c>
      <c r="O24" s="84" t="s">
        <v>2462</v>
      </c>
      <c r="P24" s="84" t="s">
        <v>2505</v>
      </c>
      <c r="Q24" s="98" t="s">
        <v>2548</v>
      </c>
      <c r="R24" s="84" t="s">
        <v>2598</v>
      </c>
    </row>
    <row r="25" spans="1:19" ht="14.25" customHeight="1">
      <c r="A25" s="84" t="s">
        <v>241</v>
      </c>
      <c r="B25" s="85" t="s">
        <v>2275</v>
      </c>
      <c r="C25" s="84">
        <v>32230</v>
      </c>
      <c r="D25" s="84">
        <v>29640</v>
      </c>
      <c r="E25" s="84">
        <v>29510</v>
      </c>
      <c r="F25" s="84"/>
      <c r="G25" s="84">
        <v>21560</v>
      </c>
      <c r="K25" s="85" t="s">
        <v>2303</v>
      </c>
      <c r="L25" s="84" t="s">
        <v>2328</v>
      </c>
      <c r="M25" s="84" t="s">
        <v>2360</v>
      </c>
      <c r="N25" s="84" t="s">
        <v>2400</v>
      </c>
      <c r="O25" s="84" t="s">
        <v>2463</v>
      </c>
      <c r="P25" s="84" t="s">
        <v>2506</v>
      </c>
      <c r="Q25" s="98" t="s">
        <v>2549</v>
      </c>
      <c r="R25" s="84" t="s">
        <v>2599</v>
      </c>
    </row>
    <row r="26" spans="1:19" ht="14.25" customHeight="1">
      <c r="A26" s="84" t="s">
        <v>241</v>
      </c>
      <c r="B26" s="85" t="s">
        <v>2276</v>
      </c>
      <c r="C26" s="84">
        <v>31690</v>
      </c>
      <c r="D26" s="84">
        <v>27650</v>
      </c>
      <c r="E26" s="84">
        <v>28200</v>
      </c>
      <c r="F26" s="84"/>
      <c r="G26" s="84">
        <v>20110</v>
      </c>
      <c r="K26" s="87" t="s">
        <v>2304</v>
      </c>
      <c r="L26" s="84" t="s">
        <v>2329</v>
      </c>
      <c r="M26" s="84" t="s">
        <v>2361</v>
      </c>
      <c r="N26" s="84" t="s">
        <v>2401</v>
      </c>
      <c r="O26" s="84" t="s">
        <v>2464</v>
      </c>
      <c r="P26" s="84" t="s">
        <v>2507</v>
      </c>
      <c r="Q26" s="98" t="s">
        <v>2550</v>
      </c>
      <c r="R26" s="84" t="s">
        <v>2600</v>
      </c>
    </row>
    <row r="27" spans="1:19" ht="14.25" customHeight="1">
      <c r="A27" s="84" t="s">
        <v>241</v>
      </c>
      <c r="B27" s="85" t="s">
        <v>2277</v>
      </c>
      <c r="C27" s="84">
        <v>29610</v>
      </c>
      <c r="D27" s="84">
        <v>27770</v>
      </c>
      <c r="E27" s="84">
        <v>28300</v>
      </c>
      <c r="F27" s="84"/>
      <c r="G27" s="84">
        <v>20210</v>
      </c>
      <c r="L27" s="84" t="s">
        <v>2330</v>
      </c>
      <c r="M27" s="84" t="s">
        <v>2362</v>
      </c>
      <c r="N27" s="84" t="s">
        <v>2402</v>
      </c>
      <c r="O27" s="84" t="s">
        <v>2465</v>
      </c>
      <c r="P27" s="84" t="s">
        <v>2508</v>
      </c>
      <c r="Q27" s="84" t="s">
        <v>2551</v>
      </c>
      <c r="R27" s="84" t="s">
        <v>2601</v>
      </c>
    </row>
    <row r="28" spans="1:19" ht="14.25" customHeight="1">
      <c r="A28" s="84" t="s">
        <v>241</v>
      </c>
      <c r="B28" s="85" t="s">
        <v>2278</v>
      </c>
      <c r="C28" s="84"/>
      <c r="D28" s="84">
        <v>31520</v>
      </c>
      <c r="E28" s="84">
        <v>31410</v>
      </c>
      <c r="F28" s="84"/>
      <c r="G28" s="84">
        <v>22940</v>
      </c>
      <c r="L28" s="84" t="s">
        <v>2331</v>
      </c>
      <c r="M28" s="84" t="s">
        <v>2363</v>
      </c>
      <c r="N28" s="84" t="s">
        <v>2403</v>
      </c>
      <c r="O28" s="84" t="s">
        <v>511</v>
      </c>
      <c r="P28" s="84" t="s">
        <v>2509</v>
      </c>
      <c r="Q28" s="84" t="s">
        <v>2552</v>
      </c>
      <c r="R28" s="84" t="s">
        <v>2602</v>
      </c>
    </row>
    <row r="29" spans="1:19" ht="14.25" customHeight="1">
      <c r="A29" s="86" t="s">
        <v>241</v>
      </c>
      <c r="B29" s="89" t="s">
        <v>2279</v>
      </c>
      <c r="C29" s="90"/>
      <c r="D29" s="90">
        <v>29460</v>
      </c>
      <c r="E29" s="90">
        <v>28640</v>
      </c>
      <c r="F29" s="90"/>
      <c r="G29" s="90">
        <v>21430</v>
      </c>
      <c r="L29" s="84" t="s">
        <v>2332</v>
      </c>
      <c r="M29" s="84" t="s">
        <v>2364</v>
      </c>
      <c r="N29" s="84" t="s">
        <v>2404</v>
      </c>
      <c r="O29" s="84" t="s">
        <v>2466</v>
      </c>
      <c r="P29" s="84" t="s">
        <v>2510</v>
      </c>
      <c r="Q29" s="84" t="s">
        <v>2553</v>
      </c>
      <c r="R29" s="84" t="s">
        <v>2603</v>
      </c>
    </row>
    <row r="30" spans="1:19" ht="14.25" customHeight="1">
      <c r="A30" s="82" t="s">
        <v>251</v>
      </c>
      <c r="B30" s="83" t="s">
        <v>2280</v>
      </c>
      <c r="C30" s="83">
        <v>26890</v>
      </c>
      <c r="D30" s="83">
        <v>26770</v>
      </c>
      <c r="E30" s="83">
        <v>25700</v>
      </c>
      <c r="F30" s="83">
        <v>8180</v>
      </c>
      <c r="G30" s="91">
        <v>18740</v>
      </c>
      <c r="L30" s="84" t="s">
        <v>2333</v>
      </c>
      <c r="M30" s="84" t="s">
        <v>2365</v>
      </c>
      <c r="N30" s="84" t="s">
        <v>2405</v>
      </c>
      <c r="O30" s="84" t="s">
        <v>2467</v>
      </c>
      <c r="P30" s="84" t="s">
        <v>2511</v>
      </c>
      <c r="Q30" s="84" t="s">
        <v>2554</v>
      </c>
      <c r="R30" s="84" t="s">
        <v>2604</v>
      </c>
    </row>
    <row r="31" spans="1:19" ht="14.25" customHeight="1">
      <c r="A31" s="84" t="s">
        <v>251</v>
      </c>
      <c r="B31" s="85" t="s">
        <v>2281</v>
      </c>
      <c r="C31" s="84">
        <v>24550</v>
      </c>
      <c r="D31" s="84">
        <v>23990</v>
      </c>
      <c r="E31" s="84">
        <v>22930</v>
      </c>
      <c r="F31" s="84">
        <v>7470</v>
      </c>
      <c r="G31" s="92">
        <v>16790</v>
      </c>
      <c r="L31" s="84" t="s">
        <v>2334</v>
      </c>
      <c r="M31" s="84" t="s">
        <v>2366</v>
      </c>
      <c r="N31" s="84" t="s">
        <v>2406</v>
      </c>
      <c r="O31" s="84" t="s">
        <v>2468</v>
      </c>
      <c r="P31" s="84" t="s">
        <v>2512</v>
      </c>
      <c r="Q31" s="84" t="s">
        <v>2555</v>
      </c>
      <c r="R31" s="84" t="s">
        <v>2605</v>
      </c>
    </row>
    <row r="32" spans="1:19" ht="14.25" customHeight="1">
      <c r="A32" s="84" t="s">
        <v>251</v>
      </c>
      <c r="B32" s="85" t="s">
        <v>2282</v>
      </c>
      <c r="C32" s="84">
        <v>27210</v>
      </c>
      <c r="D32" s="84">
        <v>23240</v>
      </c>
      <c r="E32" s="84">
        <v>23260</v>
      </c>
      <c r="F32" s="84">
        <v>7130</v>
      </c>
      <c r="G32" s="92">
        <v>16270</v>
      </c>
      <c r="L32" s="84" t="s">
        <v>2335</v>
      </c>
      <c r="M32" s="84" t="s">
        <v>2367</v>
      </c>
      <c r="N32" s="84" t="s">
        <v>2407</v>
      </c>
      <c r="O32" s="84" t="s">
        <v>2469</v>
      </c>
      <c r="P32" s="84" t="s">
        <v>2513</v>
      </c>
      <c r="Q32" s="84" t="s">
        <v>2556</v>
      </c>
      <c r="R32" s="88" t="s">
        <v>2606</v>
      </c>
    </row>
    <row r="33" spans="1:17" ht="14.25" customHeight="1">
      <c r="A33" s="84" t="s">
        <v>251</v>
      </c>
      <c r="B33" s="85" t="s">
        <v>2283</v>
      </c>
      <c r="C33" s="84">
        <v>27300</v>
      </c>
      <c r="D33" s="84">
        <v>22980</v>
      </c>
      <c r="E33" s="84">
        <v>24260</v>
      </c>
      <c r="F33" s="84">
        <v>5860</v>
      </c>
      <c r="G33" s="92">
        <v>16090</v>
      </c>
      <c r="L33" s="88" t="s">
        <v>2336</v>
      </c>
      <c r="M33" s="84" t="s">
        <v>2368</v>
      </c>
      <c r="N33" s="84" t="s">
        <v>2408</v>
      </c>
      <c r="O33" s="84" t="s">
        <v>2470</v>
      </c>
      <c r="P33" s="84" t="s">
        <v>2514</v>
      </c>
      <c r="Q33" s="84" t="s">
        <v>2557</v>
      </c>
    </row>
    <row r="34" spans="1:17" ht="14.25" customHeight="1">
      <c r="A34" s="84" t="s">
        <v>251</v>
      </c>
      <c r="B34" s="85" t="s">
        <v>2284</v>
      </c>
      <c r="C34" s="84">
        <v>23090</v>
      </c>
      <c r="D34" s="84">
        <v>23390</v>
      </c>
      <c r="E34" s="84">
        <v>23510</v>
      </c>
      <c r="F34" s="84">
        <v>6700</v>
      </c>
      <c r="G34" s="92">
        <v>16370</v>
      </c>
      <c r="M34" s="84" t="s">
        <v>2369</v>
      </c>
      <c r="N34" s="84" t="s">
        <v>2409</v>
      </c>
      <c r="O34" s="84" t="s">
        <v>2471</v>
      </c>
      <c r="P34" s="84" t="s">
        <v>2515</v>
      </c>
      <c r="Q34" s="84" t="s">
        <v>2558</v>
      </c>
    </row>
    <row r="35" spans="1:17" ht="14.25" customHeight="1">
      <c r="A35" s="84" t="s">
        <v>251</v>
      </c>
      <c r="B35" s="85" t="s">
        <v>2285</v>
      </c>
      <c r="C35" s="84">
        <v>27270</v>
      </c>
      <c r="D35" s="84">
        <v>24270</v>
      </c>
      <c r="E35" s="84">
        <v>24950</v>
      </c>
      <c r="F35" s="84">
        <v>6600</v>
      </c>
      <c r="G35" s="92">
        <v>16990</v>
      </c>
      <c r="M35" s="84" t="s">
        <v>2370</v>
      </c>
      <c r="N35" s="84" t="s">
        <v>2410</v>
      </c>
      <c r="O35" s="84" t="s">
        <v>2472</v>
      </c>
      <c r="P35" s="84" t="s">
        <v>2516</v>
      </c>
      <c r="Q35" s="84" t="s">
        <v>2559</v>
      </c>
    </row>
    <row r="36" spans="1:17" ht="14.25" customHeight="1">
      <c r="A36" s="84" t="s">
        <v>251</v>
      </c>
      <c r="B36" s="85" t="s">
        <v>2286</v>
      </c>
      <c r="C36" s="84">
        <v>23490</v>
      </c>
      <c r="D36" s="84">
        <v>23020</v>
      </c>
      <c r="E36" s="84">
        <v>25230</v>
      </c>
      <c r="F36" s="84">
        <v>6780</v>
      </c>
      <c r="G36" s="92">
        <v>16120</v>
      </c>
      <c r="M36" s="84" t="s">
        <v>2371</v>
      </c>
      <c r="N36" s="84" t="s">
        <v>2411</v>
      </c>
      <c r="O36" s="84" t="s">
        <v>2473</v>
      </c>
      <c r="P36" s="84" t="s">
        <v>2517</v>
      </c>
      <c r="Q36" s="84" t="s">
        <v>2560</v>
      </c>
    </row>
    <row r="37" spans="1:17" ht="14.25" customHeight="1">
      <c r="A37" s="84" t="s">
        <v>251</v>
      </c>
      <c r="B37" s="85" t="s">
        <v>2287</v>
      </c>
      <c r="C37" s="84">
        <v>24380</v>
      </c>
      <c r="D37" s="84">
        <v>22240</v>
      </c>
      <c r="E37" s="84">
        <v>25980</v>
      </c>
      <c r="F37" s="84">
        <v>8160</v>
      </c>
      <c r="G37" s="92">
        <v>15570</v>
      </c>
      <c r="M37" s="84" t="s">
        <v>2372</v>
      </c>
      <c r="N37" s="84" t="s">
        <v>2412</v>
      </c>
      <c r="O37" s="84" t="s">
        <v>2474</v>
      </c>
      <c r="P37" s="84" t="s">
        <v>2518</v>
      </c>
      <c r="Q37" s="84" t="s">
        <v>2561</v>
      </c>
    </row>
    <row r="38" spans="1:17" ht="14.25" customHeight="1">
      <c r="A38" s="84" t="s">
        <v>251</v>
      </c>
      <c r="B38" s="85" t="s">
        <v>2288</v>
      </c>
      <c r="C38" s="84">
        <v>23120</v>
      </c>
      <c r="D38" s="84">
        <v>24630</v>
      </c>
      <c r="E38" s="84">
        <v>25030</v>
      </c>
      <c r="F38" s="84">
        <v>7710</v>
      </c>
      <c r="G38" s="92">
        <v>17240</v>
      </c>
      <c r="M38" s="84" t="s">
        <v>2373</v>
      </c>
      <c r="N38" s="84" t="s">
        <v>2413</v>
      </c>
      <c r="O38" s="84" t="s">
        <v>2475</v>
      </c>
      <c r="P38" s="84" t="s">
        <v>2519</v>
      </c>
      <c r="Q38" s="84" t="s">
        <v>2562</v>
      </c>
    </row>
    <row r="39" spans="1:17" ht="14.25" customHeight="1">
      <c r="A39" s="84" t="s">
        <v>251</v>
      </c>
      <c r="B39" s="85" t="s">
        <v>2289</v>
      </c>
      <c r="C39" s="84">
        <v>22330</v>
      </c>
      <c r="D39" s="84">
        <v>21140</v>
      </c>
      <c r="E39" s="84">
        <v>23970</v>
      </c>
      <c r="F39" s="84">
        <v>7940</v>
      </c>
      <c r="G39" s="92">
        <v>14790</v>
      </c>
      <c r="M39" s="84" t="s">
        <v>2374</v>
      </c>
      <c r="N39" s="84" t="s">
        <v>2414</v>
      </c>
      <c r="O39" s="84" t="s">
        <v>2763</v>
      </c>
      <c r="P39" s="84" t="s">
        <v>2520</v>
      </c>
      <c r="Q39" s="84" t="s">
        <v>2563</v>
      </c>
    </row>
    <row r="40" spans="1:17" ht="14.25" customHeight="1">
      <c r="A40" s="84" t="s">
        <v>251</v>
      </c>
      <c r="B40" s="85" t="s">
        <v>2290</v>
      </c>
      <c r="C40" s="84">
        <v>24740</v>
      </c>
      <c r="D40" s="84">
        <v>24690</v>
      </c>
      <c r="E40" s="84">
        <v>22610</v>
      </c>
      <c r="F40" s="84"/>
      <c r="G40" s="92">
        <v>17280</v>
      </c>
      <c r="M40" s="84" t="s">
        <v>2375</v>
      </c>
      <c r="N40" s="84" t="s">
        <v>2415</v>
      </c>
      <c r="O40" s="84" t="s">
        <v>2764</v>
      </c>
      <c r="P40" s="84" t="s">
        <v>2521</v>
      </c>
      <c r="Q40" s="84" t="s">
        <v>2564</v>
      </c>
    </row>
    <row r="41" spans="1:17" ht="14.25" customHeight="1">
      <c r="A41" s="84" t="s">
        <v>251</v>
      </c>
      <c r="B41" s="85" t="s">
        <v>2291</v>
      </c>
      <c r="C41" s="84">
        <v>21220</v>
      </c>
      <c r="D41" s="84">
        <v>21120</v>
      </c>
      <c r="E41" s="84">
        <v>22590</v>
      </c>
      <c r="F41" s="84"/>
      <c r="G41" s="92">
        <v>14780</v>
      </c>
      <c r="M41" s="88" t="s">
        <v>2376</v>
      </c>
      <c r="N41" s="84" t="s">
        <v>2416</v>
      </c>
      <c r="O41" s="84" t="s">
        <v>2765</v>
      </c>
      <c r="P41" s="84" t="s">
        <v>2522</v>
      </c>
      <c r="Q41" s="84" t="s">
        <v>2565</v>
      </c>
    </row>
    <row r="42" spans="1:17" ht="14.25" customHeight="1">
      <c r="A42" s="84" t="s">
        <v>251</v>
      </c>
      <c r="B42" s="85" t="s">
        <v>2292</v>
      </c>
      <c r="C42" s="84">
        <v>24800</v>
      </c>
      <c r="D42" s="84">
        <v>22280</v>
      </c>
      <c r="E42" s="84">
        <v>24350</v>
      </c>
      <c r="F42" s="84"/>
      <c r="G42" s="92">
        <v>15590</v>
      </c>
      <c r="N42" s="84" t="s">
        <v>2417</v>
      </c>
      <c r="O42" s="84" t="s">
        <v>2479</v>
      </c>
      <c r="P42" s="84" t="s">
        <v>2523</v>
      </c>
      <c r="Q42" s="84" t="s">
        <v>2566</v>
      </c>
    </row>
    <row r="43" spans="1:17" ht="14.25" customHeight="1">
      <c r="A43" s="84" t="s">
        <v>251</v>
      </c>
      <c r="B43" s="85" t="s">
        <v>2293</v>
      </c>
      <c r="C43" s="84">
        <v>21210</v>
      </c>
      <c r="D43" s="84">
        <v>21160</v>
      </c>
      <c r="E43" s="84">
        <v>22650</v>
      </c>
      <c r="F43" s="84"/>
      <c r="G43" s="92">
        <v>14800</v>
      </c>
      <c r="N43" s="84" t="s">
        <v>2418</v>
      </c>
      <c r="O43" s="84" t="s">
        <v>2480</v>
      </c>
      <c r="P43" s="84" t="s">
        <v>2524</v>
      </c>
      <c r="Q43" s="84" t="s">
        <v>2567</v>
      </c>
    </row>
    <row r="44" spans="1:17" ht="14.25" customHeight="1">
      <c r="A44" s="84" t="s">
        <v>251</v>
      </c>
      <c r="B44" s="85" t="s">
        <v>2294</v>
      </c>
      <c r="C44" s="84">
        <v>22370</v>
      </c>
      <c r="D44" s="84">
        <v>23140</v>
      </c>
      <c r="E44" s="84">
        <v>25090</v>
      </c>
      <c r="F44" s="84"/>
      <c r="G44" s="92">
        <v>16190</v>
      </c>
      <c r="N44" s="84" t="s">
        <v>2419</v>
      </c>
      <c r="O44" s="84" t="s">
        <v>2766</v>
      </c>
      <c r="P44" s="88" t="s">
        <v>2525</v>
      </c>
      <c r="Q44" s="84" t="s">
        <v>2568</v>
      </c>
    </row>
    <row r="45" spans="1:17" ht="14.25" customHeight="1">
      <c r="A45" s="84" t="s">
        <v>251</v>
      </c>
      <c r="B45" s="85" t="s">
        <v>2295</v>
      </c>
      <c r="C45" s="84">
        <v>21240</v>
      </c>
      <c r="D45" s="84">
        <v>27050</v>
      </c>
      <c r="E45" s="84">
        <v>28000</v>
      </c>
      <c r="F45" s="84"/>
      <c r="G45" s="92">
        <v>18940</v>
      </c>
      <c r="N45" s="84" t="s">
        <v>2420</v>
      </c>
      <c r="O45" s="88" t="s">
        <v>2482</v>
      </c>
      <c r="Q45" s="84" t="s">
        <v>2569</v>
      </c>
    </row>
    <row r="46" spans="1:17" ht="14.25" customHeight="1">
      <c r="A46" s="84" t="s">
        <v>251</v>
      </c>
      <c r="B46" s="85" t="s">
        <v>2296</v>
      </c>
      <c r="C46" s="84">
        <v>23240</v>
      </c>
      <c r="D46" s="84">
        <v>23000</v>
      </c>
      <c r="E46" s="84">
        <v>24980</v>
      </c>
      <c r="F46" s="84"/>
      <c r="G46" s="92">
        <v>16100</v>
      </c>
      <c r="N46" s="84" t="s">
        <v>2421</v>
      </c>
      <c r="Q46" s="84" t="s">
        <v>2570</v>
      </c>
    </row>
    <row r="47" spans="1:17" ht="14.25" customHeight="1">
      <c r="A47" s="84" t="s">
        <v>251</v>
      </c>
      <c r="B47" s="85" t="s">
        <v>2297</v>
      </c>
      <c r="C47" s="84">
        <v>27150</v>
      </c>
      <c r="D47" s="84">
        <v>23310</v>
      </c>
      <c r="E47" s="84">
        <v>25150</v>
      </c>
      <c r="F47" s="84"/>
      <c r="G47" s="92">
        <v>16310</v>
      </c>
      <c r="N47" s="84" t="s">
        <v>2422</v>
      </c>
      <c r="Q47" s="84" t="s">
        <v>2571</v>
      </c>
    </row>
    <row r="48" spans="1:17" ht="14.25" customHeight="1">
      <c r="A48" s="84" t="s">
        <v>251</v>
      </c>
      <c r="B48" s="85" t="s">
        <v>2298</v>
      </c>
      <c r="C48" s="84">
        <v>23100</v>
      </c>
      <c r="D48" s="84">
        <v>21110</v>
      </c>
      <c r="E48" s="84">
        <v>23080</v>
      </c>
      <c r="F48" s="84"/>
      <c r="G48" s="92">
        <v>14780</v>
      </c>
      <c r="N48" s="84" t="s">
        <v>2423</v>
      </c>
      <c r="Q48" s="84" t="s">
        <v>2572</v>
      </c>
    </row>
    <row r="49" spans="1:17" ht="14.25" customHeight="1">
      <c r="A49" s="84" t="s">
        <v>251</v>
      </c>
      <c r="B49" s="85" t="s">
        <v>2299</v>
      </c>
      <c r="C49" s="84">
        <v>23400</v>
      </c>
      <c r="D49" s="84">
        <v>22920</v>
      </c>
      <c r="E49" s="84">
        <v>24900</v>
      </c>
      <c r="F49" s="84"/>
      <c r="G49" s="92">
        <v>16040</v>
      </c>
      <c r="N49" s="84" t="s">
        <v>2424</v>
      </c>
      <c r="Q49" s="84" t="s">
        <v>2573</v>
      </c>
    </row>
    <row r="50" spans="1:17" ht="14.25" customHeight="1">
      <c r="A50" s="84" t="s">
        <v>251</v>
      </c>
      <c r="B50" s="85" t="s">
        <v>2300</v>
      </c>
      <c r="C50" s="84">
        <v>21200</v>
      </c>
      <c r="D50" s="84">
        <v>26540</v>
      </c>
      <c r="E50" s="84">
        <v>23200</v>
      </c>
      <c r="F50" s="84"/>
      <c r="G50" s="92">
        <v>18580</v>
      </c>
      <c r="N50" s="84" t="s">
        <v>2425</v>
      </c>
      <c r="Q50" s="85" t="s">
        <v>2574</v>
      </c>
    </row>
    <row r="51" spans="1:17" ht="14.25" customHeight="1">
      <c r="A51" s="84" t="s">
        <v>251</v>
      </c>
      <c r="B51" s="85" t="s">
        <v>2301</v>
      </c>
      <c r="C51" s="84">
        <v>23000</v>
      </c>
      <c r="D51" s="84">
        <v>23460</v>
      </c>
      <c r="E51" s="84">
        <v>25290</v>
      </c>
      <c r="F51" s="84"/>
      <c r="G51" s="92">
        <v>16420</v>
      </c>
      <c r="N51" s="84" t="s">
        <v>2426</v>
      </c>
      <c r="Q51" s="88" t="s">
        <v>2575</v>
      </c>
    </row>
    <row r="52" spans="1:17" ht="14.25" customHeight="1">
      <c r="A52" s="84" t="s">
        <v>251</v>
      </c>
      <c r="B52" s="85" t="s">
        <v>2302</v>
      </c>
      <c r="C52" s="84">
        <v>26660</v>
      </c>
      <c r="D52" s="84">
        <v>22350</v>
      </c>
      <c r="E52" s="84">
        <v>22920</v>
      </c>
      <c r="F52" s="84"/>
      <c r="G52" s="92">
        <v>15640</v>
      </c>
      <c r="N52" s="84" t="s">
        <v>2427</v>
      </c>
    </row>
    <row r="53" spans="1:17" ht="14.25" customHeight="1">
      <c r="A53" s="84" t="s">
        <v>251</v>
      </c>
      <c r="B53" s="85" t="s">
        <v>2303</v>
      </c>
      <c r="C53" s="84">
        <v>23580</v>
      </c>
      <c r="D53" s="84"/>
      <c r="E53" s="84">
        <v>24280</v>
      </c>
      <c r="F53" s="84"/>
      <c r="G53" s="92"/>
      <c r="N53" s="84" t="s">
        <v>2428</v>
      </c>
    </row>
    <row r="54" spans="1:17" ht="14.25" customHeight="1">
      <c r="A54" s="93" t="s">
        <v>251</v>
      </c>
      <c r="B54" s="87" t="s">
        <v>2304</v>
      </c>
      <c r="C54" s="88">
        <v>22460</v>
      </c>
      <c r="D54" s="88"/>
      <c r="E54" s="88"/>
      <c r="F54" s="88"/>
      <c r="G54" s="94"/>
      <c r="N54" s="84" t="s">
        <v>2429</v>
      </c>
    </row>
    <row r="55" spans="1:17" ht="14.25" customHeight="1">
      <c r="A55" s="82" t="s">
        <v>259</v>
      </c>
      <c r="B55" s="83" t="s">
        <v>2305</v>
      </c>
      <c r="C55" s="84">
        <v>21970</v>
      </c>
      <c r="D55" s="84">
        <v>20370</v>
      </c>
      <c r="E55" s="84">
        <v>20180</v>
      </c>
      <c r="F55" s="84">
        <v>5730</v>
      </c>
      <c r="G55" s="84">
        <v>13820</v>
      </c>
      <c r="N55" s="84" t="s">
        <v>2430</v>
      </c>
    </row>
    <row r="56" spans="1:17" ht="14.25" customHeight="1">
      <c r="A56" s="84" t="s">
        <v>259</v>
      </c>
      <c r="B56" s="84" t="s">
        <v>2306</v>
      </c>
      <c r="C56" s="84">
        <v>20470</v>
      </c>
      <c r="D56" s="84">
        <v>20700</v>
      </c>
      <c r="E56" s="84">
        <v>20380</v>
      </c>
      <c r="F56" s="84">
        <v>4760</v>
      </c>
      <c r="G56" s="84">
        <v>14050</v>
      </c>
      <c r="N56" s="84" t="s">
        <v>2431</v>
      </c>
    </row>
    <row r="57" spans="1:17" ht="14.25" customHeight="1">
      <c r="A57" s="84" t="s">
        <v>259</v>
      </c>
      <c r="B57" s="84" t="s">
        <v>2307</v>
      </c>
      <c r="C57" s="84">
        <v>20790</v>
      </c>
      <c r="D57" s="84">
        <v>21370</v>
      </c>
      <c r="E57" s="84">
        <v>20890</v>
      </c>
      <c r="F57" s="84">
        <v>4910</v>
      </c>
      <c r="G57" s="84">
        <v>14510</v>
      </c>
      <c r="N57" s="84" t="s">
        <v>2432</v>
      </c>
    </row>
    <row r="58" spans="1:17" ht="14.25" customHeight="1">
      <c r="A58" s="84" t="s">
        <v>259</v>
      </c>
      <c r="B58" s="84" t="s">
        <v>2308</v>
      </c>
      <c r="C58" s="84">
        <v>21460</v>
      </c>
      <c r="D58" s="84">
        <v>20920</v>
      </c>
      <c r="E58" s="84">
        <v>23410</v>
      </c>
      <c r="F58" s="84">
        <v>5100</v>
      </c>
      <c r="G58" s="84">
        <v>14200</v>
      </c>
      <c r="N58" s="84" t="s">
        <v>2433</v>
      </c>
    </row>
    <row r="59" spans="1:17" ht="14.25" customHeight="1">
      <c r="A59" s="84" t="s">
        <v>259</v>
      </c>
      <c r="B59" s="84" t="s">
        <v>2309</v>
      </c>
      <c r="C59" s="84">
        <v>21000</v>
      </c>
      <c r="D59" s="84">
        <v>21550</v>
      </c>
      <c r="E59" s="84">
        <v>21150</v>
      </c>
      <c r="F59" s="84">
        <v>5250</v>
      </c>
      <c r="G59" s="84">
        <v>14630</v>
      </c>
      <c r="N59" s="84" t="s">
        <v>2434</v>
      </c>
    </row>
    <row r="60" spans="1:17" ht="14.25" customHeight="1">
      <c r="A60" s="84" t="s">
        <v>259</v>
      </c>
      <c r="B60" s="84" t="s">
        <v>2310</v>
      </c>
      <c r="C60" s="84">
        <v>21640</v>
      </c>
      <c r="D60" s="84">
        <v>21260</v>
      </c>
      <c r="E60" s="84">
        <v>24040</v>
      </c>
      <c r="F60" s="84">
        <v>4470</v>
      </c>
      <c r="G60" s="84">
        <v>14430</v>
      </c>
      <c r="N60" s="84" t="s">
        <v>2435</v>
      </c>
    </row>
    <row r="61" spans="1:17" ht="14.25" customHeight="1">
      <c r="A61" s="84" t="s">
        <v>259</v>
      </c>
      <c r="B61" s="84" t="s">
        <v>2311</v>
      </c>
      <c r="C61" s="84">
        <v>21330</v>
      </c>
      <c r="D61" s="84">
        <v>18640</v>
      </c>
      <c r="E61" s="84">
        <v>21190</v>
      </c>
      <c r="F61" s="84">
        <v>4180</v>
      </c>
      <c r="G61" s="84">
        <v>12650</v>
      </c>
      <c r="N61" s="84" t="s">
        <v>2436</v>
      </c>
    </row>
    <row r="62" spans="1:17" ht="14.25" customHeight="1">
      <c r="A62" s="84" t="s">
        <v>259</v>
      </c>
      <c r="B62" s="84" t="s">
        <v>2312</v>
      </c>
      <c r="C62" s="84">
        <v>18710</v>
      </c>
      <c r="D62" s="84">
        <v>19400</v>
      </c>
      <c r="E62" s="84">
        <v>23750</v>
      </c>
      <c r="F62" s="84">
        <v>4860</v>
      </c>
      <c r="G62" s="84">
        <v>13170</v>
      </c>
      <c r="N62" s="84" t="s">
        <v>2437</v>
      </c>
    </row>
    <row r="63" spans="1:17" ht="14.25" customHeight="1">
      <c r="A63" s="84" t="s">
        <v>259</v>
      </c>
      <c r="B63" s="84" t="s">
        <v>2313</v>
      </c>
      <c r="C63" s="84">
        <v>19480</v>
      </c>
      <c r="D63" s="84">
        <v>16830</v>
      </c>
      <c r="E63" s="84">
        <v>21590</v>
      </c>
      <c r="F63" s="84">
        <v>4560</v>
      </c>
      <c r="G63" s="84">
        <v>11420</v>
      </c>
      <c r="N63" s="84" t="s">
        <v>2438</v>
      </c>
    </row>
    <row r="64" spans="1:17" ht="14.25" customHeight="1">
      <c r="A64" s="84" t="s">
        <v>259</v>
      </c>
      <c r="B64" s="84" t="s">
        <v>2314</v>
      </c>
      <c r="C64" s="84">
        <v>16920</v>
      </c>
      <c r="D64" s="84">
        <v>19190</v>
      </c>
      <c r="E64" s="84">
        <v>22200</v>
      </c>
      <c r="F64" s="84">
        <v>4390</v>
      </c>
      <c r="G64" s="84">
        <v>13030</v>
      </c>
      <c r="N64" s="88" t="s">
        <v>2439</v>
      </c>
    </row>
    <row r="65" spans="1:7" s="73" customFormat="1" ht="14.25" customHeight="1">
      <c r="A65" s="84" t="s">
        <v>259</v>
      </c>
      <c r="B65" s="84" t="s">
        <v>2315</v>
      </c>
      <c r="C65" s="84">
        <v>19290</v>
      </c>
      <c r="D65" s="84">
        <v>17020</v>
      </c>
      <c r="E65" s="84">
        <v>19880</v>
      </c>
      <c r="F65" s="84">
        <v>4070</v>
      </c>
      <c r="G65" s="84">
        <v>11550</v>
      </c>
    </row>
    <row r="66" spans="1:7" s="73" customFormat="1" ht="14.25" customHeight="1">
      <c r="A66" s="84" t="s">
        <v>259</v>
      </c>
      <c r="B66" s="84" t="s">
        <v>2316</v>
      </c>
      <c r="C66" s="84">
        <v>17090</v>
      </c>
      <c r="D66" s="84">
        <v>18340</v>
      </c>
      <c r="E66" s="84">
        <v>21830</v>
      </c>
      <c r="F66" s="84">
        <v>4690</v>
      </c>
      <c r="G66" s="84">
        <v>12450</v>
      </c>
    </row>
    <row r="67" spans="1:7" s="73" customFormat="1" ht="14.25" customHeight="1">
      <c r="A67" s="84" t="s">
        <v>259</v>
      </c>
      <c r="B67" s="84" t="s">
        <v>2317</v>
      </c>
      <c r="C67" s="84">
        <v>18420</v>
      </c>
      <c r="D67" s="84">
        <v>16360</v>
      </c>
      <c r="E67" s="84">
        <v>20020</v>
      </c>
      <c r="F67" s="84">
        <v>5150</v>
      </c>
      <c r="G67" s="84">
        <v>11110</v>
      </c>
    </row>
    <row r="68" spans="1:7" s="73" customFormat="1" ht="14.25" customHeight="1">
      <c r="A68" s="84" t="s">
        <v>259</v>
      </c>
      <c r="B68" s="84" t="s">
        <v>2318</v>
      </c>
      <c r="C68" s="84">
        <v>16450</v>
      </c>
      <c r="D68" s="84">
        <v>18430</v>
      </c>
      <c r="E68" s="84">
        <v>21010</v>
      </c>
      <c r="F68" s="84">
        <v>4720</v>
      </c>
      <c r="G68" s="84">
        <v>12510</v>
      </c>
    </row>
    <row r="69" spans="1:7" s="73" customFormat="1" ht="14.25" customHeight="1">
      <c r="A69" s="84" t="s">
        <v>259</v>
      </c>
      <c r="B69" s="84" t="s">
        <v>2319</v>
      </c>
      <c r="C69" s="84">
        <v>18510</v>
      </c>
      <c r="D69" s="84">
        <v>16300</v>
      </c>
      <c r="E69" s="84">
        <v>18830</v>
      </c>
      <c r="F69" s="84">
        <v>5400</v>
      </c>
      <c r="G69" s="84">
        <v>11070</v>
      </c>
    </row>
    <row r="70" spans="1:7" s="73" customFormat="1" ht="14.25" customHeight="1">
      <c r="A70" s="84" t="s">
        <v>259</v>
      </c>
      <c r="B70" s="84" t="s">
        <v>2320</v>
      </c>
      <c r="C70" s="84">
        <v>16370</v>
      </c>
      <c r="D70" s="84">
        <v>18620</v>
      </c>
      <c r="E70" s="84">
        <v>21100</v>
      </c>
      <c r="F70" s="84">
        <v>5700</v>
      </c>
      <c r="G70" s="84">
        <v>12640</v>
      </c>
    </row>
    <row r="71" spans="1:7" s="73" customFormat="1" ht="14.25" customHeight="1">
      <c r="A71" s="84" t="s">
        <v>259</v>
      </c>
      <c r="B71" s="84" t="s">
        <v>2321</v>
      </c>
      <c r="C71" s="84">
        <v>18700</v>
      </c>
      <c r="D71" s="84">
        <v>16290</v>
      </c>
      <c r="E71" s="84">
        <v>18760</v>
      </c>
      <c r="F71" s="84">
        <v>4780</v>
      </c>
      <c r="G71" s="84">
        <v>11050</v>
      </c>
    </row>
    <row r="72" spans="1:7" s="73" customFormat="1" ht="14.25" customHeight="1">
      <c r="A72" s="84" t="s">
        <v>259</v>
      </c>
      <c r="B72" s="84" t="s">
        <v>2322</v>
      </c>
      <c r="C72" s="84">
        <v>16340</v>
      </c>
      <c r="D72" s="84">
        <v>17520</v>
      </c>
      <c r="E72" s="84">
        <v>21170</v>
      </c>
      <c r="F72" s="84"/>
      <c r="G72" s="84">
        <v>11900</v>
      </c>
    </row>
    <row r="73" spans="1:7" s="73" customFormat="1" ht="14.25" customHeight="1">
      <c r="A73" s="84" t="s">
        <v>259</v>
      </c>
      <c r="B73" s="84" t="s">
        <v>2323</v>
      </c>
      <c r="C73" s="84">
        <v>17610</v>
      </c>
      <c r="D73" s="84">
        <v>18520</v>
      </c>
      <c r="E73" s="84">
        <v>18720</v>
      </c>
      <c r="F73" s="84"/>
      <c r="G73" s="84">
        <v>12570</v>
      </c>
    </row>
    <row r="74" spans="1:7" s="73" customFormat="1" ht="14.25" customHeight="1">
      <c r="A74" s="84" t="s">
        <v>259</v>
      </c>
      <c r="B74" s="84" t="s">
        <v>2324</v>
      </c>
      <c r="C74" s="84">
        <v>18600</v>
      </c>
      <c r="D74" s="84">
        <v>16480</v>
      </c>
      <c r="E74" s="84">
        <v>20100</v>
      </c>
      <c r="F74" s="84"/>
      <c r="G74" s="84">
        <v>11190</v>
      </c>
    </row>
    <row r="75" spans="1:7" s="73" customFormat="1" ht="14.25" customHeight="1">
      <c r="A75" s="84" t="s">
        <v>259</v>
      </c>
      <c r="B75" s="84" t="s">
        <v>2325</v>
      </c>
      <c r="C75" s="84">
        <v>16570</v>
      </c>
      <c r="D75" s="84">
        <v>17530</v>
      </c>
      <c r="E75" s="84">
        <v>21030</v>
      </c>
      <c r="F75" s="84"/>
      <c r="G75" s="84">
        <v>11900</v>
      </c>
    </row>
    <row r="76" spans="1:7" s="73" customFormat="1" ht="14.25" customHeight="1">
      <c r="A76" s="84" t="s">
        <v>259</v>
      </c>
      <c r="B76" s="84" t="s">
        <v>2326</v>
      </c>
      <c r="C76" s="84">
        <v>17610</v>
      </c>
      <c r="D76" s="84">
        <v>20800</v>
      </c>
      <c r="E76" s="84">
        <v>18920</v>
      </c>
      <c r="F76" s="84"/>
      <c r="G76" s="84">
        <v>14120</v>
      </c>
    </row>
    <row r="77" spans="1:7" s="73" customFormat="1" ht="14.25" customHeight="1">
      <c r="A77" s="84" t="s">
        <v>259</v>
      </c>
      <c r="B77" s="84" t="s">
        <v>2327</v>
      </c>
      <c r="C77" s="84">
        <v>20890</v>
      </c>
      <c r="D77" s="84">
        <v>19740</v>
      </c>
      <c r="E77" s="84">
        <v>20110</v>
      </c>
      <c r="F77" s="84"/>
      <c r="G77" s="84">
        <v>13400</v>
      </c>
    </row>
    <row r="78" spans="1:7" s="73" customFormat="1" ht="14.25" customHeight="1">
      <c r="A78" s="84" t="s">
        <v>259</v>
      </c>
      <c r="B78" s="84" t="s">
        <v>2328</v>
      </c>
      <c r="C78" s="84">
        <v>19820</v>
      </c>
      <c r="D78" s="84">
        <v>19780</v>
      </c>
      <c r="E78" s="84">
        <v>18560</v>
      </c>
      <c r="F78" s="84"/>
      <c r="G78" s="84">
        <v>13430</v>
      </c>
    </row>
    <row r="79" spans="1:7" s="73" customFormat="1" ht="14.25" customHeight="1">
      <c r="A79" s="84" t="s">
        <v>259</v>
      </c>
      <c r="B79" s="84" t="s">
        <v>2329</v>
      </c>
      <c r="C79" s="84">
        <v>21660</v>
      </c>
      <c r="D79" s="84">
        <v>18000</v>
      </c>
      <c r="E79" s="84">
        <v>22570</v>
      </c>
      <c r="F79" s="84"/>
      <c r="G79" s="84">
        <v>12220</v>
      </c>
    </row>
    <row r="80" spans="1:7" s="73" customFormat="1" ht="14.25" customHeight="1">
      <c r="A80" s="84" t="s">
        <v>259</v>
      </c>
      <c r="B80" s="84" t="s">
        <v>2330</v>
      </c>
      <c r="C80" s="84">
        <v>19850</v>
      </c>
      <c r="D80" s="84"/>
      <c r="E80" s="84">
        <v>21700</v>
      </c>
      <c r="F80" s="84"/>
      <c r="G80" s="84"/>
    </row>
    <row r="81" spans="1:7" s="73" customFormat="1" ht="14.25" customHeight="1">
      <c r="A81" s="84" t="s">
        <v>259</v>
      </c>
      <c r="B81" s="84" t="s">
        <v>2331</v>
      </c>
      <c r="C81" s="84">
        <v>18080</v>
      </c>
      <c r="D81" s="84"/>
      <c r="E81" s="84">
        <v>20900</v>
      </c>
      <c r="F81" s="84"/>
      <c r="G81" s="84"/>
    </row>
    <row r="82" spans="1:7" s="73" customFormat="1" ht="14.25" customHeight="1">
      <c r="A82" s="84" t="s">
        <v>259</v>
      </c>
      <c r="B82" s="84" t="s">
        <v>2332</v>
      </c>
      <c r="C82" s="84"/>
      <c r="D82" s="84"/>
      <c r="E82" s="84">
        <v>20840</v>
      </c>
      <c r="F82" s="84"/>
      <c r="G82" s="84"/>
    </row>
    <row r="83" spans="1:7" s="73" customFormat="1" ht="14.25" customHeight="1">
      <c r="A83" s="84" t="s">
        <v>259</v>
      </c>
      <c r="B83" s="84" t="s">
        <v>2333</v>
      </c>
      <c r="C83" s="84"/>
      <c r="D83" s="84"/>
      <c r="E83" s="84"/>
      <c r="F83" s="84">
        <v>4770</v>
      </c>
      <c r="G83" s="84"/>
    </row>
    <row r="84" spans="1:7" s="73" customFormat="1" ht="14.25" customHeight="1">
      <c r="A84" s="84" t="s">
        <v>259</v>
      </c>
      <c r="B84" s="84" t="s">
        <v>2334</v>
      </c>
      <c r="C84" s="84"/>
      <c r="D84" s="84"/>
      <c r="E84" s="84"/>
      <c r="F84" s="84">
        <v>4600</v>
      </c>
      <c r="G84" s="84"/>
    </row>
    <row r="85" spans="1:7" s="73" customFormat="1" ht="14.25" customHeight="1">
      <c r="A85" s="84" t="s">
        <v>259</v>
      </c>
      <c r="B85" s="84" t="s">
        <v>2335</v>
      </c>
      <c r="C85" s="84"/>
      <c r="D85" s="84"/>
      <c r="E85" s="84"/>
      <c r="F85" s="84">
        <v>4680</v>
      </c>
      <c r="G85" s="84"/>
    </row>
    <row r="86" spans="1:7" s="73" customFormat="1" ht="14.25" customHeight="1">
      <c r="A86" s="86" t="s">
        <v>259</v>
      </c>
      <c r="B86" s="89" t="s">
        <v>2336</v>
      </c>
      <c r="C86" s="90">
        <v>16610</v>
      </c>
      <c r="D86" s="90">
        <v>16540</v>
      </c>
      <c r="E86" s="90">
        <v>18850</v>
      </c>
      <c r="F86" s="90"/>
      <c r="G86" s="90">
        <v>11220</v>
      </c>
    </row>
    <row r="87" spans="1:7" s="73" customFormat="1" ht="14.25" customHeight="1">
      <c r="A87" s="82" t="s">
        <v>267</v>
      </c>
      <c r="B87" s="83" t="s">
        <v>2337</v>
      </c>
      <c r="C87" s="83">
        <v>15240</v>
      </c>
      <c r="D87" s="83">
        <v>15170</v>
      </c>
      <c r="E87" s="83">
        <v>18260</v>
      </c>
      <c r="F87" s="83">
        <v>3830</v>
      </c>
      <c r="G87" s="91">
        <v>10020</v>
      </c>
    </row>
    <row r="88" spans="1:7" s="73" customFormat="1" ht="14.25" customHeight="1">
      <c r="A88" s="84" t="s">
        <v>267</v>
      </c>
      <c r="B88" s="84" t="s">
        <v>2338</v>
      </c>
      <c r="C88" s="84">
        <v>17310</v>
      </c>
      <c r="D88" s="84">
        <v>17220</v>
      </c>
      <c r="E88" s="84">
        <v>18610</v>
      </c>
      <c r="F88" s="84">
        <v>3990</v>
      </c>
      <c r="G88" s="92">
        <v>11380</v>
      </c>
    </row>
    <row r="89" spans="1:7" s="73" customFormat="1" ht="14.25" customHeight="1">
      <c r="A89" s="84" t="s">
        <v>267</v>
      </c>
      <c r="B89" s="84" t="s">
        <v>2339</v>
      </c>
      <c r="C89" s="84">
        <v>15600</v>
      </c>
      <c r="D89" s="84">
        <v>15550</v>
      </c>
      <c r="E89" s="84">
        <v>19200</v>
      </c>
      <c r="F89" s="84">
        <v>4110</v>
      </c>
      <c r="G89" s="92">
        <v>10270</v>
      </c>
    </row>
    <row r="90" spans="1:7" s="73" customFormat="1" ht="14.25" customHeight="1">
      <c r="A90" s="84" t="s">
        <v>267</v>
      </c>
      <c r="B90" s="84" t="s">
        <v>2340</v>
      </c>
      <c r="C90" s="84">
        <v>17330</v>
      </c>
      <c r="D90" s="84">
        <v>17240</v>
      </c>
      <c r="E90" s="84">
        <v>18570</v>
      </c>
      <c r="F90" s="84">
        <v>4070</v>
      </c>
      <c r="G90" s="92">
        <v>11390</v>
      </c>
    </row>
    <row r="91" spans="1:7" s="73" customFormat="1" ht="14.25" customHeight="1">
      <c r="A91" s="84" t="s">
        <v>267</v>
      </c>
      <c r="B91" s="84" t="s">
        <v>2341</v>
      </c>
      <c r="C91" s="84">
        <v>16330</v>
      </c>
      <c r="D91" s="84">
        <v>16260</v>
      </c>
      <c r="E91" s="84">
        <v>16800</v>
      </c>
      <c r="F91" s="84">
        <v>3410</v>
      </c>
      <c r="G91" s="92">
        <v>10740</v>
      </c>
    </row>
    <row r="92" spans="1:7" s="73" customFormat="1" ht="14.25" customHeight="1">
      <c r="A92" s="84" t="s">
        <v>267</v>
      </c>
      <c r="B92" s="84" t="s">
        <v>2342</v>
      </c>
      <c r="C92" s="84">
        <v>15570</v>
      </c>
      <c r="D92" s="84">
        <v>15500</v>
      </c>
      <c r="E92" s="84">
        <v>17360</v>
      </c>
      <c r="F92" s="84">
        <v>3510</v>
      </c>
      <c r="G92" s="92">
        <v>10240</v>
      </c>
    </row>
    <row r="93" spans="1:7" s="73" customFormat="1" ht="14.25" customHeight="1">
      <c r="A93" s="84" t="s">
        <v>267</v>
      </c>
      <c r="B93" s="84" t="s">
        <v>2343</v>
      </c>
      <c r="C93" s="84">
        <v>14000</v>
      </c>
      <c r="D93" s="84">
        <v>13930</v>
      </c>
      <c r="E93" s="84">
        <v>18200</v>
      </c>
      <c r="F93" s="84">
        <v>3640</v>
      </c>
      <c r="G93" s="92">
        <v>9210</v>
      </c>
    </row>
    <row r="94" spans="1:7" s="73" customFormat="1" ht="14.25" customHeight="1">
      <c r="A94" s="84" t="s">
        <v>267</v>
      </c>
      <c r="B94" s="84" t="s">
        <v>2344</v>
      </c>
      <c r="C94" s="84">
        <v>14530</v>
      </c>
      <c r="D94" s="84">
        <v>14470</v>
      </c>
      <c r="E94" s="84">
        <v>18240</v>
      </c>
      <c r="F94" s="84">
        <v>3180</v>
      </c>
      <c r="G94" s="92">
        <v>9560</v>
      </c>
    </row>
    <row r="95" spans="1:7" s="73" customFormat="1" ht="14.25" customHeight="1">
      <c r="A95" s="84" t="s">
        <v>267</v>
      </c>
      <c r="B95" s="84" t="s">
        <v>2345</v>
      </c>
      <c r="C95" s="84">
        <v>17330</v>
      </c>
      <c r="D95" s="84">
        <v>17260</v>
      </c>
      <c r="E95" s="84">
        <v>18420</v>
      </c>
      <c r="F95" s="84">
        <v>3060</v>
      </c>
      <c r="G95" s="92">
        <v>11410</v>
      </c>
    </row>
    <row r="96" spans="1:7" s="73" customFormat="1" ht="14.25" customHeight="1">
      <c r="A96" s="84" t="s">
        <v>267</v>
      </c>
      <c r="B96" s="84" t="s">
        <v>2346</v>
      </c>
      <c r="C96" s="84">
        <v>15030</v>
      </c>
      <c r="D96" s="84">
        <v>14970</v>
      </c>
      <c r="E96" s="84">
        <v>17580</v>
      </c>
      <c r="F96" s="84">
        <v>2970</v>
      </c>
      <c r="G96" s="92">
        <v>9890</v>
      </c>
    </row>
    <row r="97" spans="1:7" s="73" customFormat="1" ht="14.25" customHeight="1">
      <c r="A97" s="84" t="s">
        <v>267</v>
      </c>
      <c r="B97" s="84" t="s">
        <v>2347</v>
      </c>
      <c r="C97" s="84">
        <v>17400</v>
      </c>
      <c r="D97" s="84">
        <v>17330</v>
      </c>
      <c r="E97" s="84">
        <v>16430</v>
      </c>
      <c r="F97" s="84">
        <v>2950</v>
      </c>
      <c r="G97" s="92">
        <v>11450</v>
      </c>
    </row>
    <row r="98" spans="1:7" s="73" customFormat="1" ht="14.25" customHeight="1">
      <c r="A98" s="84" t="s">
        <v>267</v>
      </c>
      <c r="B98" s="84" t="s">
        <v>2348</v>
      </c>
      <c r="C98" s="84">
        <v>15200</v>
      </c>
      <c r="D98" s="84">
        <v>15120</v>
      </c>
      <c r="E98" s="84">
        <v>17550</v>
      </c>
      <c r="F98" s="84">
        <v>3080</v>
      </c>
      <c r="G98" s="92">
        <v>9990</v>
      </c>
    </row>
    <row r="99" spans="1:7" s="73" customFormat="1" ht="14.25" customHeight="1">
      <c r="A99" s="84" t="s">
        <v>267</v>
      </c>
      <c r="B99" s="84" t="s">
        <v>2349</v>
      </c>
      <c r="C99" s="84">
        <v>17520</v>
      </c>
      <c r="D99" s="84">
        <v>17430</v>
      </c>
      <c r="E99" s="84">
        <v>16350</v>
      </c>
      <c r="F99" s="84">
        <v>3260</v>
      </c>
      <c r="G99" s="92">
        <v>11510</v>
      </c>
    </row>
    <row r="100" spans="1:7" s="73" customFormat="1" ht="14.25" customHeight="1">
      <c r="A100" s="84" t="s">
        <v>267</v>
      </c>
      <c r="B100" s="84" t="s">
        <v>2350</v>
      </c>
      <c r="C100" s="84">
        <v>15340</v>
      </c>
      <c r="D100" s="84">
        <v>15260</v>
      </c>
      <c r="E100" s="84">
        <v>15930</v>
      </c>
      <c r="F100" s="84">
        <v>2740</v>
      </c>
      <c r="G100" s="92">
        <v>10080</v>
      </c>
    </row>
    <row r="101" spans="1:7" s="73" customFormat="1" ht="14.25" customHeight="1">
      <c r="A101" s="84" t="s">
        <v>267</v>
      </c>
      <c r="B101" s="84" t="s">
        <v>2351</v>
      </c>
      <c r="C101" s="84">
        <v>14620</v>
      </c>
      <c r="D101" s="84">
        <v>14560</v>
      </c>
      <c r="E101" s="84">
        <v>15570</v>
      </c>
      <c r="F101" s="84">
        <v>3500</v>
      </c>
      <c r="G101" s="92">
        <v>9630</v>
      </c>
    </row>
    <row r="102" spans="1:7" s="73" customFormat="1" ht="14.25" customHeight="1">
      <c r="A102" s="84" t="s">
        <v>267</v>
      </c>
      <c r="B102" s="84" t="s">
        <v>2352</v>
      </c>
      <c r="C102" s="84">
        <v>13680</v>
      </c>
      <c r="D102" s="84">
        <v>13610</v>
      </c>
      <c r="E102" s="84">
        <v>15690</v>
      </c>
      <c r="F102" s="84">
        <v>2870</v>
      </c>
      <c r="G102" s="92">
        <v>8990</v>
      </c>
    </row>
    <row r="103" spans="1:7" s="73" customFormat="1" ht="14.25" customHeight="1">
      <c r="A103" s="84" t="s">
        <v>267</v>
      </c>
      <c r="B103" s="84" t="s">
        <v>2353</v>
      </c>
      <c r="C103" s="84">
        <v>14620</v>
      </c>
      <c r="D103" s="84">
        <v>14540</v>
      </c>
      <c r="E103" s="84">
        <v>15240</v>
      </c>
      <c r="F103" s="84">
        <v>2840</v>
      </c>
      <c r="G103" s="92">
        <v>9610</v>
      </c>
    </row>
    <row r="104" spans="1:7" s="73" customFormat="1" ht="14.25" customHeight="1">
      <c r="A104" s="84" t="s">
        <v>267</v>
      </c>
      <c r="B104" s="84" t="s">
        <v>2354</v>
      </c>
      <c r="C104" s="84">
        <v>13610</v>
      </c>
      <c r="D104" s="84">
        <v>13540</v>
      </c>
      <c r="E104" s="84">
        <v>15750</v>
      </c>
      <c r="F104" s="84">
        <v>2770</v>
      </c>
      <c r="G104" s="92">
        <v>8940</v>
      </c>
    </row>
    <row r="105" spans="1:7" s="73" customFormat="1" ht="14.25" customHeight="1">
      <c r="A105" s="84" t="s">
        <v>267</v>
      </c>
      <c r="B105" s="84" t="s">
        <v>2355</v>
      </c>
      <c r="C105" s="84">
        <v>13310</v>
      </c>
      <c r="D105" s="84">
        <v>13240</v>
      </c>
      <c r="E105" s="84">
        <v>16280</v>
      </c>
      <c r="F105" s="84">
        <v>3210</v>
      </c>
      <c r="G105" s="92">
        <v>8750</v>
      </c>
    </row>
    <row r="106" spans="1:7" s="73" customFormat="1" ht="14.25" customHeight="1">
      <c r="A106" s="84" t="s">
        <v>267</v>
      </c>
      <c r="B106" s="84" t="s">
        <v>2356</v>
      </c>
      <c r="C106" s="84">
        <v>13010</v>
      </c>
      <c r="D106" s="84">
        <v>12930</v>
      </c>
      <c r="E106" s="84">
        <v>14960</v>
      </c>
      <c r="F106" s="84">
        <v>3530</v>
      </c>
      <c r="G106" s="92">
        <v>8550</v>
      </c>
    </row>
    <row r="107" spans="1:7" s="73" customFormat="1" ht="14.25" customHeight="1">
      <c r="A107" s="84" t="s">
        <v>267</v>
      </c>
      <c r="B107" s="84" t="s">
        <v>2357</v>
      </c>
      <c r="C107" s="84">
        <v>13070</v>
      </c>
      <c r="D107" s="84">
        <v>13000</v>
      </c>
      <c r="E107" s="84">
        <v>15910</v>
      </c>
      <c r="F107" s="84">
        <v>3990</v>
      </c>
      <c r="G107" s="92">
        <v>8580</v>
      </c>
    </row>
    <row r="108" spans="1:7" s="73" customFormat="1" ht="14.25" customHeight="1">
      <c r="A108" s="84" t="s">
        <v>267</v>
      </c>
      <c r="B108" s="84" t="s">
        <v>2358</v>
      </c>
      <c r="C108" s="84">
        <v>12640</v>
      </c>
      <c r="D108" s="84">
        <v>12580</v>
      </c>
      <c r="E108" s="84">
        <v>15730</v>
      </c>
      <c r="F108" s="84"/>
      <c r="G108" s="92">
        <v>8310</v>
      </c>
    </row>
    <row r="109" spans="1:7" s="73" customFormat="1" ht="14.25" customHeight="1">
      <c r="A109" s="84" t="s">
        <v>267</v>
      </c>
      <c r="B109" s="84" t="s">
        <v>2359</v>
      </c>
      <c r="C109" s="84">
        <v>13130</v>
      </c>
      <c r="D109" s="84">
        <v>13070</v>
      </c>
      <c r="E109" s="84">
        <v>15000</v>
      </c>
      <c r="F109" s="84"/>
      <c r="G109" s="92">
        <v>8630</v>
      </c>
    </row>
    <row r="110" spans="1:7" s="73" customFormat="1" ht="14.25" customHeight="1">
      <c r="A110" s="84" t="s">
        <v>267</v>
      </c>
      <c r="B110" s="84" t="s">
        <v>2360</v>
      </c>
      <c r="C110" s="84">
        <v>13560</v>
      </c>
      <c r="D110" s="84">
        <v>13490</v>
      </c>
      <c r="E110" s="84">
        <v>16300</v>
      </c>
      <c r="F110" s="84"/>
      <c r="G110" s="92">
        <v>8920</v>
      </c>
    </row>
    <row r="111" spans="1:7" s="73" customFormat="1" ht="14.25" customHeight="1">
      <c r="A111" s="84" t="s">
        <v>267</v>
      </c>
      <c r="B111" s="84" t="s">
        <v>2361</v>
      </c>
      <c r="C111" s="84">
        <v>12440</v>
      </c>
      <c r="D111" s="84">
        <v>12380</v>
      </c>
      <c r="E111" s="84">
        <v>17850</v>
      </c>
      <c r="F111" s="84"/>
      <c r="G111" s="92">
        <v>8180</v>
      </c>
    </row>
    <row r="112" spans="1:7" s="73" customFormat="1" ht="14.25" customHeight="1">
      <c r="A112" s="84" t="s">
        <v>267</v>
      </c>
      <c r="B112" s="84" t="s">
        <v>2362</v>
      </c>
      <c r="C112" s="84">
        <v>13260</v>
      </c>
      <c r="D112" s="84">
        <v>13180</v>
      </c>
      <c r="E112" s="84">
        <v>19740</v>
      </c>
      <c r="F112" s="84"/>
      <c r="G112" s="92">
        <v>8710</v>
      </c>
    </row>
    <row r="113" spans="1:7" s="73" customFormat="1" ht="14.25" customHeight="1">
      <c r="A113" s="84" t="s">
        <v>267</v>
      </c>
      <c r="B113" s="84" t="s">
        <v>2363</v>
      </c>
      <c r="C113" s="84">
        <v>15520</v>
      </c>
      <c r="D113" s="84">
        <v>15450</v>
      </c>
      <c r="E113" s="84"/>
      <c r="F113" s="84"/>
      <c r="G113" s="92">
        <v>10210</v>
      </c>
    </row>
    <row r="114" spans="1:7" s="73" customFormat="1" ht="14.25" customHeight="1">
      <c r="A114" s="84" t="s">
        <v>267</v>
      </c>
      <c r="B114" s="84" t="s">
        <v>2364</v>
      </c>
      <c r="C114" s="84">
        <v>13110</v>
      </c>
      <c r="D114" s="84">
        <v>13050</v>
      </c>
      <c r="E114" s="84"/>
      <c r="F114" s="84"/>
      <c r="G114" s="92">
        <v>8620</v>
      </c>
    </row>
    <row r="115" spans="1:7" s="73" customFormat="1" ht="14.25" customHeight="1">
      <c r="A115" s="84" t="s">
        <v>267</v>
      </c>
      <c r="B115" s="84" t="s">
        <v>2365</v>
      </c>
      <c r="C115" s="84">
        <v>12460</v>
      </c>
      <c r="D115" s="84">
        <v>12390</v>
      </c>
      <c r="E115" s="84"/>
      <c r="F115" s="84"/>
      <c r="G115" s="92">
        <v>8190</v>
      </c>
    </row>
    <row r="116" spans="1:7" s="73" customFormat="1" ht="14.25" customHeight="1">
      <c r="A116" s="84" t="s">
        <v>267</v>
      </c>
      <c r="B116" s="84" t="s">
        <v>2366</v>
      </c>
      <c r="C116" s="84">
        <v>13580</v>
      </c>
      <c r="D116" s="84">
        <v>13520</v>
      </c>
      <c r="E116" s="84"/>
      <c r="F116" s="84"/>
      <c r="G116" s="92">
        <v>8930</v>
      </c>
    </row>
    <row r="117" spans="1:7" s="73" customFormat="1" ht="14.25" customHeight="1">
      <c r="A117" s="84" t="s">
        <v>267</v>
      </c>
      <c r="B117" s="84" t="s">
        <v>2367</v>
      </c>
      <c r="C117" s="84">
        <v>17120</v>
      </c>
      <c r="D117" s="84">
        <v>17040</v>
      </c>
      <c r="E117" s="84"/>
      <c r="F117" s="84"/>
      <c r="G117" s="92">
        <v>11260</v>
      </c>
    </row>
    <row r="118" spans="1:7" s="73" customFormat="1" ht="14.25" customHeight="1">
      <c r="A118" s="84" t="s">
        <v>267</v>
      </c>
      <c r="B118" s="84" t="s">
        <v>2368</v>
      </c>
      <c r="C118" s="84">
        <v>14860</v>
      </c>
      <c r="D118" s="84">
        <v>14790</v>
      </c>
      <c r="E118" s="84"/>
      <c r="F118" s="84"/>
      <c r="G118" s="92">
        <v>9780</v>
      </c>
    </row>
    <row r="119" spans="1:7" s="73" customFormat="1" ht="14.25" customHeight="1">
      <c r="A119" s="84" t="s">
        <v>267</v>
      </c>
      <c r="B119" s="84" t="s">
        <v>2369</v>
      </c>
      <c r="C119" s="84">
        <v>16470</v>
      </c>
      <c r="D119" s="84">
        <v>16400</v>
      </c>
      <c r="E119" s="84"/>
      <c r="F119" s="84"/>
      <c r="G119" s="92">
        <v>10840</v>
      </c>
    </row>
    <row r="120" spans="1:7" s="73" customFormat="1" ht="14.25" customHeight="1">
      <c r="A120" s="84" t="s">
        <v>267</v>
      </c>
      <c r="B120" s="84" t="s">
        <v>2370</v>
      </c>
      <c r="C120" s="84"/>
      <c r="D120" s="84"/>
      <c r="E120" s="84"/>
      <c r="F120" s="84">
        <v>4160</v>
      </c>
      <c r="G120" s="92"/>
    </row>
    <row r="121" spans="1:7" s="73" customFormat="1" ht="14.25" customHeight="1">
      <c r="A121" s="84" t="s">
        <v>267</v>
      </c>
      <c r="B121" s="84" t="s">
        <v>2371</v>
      </c>
      <c r="C121" s="84"/>
      <c r="D121" s="84"/>
      <c r="E121" s="84"/>
      <c r="F121" s="84">
        <v>3880</v>
      </c>
      <c r="G121" s="92"/>
    </row>
    <row r="122" spans="1:7" s="73" customFormat="1" ht="14.25" customHeight="1">
      <c r="A122" s="84" t="s">
        <v>267</v>
      </c>
      <c r="B122" s="84" t="s">
        <v>2372</v>
      </c>
      <c r="C122" s="84">
        <v>13750</v>
      </c>
      <c r="D122" s="84">
        <v>13680</v>
      </c>
      <c r="E122" s="84">
        <v>16460</v>
      </c>
      <c r="F122" s="84">
        <v>2880</v>
      </c>
      <c r="G122" s="92">
        <v>9040</v>
      </c>
    </row>
    <row r="123" spans="1:7" s="73" customFormat="1" ht="14.25" customHeight="1">
      <c r="A123" s="84" t="s">
        <v>267</v>
      </c>
      <c r="B123" s="84" t="s">
        <v>2373</v>
      </c>
      <c r="C123" s="84">
        <v>13590</v>
      </c>
      <c r="D123" s="84">
        <v>13520</v>
      </c>
      <c r="E123" s="84">
        <v>16290</v>
      </c>
      <c r="F123" s="84">
        <v>2790</v>
      </c>
      <c r="G123" s="92">
        <v>8930</v>
      </c>
    </row>
    <row r="124" spans="1:7" s="73" customFormat="1" ht="14.25" customHeight="1">
      <c r="A124" s="84" t="s">
        <v>267</v>
      </c>
      <c r="B124" s="84" t="s">
        <v>2374</v>
      </c>
      <c r="C124" s="84">
        <v>13400</v>
      </c>
      <c r="D124" s="84">
        <v>13320</v>
      </c>
      <c r="E124" s="84">
        <v>16100</v>
      </c>
      <c r="F124" s="84">
        <v>2320</v>
      </c>
      <c r="G124" s="92">
        <v>8800</v>
      </c>
    </row>
    <row r="125" spans="1:7" s="73" customFormat="1" ht="14.25" customHeight="1">
      <c r="A125" s="84" t="s">
        <v>267</v>
      </c>
      <c r="B125" s="84" t="s">
        <v>2375</v>
      </c>
      <c r="C125" s="84">
        <v>12860</v>
      </c>
      <c r="D125" s="84">
        <v>12790</v>
      </c>
      <c r="E125" s="84">
        <v>15370</v>
      </c>
      <c r="F125" s="84">
        <v>2280</v>
      </c>
      <c r="G125" s="92">
        <v>8450</v>
      </c>
    </row>
    <row r="126" spans="1:7" s="73" customFormat="1" ht="14.25" customHeight="1">
      <c r="A126" s="93" t="s">
        <v>267</v>
      </c>
      <c r="B126" s="88" t="s">
        <v>2376</v>
      </c>
      <c r="C126" s="88">
        <v>12960</v>
      </c>
      <c r="D126" s="88">
        <v>12890</v>
      </c>
      <c r="E126" s="88">
        <v>15530</v>
      </c>
      <c r="F126" s="88">
        <v>2910</v>
      </c>
      <c r="G126" s="94">
        <v>8520</v>
      </c>
    </row>
    <row r="127" spans="1:7" s="73" customFormat="1" ht="14.25" customHeight="1">
      <c r="A127" s="82" t="s">
        <v>273</v>
      </c>
      <c r="B127" s="83" t="s">
        <v>2377</v>
      </c>
      <c r="C127" s="84">
        <v>12280</v>
      </c>
      <c r="D127" s="84">
        <v>12250</v>
      </c>
      <c r="E127" s="84">
        <v>15130</v>
      </c>
      <c r="F127" s="84">
        <v>2710</v>
      </c>
      <c r="G127" s="84">
        <v>7870</v>
      </c>
    </row>
    <row r="128" spans="1:7" s="73" customFormat="1" ht="14.25" customHeight="1">
      <c r="A128" s="84" t="s">
        <v>273</v>
      </c>
      <c r="B128" s="84" t="s">
        <v>2378</v>
      </c>
      <c r="C128" s="84">
        <v>13180</v>
      </c>
      <c r="D128" s="84">
        <v>13150</v>
      </c>
      <c r="E128" s="84">
        <v>16190</v>
      </c>
      <c r="F128" s="84">
        <v>2820</v>
      </c>
      <c r="G128" s="84">
        <v>8460</v>
      </c>
    </row>
    <row r="129" spans="1:7" s="73" customFormat="1" ht="14.25" customHeight="1">
      <c r="A129" s="84" t="s">
        <v>273</v>
      </c>
      <c r="B129" s="84" t="s">
        <v>2379</v>
      </c>
      <c r="C129" s="84">
        <v>10950</v>
      </c>
      <c r="D129" s="84">
        <v>10920</v>
      </c>
      <c r="E129" s="84">
        <v>13820</v>
      </c>
      <c r="F129" s="84">
        <v>2500</v>
      </c>
      <c r="G129" s="84">
        <v>7020</v>
      </c>
    </row>
    <row r="130" spans="1:7" s="73" customFormat="1" ht="14.25" customHeight="1">
      <c r="A130" s="84" t="s">
        <v>273</v>
      </c>
      <c r="B130" s="84" t="s">
        <v>2380</v>
      </c>
      <c r="C130" s="84">
        <v>10910</v>
      </c>
      <c r="D130" s="84">
        <v>10860</v>
      </c>
      <c r="E130" s="84">
        <v>13730</v>
      </c>
      <c r="F130" s="84">
        <v>2760</v>
      </c>
      <c r="G130" s="84">
        <v>6990</v>
      </c>
    </row>
    <row r="131" spans="1:7" s="73" customFormat="1" ht="14.25" customHeight="1">
      <c r="A131" s="84" t="s">
        <v>273</v>
      </c>
      <c r="B131" s="84" t="s">
        <v>2381</v>
      </c>
      <c r="C131" s="84">
        <v>12910</v>
      </c>
      <c r="D131" s="84">
        <v>12870</v>
      </c>
      <c r="E131" s="84">
        <v>15720</v>
      </c>
      <c r="F131" s="84">
        <v>2750</v>
      </c>
      <c r="G131" s="84">
        <v>8280</v>
      </c>
    </row>
    <row r="132" spans="1:7" s="73" customFormat="1" ht="14.25" customHeight="1">
      <c r="A132" s="84" t="s">
        <v>273</v>
      </c>
      <c r="B132" s="84" t="s">
        <v>2382</v>
      </c>
      <c r="C132" s="84">
        <v>11910</v>
      </c>
      <c r="D132" s="84">
        <v>11860</v>
      </c>
      <c r="E132" s="84">
        <v>14730</v>
      </c>
      <c r="F132" s="84">
        <v>2360</v>
      </c>
      <c r="G132" s="84">
        <v>7630</v>
      </c>
    </row>
    <row r="133" spans="1:7" s="73" customFormat="1" ht="14.25" customHeight="1">
      <c r="A133" s="84" t="s">
        <v>273</v>
      </c>
      <c r="B133" s="84" t="s">
        <v>2383</v>
      </c>
      <c r="C133" s="84">
        <v>12270</v>
      </c>
      <c r="D133" s="84">
        <v>12210</v>
      </c>
      <c r="E133" s="84">
        <v>15010</v>
      </c>
      <c r="F133" s="84">
        <v>2580</v>
      </c>
      <c r="G133" s="84">
        <v>7860</v>
      </c>
    </row>
    <row r="134" spans="1:7" s="73" customFormat="1" ht="14.25" customHeight="1">
      <c r="A134" s="84" t="s">
        <v>273</v>
      </c>
      <c r="B134" s="84" t="s">
        <v>2384</v>
      </c>
      <c r="C134" s="84">
        <v>10800</v>
      </c>
      <c r="D134" s="84">
        <v>10780</v>
      </c>
      <c r="E134" s="84">
        <v>13640</v>
      </c>
      <c r="F134" s="84">
        <v>2110</v>
      </c>
      <c r="G134" s="84">
        <v>6930</v>
      </c>
    </row>
    <row r="135" spans="1:7" s="73" customFormat="1" ht="14.25" customHeight="1">
      <c r="A135" s="84" t="s">
        <v>273</v>
      </c>
      <c r="B135" s="84" t="s">
        <v>2385</v>
      </c>
      <c r="C135" s="84">
        <v>10430</v>
      </c>
      <c r="D135" s="84">
        <v>10390</v>
      </c>
      <c r="E135" s="84">
        <v>13140</v>
      </c>
      <c r="F135" s="84">
        <v>2240</v>
      </c>
      <c r="G135" s="84">
        <v>6680</v>
      </c>
    </row>
    <row r="136" spans="1:7" s="73" customFormat="1" ht="14.25" customHeight="1">
      <c r="A136" s="84" t="s">
        <v>273</v>
      </c>
      <c r="B136" s="84" t="s">
        <v>2386</v>
      </c>
      <c r="C136" s="84">
        <v>11930</v>
      </c>
      <c r="D136" s="84">
        <v>11880</v>
      </c>
      <c r="E136" s="84">
        <v>14770</v>
      </c>
      <c r="F136" s="84">
        <v>1970</v>
      </c>
      <c r="G136" s="84">
        <v>7640</v>
      </c>
    </row>
    <row r="137" spans="1:7" s="73" customFormat="1" ht="14.25" customHeight="1">
      <c r="A137" s="84" t="s">
        <v>273</v>
      </c>
      <c r="B137" s="84" t="s">
        <v>2387</v>
      </c>
      <c r="C137" s="84">
        <v>10470</v>
      </c>
      <c r="D137" s="84">
        <v>10430</v>
      </c>
      <c r="E137" s="84">
        <v>13190</v>
      </c>
      <c r="F137" s="84">
        <v>1990</v>
      </c>
      <c r="G137" s="84">
        <v>6710</v>
      </c>
    </row>
    <row r="138" spans="1:7" s="73" customFormat="1" ht="14.25" customHeight="1">
      <c r="A138" s="84" t="s">
        <v>273</v>
      </c>
      <c r="B138" s="84" t="s">
        <v>2388</v>
      </c>
      <c r="C138" s="84">
        <v>10410</v>
      </c>
      <c r="D138" s="84">
        <v>10380</v>
      </c>
      <c r="E138" s="84">
        <v>13130</v>
      </c>
      <c r="F138" s="84">
        <v>2030</v>
      </c>
      <c r="G138" s="84">
        <v>6680</v>
      </c>
    </row>
    <row r="139" spans="1:7" s="73" customFormat="1" ht="14.25" customHeight="1">
      <c r="A139" s="84" t="s">
        <v>273</v>
      </c>
      <c r="B139" s="84" t="s">
        <v>2389</v>
      </c>
      <c r="C139" s="84">
        <v>9460</v>
      </c>
      <c r="D139" s="84">
        <v>9410</v>
      </c>
      <c r="E139" s="84">
        <v>12050</v>
      </c>
      <c r="F139" s="84">
        <v>2140</v>
      </c>
      <c r="G139" s="84">
        <v>6050</v>
      </c>
    </row>
    <row r="140" spans="1:7" s="73" customFormat="1" ht="14.25" customHeight="1">
      <c r="A140" s="84" t="s">
        <v>273</v>
      </c>
      <c r="B140" s="84" t="s">
        <v>2390</v>
      </c>
      <c r="C140" s="84">
        <v>11030</v>
      </c>
      <c r="D140" s="84">
        <v>10980</v>
      </c>
      <c r="E140" s="84">
        <v>13880</v>
      </c>
      <c r="F140" s="84">
        <v>2210</v>
      </c>
      <c r="G140" s="84">
        <v>7060</v>
      </c>
    </row>
    <row r="141" spans="1:7" s="73" customFormat="1" ht="14.25" customHeight="1">
      <c r="A141" s="84" t="s">
        <v>273</v>
      </c>
      <c r="B141" s="84" t="s">
        <v>2391</v>
      </c>
      <c r="C141" s="84">
        <v>11200</v>
      </c>
      <c r="D141" s="84">
        <v>11150</v>
      </c>
      <c r="E141" s="84">
        <v>14100</v>
      </c>
      <c r="F141" s="84">
        <v>2470</v>
      </c>
      <c r="G141" s="84">
        <v>7170</v>
      </c>
    </row>
    <row r="142" spans="1:7" s="73" customFormat="1" ht="14.25" customHeight="1">
      <c r="A142" s="84" t="s">
        <v>273</v>
      </c>
      <c r="B142" s="84" t="s">
        <v>2392</v>
      </c>
      <c r="C142" s="84">
        <v>10780</v>
      </c>
      <c r="D142" s="84">
        <v>10730</v>
      </c>
      <c r="E142" s="84">
        <v>13540</v>
      </c>
      <c r="F142" s="84">
        <v>2280</v>
      </c>
      <c r="G142" s="84">
        <v>6900</v>
      </c>
    </row>
    <row r="143" spans="1:7" s="73" customFormat="1" ht="14.25" customHeight="1">
      <c r="A143" s="84" t="s">
        <v>273</v>
      </c>
      <c r="B143" s="84" t="s">
        <v>2393</v>
      </c>
      <c r="C143" s="84">
        <v>11550</v>
      </c>
      <c r="D143" s="84">
        <v>11490</v>
      </c>
      <c r="E143" s="84">
        <v>14480</v>
      </c>
      <c r="F143" s="84">
        <v>2070</v>
      </c>
      <c r="G143" s="84">
        <v>7390</v>
      </c>
    </row>
    <row r="144" spans="1:7" s="73" customFormat="1" ht="14.25" customHeight="1">
      <c r="A144" s="84" t="s">
        <v>273</v>
      </c>
      <c r="B144" s="84" t="s">
        <v>2394</v>
      </c>
      <c r="C144" s="84">
        <v>10720</v>
      </c>
      <c r="D144" s="84">
        <v>10680</v>
      </c>
      <c r="E144" s="84">
        <v>13480</v>
      </c>
      <c r="F144" s="84">
        <v>2440</v>
      </c>
      <c r="G144" s="84">
        <v>6870</v>
      </c>
    </row>
    <row r="145" spans="1:7" s="73" customFormat="1" ht="14.25" customHeight="1">
      <c r="A145" s="84" t="s">
        <v>273</v>
      </c>
      <c r="B145" s="84" t="s">
        <v>2395</v>
      </c>
      <c r="C145" s="84">
        <v>10340</v>
      </c>
      <c r="D145" s="84">
        <v>10290</v>
      </c>
      <c r="E145" s="84">
        <v>12880</v>
      </c>
      <c r="F145" s="84">
        <v>2650</v>
      </c>
      <c r="G145" s="84">
        <v>6620</v>
      </c>
    </row>
    <row r="146" spans="1:7" s="73" customFormat="1" ht="14.25" customHeight="1">
      <c r="A146" s="84" t="s">
        <v>273</v>
      </c>
      <c r="B146" s="84" t="s">
        <v>2396</v>
      </c>
      <c r="C146" s="84">
        <v>11890</v>
      </c>
      <c r="D146" s="84">
        <v>11830</v>
      </c>
      <c r="E146" s="84">
        <v>14670</v>
      </c>
      <c r="F146" s="84"/>
      <c r="G146" s="84">
        <v>7610</v>
      </c>
    </row>
    <row r="147" spans="1:7" s="73" customFormat="1" ht="14.25" customHeight="1">
      <c r="A147" s="84" t="s">
        <v>273</v>
      </c>
      <c r="B147" s="84" t="s">
        <v>2397</v>
      </c>
      <c r="C147" s="84">
        <v>12650</v>
      </c>
      <c r="D147" s="84">
        <v>12600</v>
      </c>
      <c r="E147" s="84">
        <v>15440</v>
      </c>
      <c r="F147" s="84"/>
      <c r="G147" s="84">
        <v>8110</v>
      </c>
    </row>
    <row r="148" spans="1:7" s="73" customFormat="1" ht="14.25" customHeight="1">
      <c r="A148" s="84" t="s">
        <v>273</v>
      </c>
      <c r="B148" s="84" t="s">
        <v>2398</v>
      </c>
      <c r="C148" s="84">
        <v>10370</v>
      </c>
      <c r="D148" s="84">
        <v>10310</v>
      </c>
      <c r="E148" s="84">
        <v>12970</v>
      </c>
      <c r="F148" s="84"/>
      <c r="G148" s="84">
        <v>6630</v>
      </c>
    </row>
    <row r="149" spans="1:7" s="73" customFormat="1" ht="14.25" customHeight="1">
      <c r="A149" s="84" t="s">
        <v>273</v>
      </c>
      <c r="B149" s="84" t="s">
        <v>2399</v>
      </c>
      <c r="C149" s="84">
        <v>11600</v>
      </c>
      <c r="D149" s="84">
        <v>11560</v>
      </c>
      <c r="E149" s="84">
        <v>14540</v>
      </c>
      <c r="F149" s="84">
        <v>2390</v>
      </c>
      <c r="G149" s="84">
        <v>7430</v>
      </c>
    </row>
    <row r="150" spans="1:7" s="73" customFormat="1" ht="14.25" customHeight="1">
      <c r="A150" s="84" t="s">
        <v>273</v>
      </c>
      <c r="B150" s="84" t="s">
        <v>2400</v>
      </c>
      <c r="C150" s="84">
        <v>9950</v>
      </c>
      <c r="D150" s="84">
        <v>9890</v>
      </c>
      <c r="E150" s="84">
        <v>12590</v>
      </c>
      <c r="F150" s="84">
        <v>1970</v>
      </c>
      <c r="G150" s="84">
        <v>6360</v>
      </c>
    </row>
    <row r="151" spans="1:7" s="73" customFormat="1" ht="14.25" customHeight="1">
      <c r="A151" s="84" t="s">
        <v>273</v>
      </c>
      <c r="B151" s="84" t="s">
        <v>2401</v>
      </c>
      <c r="C151" s="84">
        <v>10700</v>
      </c>
      <c r="D151" s="84">
        <v>10650</v>
      </c>
      <c r="E151" s="84">
        <v>13420</v>
      </c>
      <c r="F151" s="84">
        <v>2020</v>
      </c>
      <c r="G151" s="84">
        <v>6850</v>
      </c>
    </row>
    <row r="152" spans="1:7" s="73" customFormat="1" ht="14.25" customHeight="1">
      <c r="A152" s="84" t="s">
        <v>273</v>
      </c>
      <c r="B152" s="84" t="s">
        <v>2402</v>
      </c>
      <c r="C152" s="84">
        <v>10310</v>
      </c>
      <c r="D152" s="84">
        <v>10260</v>
      </c>
      <c r="E152" s="84">
        <v>12820</v>
      </c>
      <c r="F152" s="84">
        <v>1980</v>
      </c>
      <c r="G152" s="84">
        <v>6600</v>
      </c>
    </row>
    <row r="153" spans="1:7" s="73" customFormat="1" ht="14.25" customHeight="1">
      <c r="A153" s="84" t="s">
        <v>273</v>
      </c>
      <c r="B153" s="84" t="s">
        <v>2403</v>
      </c>
      <c r="C153" s="84">
        <v>10880</v>
      </c>
      <c r="D153" s="84">
        <v>10820</v>
      </c>
      <c r="E153" s="84">
        <v>13660</v>
      </c>
      <c r="F153" s="84">
        <v>2260</v>
      </c>
      <c r="G153" s="84">
        <v>6970</v>
      </c>
    </row>
    <row r="154" spans="1:7" s="73" customFormat="1" ht="14.25" customHeight="1">
      <c r="A154" s="84" t="s">
        <v>273</v>
      </c>
      <c r="B154" s="84" t="s">
        <v>2404</v>
      </c>
      <c r="C154" s="84">
        <v>11220</v>
      </c>
      <c r="D154" s="84">
        <v>11160</v>
      </c>
      <c r="E154" s="84">
        <v>14130</v>
      </c>
      <c r="F154" s="84">
        <v>2230</v>
      </c>
      <c r="G154" s="84">
        <v>7180</v>
      </c>
    </row>
    <row r="155" spans="1:7" s="73" customFormat="1" ht="14.25" customHeight="1">
      <c r="A155" s="84" t="s">
        <v>273</v>
      </c>
      <c r="B155" s="84" t="s">
        <v>2405</v>
      </c>
      <c r="C155" s="84">
        <v>10430</v>
      </c>
      <c r="D155" s="84">
        <v>10380</v>
      </c>
      <c r="E155" s="84">
        <v>13140</v>
      </c>
      <c r="F155" s="84">
        <v>2080</v>
      </c>
      <c r="G155" s="84">
        <v>6650</v>
      </c>
    </row>
    <row r="156" spans="1:7" s="73" customFormat="1" ht="14.25" customHeight="1">
      <c r="A156" s="84" t="s">
        <v>273</v>
      </c>
      <c r="B156" s="84" t="s">
        <v>2406</v>
      </c>
      <c r="C156" s="84">
        <v>10440</v>
      </c>
      <c r="D156" s="84">
        <v>10400</v>
      </c>
      <c r="E156" s="84">
        <v>13150</v>
      </c>
      <c r="F156" s="84">
        <v>2490</v>
      </c>
      <c r="G156" s="84">
        <v>6690</v>
      </c>
    </row>
    <row r="157" spans="1:7" s="73" customFormat="1" ht="14.25" customHeight="1">
      <c r="A157" s="84" t="s">
        <v>273</v>
      </c>
      <c r="B157" s="84" t="s">
        <v>2407</v>
      </c>
      <c r="C157" s="84">
        <v>10970</v>
      </c>
      <c r="D157" s="84">
        <v>10920</v>
      </c>
      <c r="E157" s="84">
        <v>13840</v>
      </c>
      <c r="F157" s="84">
        <v>2420</v>
      </c>
      <c r="G157" s="84">
        <v>7020</v>
      </c>
    </row>
    <row r="158" spans="1:7" s="73" customFormat="1" ht="14.25" customHeight="1">
      <c r="A158" s="84" t="s">
        <v>273</v>
      </c>
      <c r="B158" s="84" t="s">
        <v>2408</v>
      </c>
      <c r="C158" s="84">
        <v>9590</v>
      </c>
      <c r="D158" s="84">
        <v>9540</v>
      </c>
      <c r="E158" s="84">
        <v>12210</v>
      </c>
      <c r="F158" s="84">
        <v>2100</v>
      </c>
      <c r="G158" s="84">
        <v>6130</v>
      </c>
    </row>
    <row r="159" spans="1:7" s="73" customFormat="1" ht="14.25" customHeight="1">
      <c r="A159" s="84" t="s">
        <v>273</v>
      </c>
      <c r="B159" s="84" t="s">
        <v>2409</v>
      </c>
      <c r="C159" s="84">
        <v>11190</v>
      </c>
      <c r="D159" s="84">
        <v>11140</v>
      </c>
      <c r="E159" s="84">
        <v>14090</v>
      </c>
      <c r="F159" s="84">
        <v>2470</v>
      </c>
      <c r="G159" s="84">
        <v>7170</v>
      </c>
    </row>
    <row r="160" spans="1:7" s="73" customFormat="1" ht="14.25" customHeight="1">
      <c r="A160" s="84" t="s">
        <v>273</v>
      </c>
      <c r="B160" s="84" t="s">
        <v>2410</v>
      </c>
      <c r="C160" s="84">
        <v>11180</v>
      </c>
      <c r="D160" s="84">
        <v>11140</v>
      </c>
      <c r="E160" s="84">
        <v>14050</v>
      </c>
      <c r="F160" s="84">
        <v>2270</v>
      </c>
      <c r="G160" s="84">
        <v>7170</v>
      </c>
    </row>
    <row r="161" spans="1:7" s="73" customFormat="1" ht="14.25" customHeight="1">
      <c r="A161" s="84" t="s">
        <v>273</v>
      </c>
      <c r="B161" s="84" t="s">
        <v>2411</v>
      </c>
      <c r="C161" s="84">
        <v>11160</v>
      </c>
      <c r="D161" s="84">
        <v>11120</v>
      </c>
      <c r="E161" s="84">
        <v>14020</v>
      </c>
      <c r="F161" s="84">
        <v>2150</v>
      </c>
      <c r="G161" s="84">
        <v>7160</v>
      </c>
    </row>
    <row r="162" spans="1:7" s="73" customFormat="1" ht="14.25" customHeight="1">
      <c r="A162" s="84" t="s">
        <v>273</v>
      </c>
      <c r="B162" s="84" t="s">
        <v>2412</v>
      </c>
      <c r="C162" s="84">
        <v>9620</v>
      </c>
      <c r="D162" s="84">
        <v>9570</v>
      </c>
      <c r="E162" s="84">
        <v>12320</v>
      </c>
      <c r="F162" s="84">
        <v>2010</v>
      </c>
      <c r="G162" s="84">
        <v>6160</v>
      </c>
    </row>
    <row r="163" spans="1:7" s="73" customFormat="1" ht="14.25" customHeight="1">
      <c r="A163" s="84" t="s">
        <v>273</v>
      </c>
      <c r="B163" s="84" t="s">
        <v>2413</v>
      </c>
      <c r="C163" s="84">
        <v>9320</v>
      </c>
      <c r="D163" s="84">
        <v>9270</v>
      </c>
      <c r="E163" s="84">
        <v>11790</v>
      </c>
      <c r="F163" s="84">
        <v>1920</v>
      </c>
      <c r="G163" s="84">
        <v>5960</v>
      </c>
    </row>
    <row r="164" spans="1:7" s="73" customFormat="1" ht="14.25" customHeight="1">
      <c r="A164" s="84" t="s">
        <v>273</v>
      </c>
      <c r="B164" s="84" t="s">
        <v>2414</v>
      </c>
      <c r="C164" s="84"/>
      <c r="D164" s="84"/>
      <c r="E164" s="84"/>
      <c r="F164" s="84">
        <v>1980</v>
      </c>
      <c r="G164" s="84"/>
    </row>
    <row r="165" spans="1:7" s="73" customFormat="1" ht="14.25" customHeight="1">
      <c r="A165" s="84" t="s">
        <v>273</v>
      </c>
      <c r="B165" s="84" t="s">
        <v>2415</v>
      </c>
      <c r="C165" s="84">
        <v>11060</v>
      </c>
      <c r="D165" s="84">
        <v>11030</v>
      </c>
      <c r="E165" s="84">
        <v>13850</v>
      </c>
      <c r="F165" s="84">
        <v>2170</v>
      </c>
      <c r="G165" s="84">
        <v>7090</v>
      </c>
    </row>
    <row r="166" spans="1:7" s="73" customFormat="1" ht="14.25" customHeight="1">
      <c r="A166" s="84" t="s">
        <v>273</v>
      </c>
      <c r="B166" s="84" t="s">
        <v>2416</v>
      </c>
      <c r="C166" s="84">
        <v>11050</v>
      </c>
      <c r="D166" s="84">
        <v>11010</v>
      </c>
      <c r="E166" s="84">
        <v>13920</v>
      </c>
      <c r="F166" s="84">
        <v>2140</v>
      </c>
      <c r="G166" s="84">
        <v>7080</v>
      </c>
    </row>
    <row r="167" spans="1:7" s="73" customFormat="1" ht="14.25" customHeight="1">
      <c r="A167" s="84" t="s">
        <v>273</v>
      </c>
      <c r="B167" s="84" t="s">
        <v>2417</v>
      </c>
      <c r="C167" s="84">
        <v>10930</v>
      </c>
      <c r="D167" s="84">
        <v>10890</v>
      </c>
      <c r="E167" s="84">
        <v>13790</v>
      </c>
      <c r="F167" s="84">
        <v>2010</v>
      </c>
      <c r="G167" s="84">
        <v>7000</v>
      </c>
    </row>
    <row r="168" spans="1:7" s="73" customFormat="1" ht="14.25" customHeight="1">
      <c r="A168" s="84" t="s">
        <v>273</v>
      </c>
      <c r="B168" s="84" t="s">
        <v>2418</v>
      </c>
      <c r="C168" s="84">
        <v>9420</v>
      </c>
      <c r="D168" s="84">
        <v>9380</v>
      </c>
      <c r="E168" s="84">
        <v>11970</v>
      </c>
      <c r="F168" s="84"/>
      <c r="G168" s="84">
        <v>6040</v>
      </c>
    </row>
    <row r="169" spans="1:7" s="73" customFormat="1" ht="14.25" customHeight="1">
      <c r="A169" s="84" t="s">
        <v>273</v>
      </c>
      <c r="B169" s="84" t="s">
        <v>2419</v>
      </c>
      <c r="C169" s="84"/>
      <c r="D169" s="84"/>
      <c r="E169" s="84"/>
      <c r="F169" s="84">
        <v>2880</v>
      </c>
      <c r="G169" s="84"/>
    </row>
    <row r="170" spans="1:7" s="73" customFormat="1" ht="14.25" customHeight="1">
      <c r="A170" s="84" t="s">
        <v>273</v>
      </c>
      <c r="B170" s="84" t="s">
        <v>2420</v>
      </c>
      <c r="C170" s="84"/>
      <c r="D170" s="84"/>
      <c r="E170" s="84"/>
      <c r="F170" s="84">
        <v>2880</v>
      </c>
      <c r="G170" s="84"/>
    </row>
    <row r="171" spans="1:7" s="73" customFormat="1" ht="14.25" customHeight="1">
      <c r="A171" s="84" t="s">
        <v>273</v>
      </c>
      <c r="B171" s="84" t="s">
        <v>2421</v>
      </c>
      <c r="C171" s="84"/>
      <c r="D171" s="84"/>
      <c r="E171" s="84"/>
      <c r="F171" s="84">
        <v>2880</v>
      </c>
      <c r="G171" s="84"/>
    </row>
    <row r="172" spans="1:7" s="73" customFormat="1" ht="14.25" customHeight="1">
      <c r="A172" s="84" t="s">
        <v>273</v>
      </c>
      <c r="B172" s="84" t="s">
        <v>2422</v>
      </c>
      <c r="C172" s="84"/>
      <c r="D172" s="84"/>
      <c r="E172" s="84"/>
      <c r="F172" s="84">
        <v>2880</v>
      </c>
      <c r="G172" s="84"/>
    </row>
    <row r="173" spans="1:7" s="73" customFormat="1" ht="14.25" customHeight="1">
      <c r="A173" s="84" t="s">
        <v>273</v>
      </c>
      <c r="B173" s="84" t="s">
        <v>2423</v>
      </c>
      <c r="C173" s="84"/>
      <c r="D173" s="84"/>
      <c r="E173" s="84"/>
      <c r="F173" s="84">
        <v>2150</v>
      </c>
      <c r="G173" s="84"/>
    </row>
    <row r="174" spans="1:7" s="73" customFormat="1" ht="14.25" customHeight="1">
      <c r="A174" s="84" t="s">
        <v>273</v>
      </c>
      <c r="B174" s="84" t="s">
        <v>2424</v>
      </c>
      <c r="C174" s="84"/>
      <c r="D174" s="84"/>
      <c r="E174" s="84"/>
      <c r="F174" s="84">
        <v>2030</v>
      </c>
      <c r="G174" s="84"/>
    </row>
    <row r="175" spans="1:7" s="73" customFormat="1" ht="14.25" customHeight="1">
      <c r="A175" s="84" t="s">
        <v>273</v>
      </c>
      <c r="B175" s="84" t="s">
        <v>2425</v>
      </c>
      <c r="C175" s="84"/>
      <c r="D175" s="84"/>
      <c r="E175" s="84"/>
      <c r="F175" s="84">
        <v>2780</v>
      </c>
      <c r="G175" s="84"/>
    </row>
    <row r="176" spans="1:7" s="73" customFormat="1" ht="14.25" customHeight="1">
      <c r="A176" s="84" t="s">
        <v>273</v>
      </c>
      <c r="B176" s="84" t="s">
        <v>2426</v>
      </c>
      <c r="C176" s="84"/>
      <c r="D176" s="84"/>
      <c r="E176" s="84"/>
      <c r="F176" s="84">
        <v>2780</v>
      </c>
      <c r="G176" s="84"/>
    </row>
    <row r="177" spans="1:7" s="73" customFormat="1" ht="14.25" customHeight="1">
      <c r="A177" s="84" t="s">
        <v>273</v>
      </c>
      <c r="B177" s="84" t="s">
        <v>2427</v>
      </c>
      <c r="C177" s="84"/>
      <c r="D177" s="84"/>
      <c r="E177" s="84"/>
      <c r="F177" s="84">
        <v>2780</v>
      </c>
      <c r="G177" s="84"/>
    </row>
    <row r="178" spans="1:7" s="73" customFormat="1" ht="14.25" customHeight="1">
      <c r="A178" s="84" t="s">
        <v>273</v>
      </c>
      <c r="B178" s="84" t="s">
        <v>2428</v>
      </c>
      <c r="C178" s="84"/>
      <c r="D178" s="84"/>
      <c r="E178" s="84"/>
      <c r="F178" s="84">
        <v>2060</v>
      </c>
      <c r="G178" s="84"/>
    </row>
    <row r="179" spans="1:7" s="73" customFormat="1" ht="14.25" customHeight="1">
      <c r="A179" s="84" t="s">
        <v>273</v>
      </c>
      <c r="B179" s="84" t="s">
        <v>2429</v>
      </c>
      <c r="C179" s="84"/>
      <c r="D179" s="84"/>
      <c r="E179" s="84"/>
      <c r="F179" s="84">
        <v>2120</v>
      </c>
      <c r="G179" s="84"/>
    </row>
    <row r="180" spans="1:7" s="73" customFormat="1" ht="14.25" customHeight="1">
      <c r="A180" s="84" t="s">
        <v>273</v>
      </c>
      <c r="B180" s="84" t="s">
        <v>2430</v>
      </c>
      <c r="C180" s="84"/>
      <c r="D180" s="84"/>
      <c r="E180" s="84"/>
      <c r="F180" s="84">
        <v>2340</v>
      </c>
      <c r="G180" s="84"/>
    </row>
    <row r="181" spans="1:7" s="73" customFormat="1" ht="14.25" customHeight="1">
      <c r="A181" s="84" t="s">
        <v>273</v>
      </c>
      <c r="B181" s="84" t="s">
        <v>2431</v>
      </c>
      <c r="C181" s="84"/>
      <c r="D181" s="84"/>
      <c r="E181" s="84"/>
      <c r="F181" s="84">
        <v>2340</v>
      </c>
      <c r="G181" s="84"/>
    </row>
    <row r="182" spans="1:7" s="73" customFormat="1" ht="14.25" customHeight="1">
      <c r="A182" s="84" t="s">
        <v>273</v>
      </c>
      <c r="B182" s="84" t="s">
        <v>2432</v>
      </c>
      <c r="C182" s="84"/>
      <c r="D182" s="84"/>
      <c r="E182" s="84"/>
      <c r="F182" s="84">
        <v>2340</v>
      </c>
      <c r="G182" s="84"/>
    </row>
    <row r="183" spans="1:7" s="73" customFormat="1" ht="14.25" customHeight="1">
      <c r="A183" s="84" t="s">
        <v>273</v>
      </c>
      <c r="B183" s="84" t="s">
        <v>2433</v>
      </c>
      <c r="C183" s="84"/>
      <c r="D183" s="84"/>
      <c r="E183" s="84"/>
      <c r="F183" s="84">
        <v>2340</v>
      </c>
      <c r="G183" s="84"/>
    </row>
    <row r="184" spans="1:7" s="73" customFormat="1" ht="14.25" customHeight="1">
      <c r="A184" s="84" t="s">
        <v>273</v>
      </c>
      <c r="B184" s="84" t="s">
        <v>2434</v>
      </c>
      <c r="C184" s="84"/>
      <c r="D184" s="84"/>
      <c r="E184" s="84"/>
      <c r="F184" s="84">
        <v>2340</v>
      </c>
      <c r="G184" s="84"/>
    </row>
    <row r="185" spans="1:7" s="73" customFormat="1" ht="14.25" customHeight="1">
      <c r="A185" s="84" t="s">
        <v>273</v>
      </c>
      <c r="B185" s="84" t="s">
        <v>2435</v>
      </c>
      <c r="C185" s="84"/>
      <c r="D185" s="84"/>
      <c r="E185" s="84"/>
      <c r="F185" s="84">
        <v>2530</v>
      </c>
      <c r="G185" s="84"/>
    </row>
    <row r="186" spans="1:7" s="73" customFormat="1" ht="14.25" customHeight="1">
      <c r="A186" s="84" t="s">
        <v>273</v>
      </c>
      <c r="B186" s="84" t="s">
        <v>2436</v>
      </c>
      <c r="C186" s="84"/>
      <c r="D186" s="84"/>
      <c r="E186" s="84"/>
      <c r="F186" s="84">
        <v>2550</v>
      </c>
      <c r="G186" s="84"/>
    </row>
    <row r="187" spans="1:7" s="73" customFormat="1" ht="14.25" customHeight="1">
      <c r="A187" s="84" t="s">
        <v>273</v>
      </c>
      <c r="B187" s="84" t="s">
        <v>2437</v>
      </c>
      <c r="C187" s="84"/>
      <c r="D187" s="84"/>
      <c r="E187" s="84"/>
      <c r="F187" s="84">
        <v>2070</v>
      </c>
      <c r="G187" s="84"/>
    </row>
    <row r="188" spans="1:7" s="73" customFormat="1" ht="14.25" customHeight="1">
      <c r="A188" s="84" t="s">
        <v>273</v>
      </c>
      <c r="B188" s="84" t="s">
        <v>2438</v>
      </c>
      <c r="C188" s="84"/>
      <c r="D188" s="84"/>
      <c r="E188" s="84"/>
      <c r="F188" s="84">
        <v>2340</v>
      </c>
      <c r="G188" s="84"/>
    </row>
    <row r="189" spans="1:7" s="73" customFormat="1" ht="14.25" customHeight="1">
      <c r="A189" s="86" t="s">
        <v>273</v>
      </c>
      <c r="B189" s="90" t="s">
        <v>2439</v>
      </c>
      <c r="C189" s="90"/>
      <c r="D189" s="90"/>
      <c r="E189" s="90"/>
      <c r="F189" s="90">
        <v>2050</v>
      </c>
      <c r="G189" s="90"/>
    </row>
    <row r="190" spans="1:7" s="73" customFormat="1" ht="14.25" customHeight="1">
      <c r="A190" s="82" t="s">
        <v>278</v>
      </c>
      <c r="B190" s="83" t="s">
        <v>2440</v>
      </c>
      <c r="C190" s="83">
        <v>8830</v>
      </c>
      <c r="D190" s="83">
        <v>8790</v>
      </c>
      <c r="E190" s="83">
        <v>11630</v>
      </c>
      <c r="F190" s="83">
        <v>1790</v>
      </c>
      <c r="G190" s="91">
        <v>5550</v>
      </c>
    </row>
    <row r="191" spans="1:7" s="73" customFormat="1" ht="14.25" customHeight="1">
      <c r="A191" s="84" t="s">
        <v>278</v>
      </c>
      <c r="B191" s="84" t="s">
        <v>2441</v>
      </c>
      <c r="C191" s="84">
        <v>9780</v>
      </c>
      <c r="D191" s="84">
        <v>9710</v>
      </c>
      <c r="E191" s="84">
        <v>12550</v>
      </c>
      <c r="F191" s="84">
        <v>1980</v>
      </c>
      <c r="G191" s="92">
        <v>6130</v>
      </c>
    </row>
    <row r="192" spans="1:7" s="73" customFormat="1" ht="14.25" customHeight="1">
      <c r="A192" s="84" t="s">
        <v>278</v>
      </c>
      <c r="B192" s="84" t="s">
        <v>2442</v>
      </c>
      <c r="C192" s="84">
        <v>8180</v>
      </c>
      <c r="D192" s="84">
        <v>8140</v>
      </c>
      <c r="E192" s="84">
        <v>10870</v>
      </c>
      <c r="F192" s="84">
        <v>1690</v>
      </c>
      <c r="G192" s="92">
        <v>5140</v>
      </c>
    </row>
    <row r="193" spans="1:7" s="73" customFormat="1" ht="14.25" customHeight="1">
      <c r="A193" s="84" t="s">
        <v>278</v>
      </c>
      <c r="B193" s="84" t="s">
        <v>2443</v>
      </c>
      <c r="C193" s="84">
        <v>8440</v>
      </c>
      <c r="D193" s="84">
        <v>8390</v>
      </c>
      <c r="E193" s="84">
        <v>11210</v>
      </c>
      <c r="F193" s="84">
        <v>1600</v>
      </c>
      <c r="G193" s="92">
        <v>5300</v>
      </c>
    </row>
    <row r="194" spans="1:7" s="73" customFormat="1" ht="14.25" customHeight="1">
      <c r="A194" s="84" t="s">
        <v>278</v>
      </c>
      <c r="B194" s="84" t="s">
        <v>2444</v>
      </c>
      <c r="C194" s="84">
        <v>8780</v>
      </c>
      <c r="D194" s="84">
        <v>8730</v>
      </c>
      <c r="E194" s="84">
        <v>11550</v>
      </c>
      <c r="F194" s="84">
        <v>1660</v>
      </c>
      <c r="G194" s="92">
        <v>5520</v>
      </c>
    </row>
    <row r="195" spans="1:7" s="73" customFormat="1" ht="14.25" customHeight="1">
      <c r="A195" s="84" t="s">
        <v>278</v>
      </c>
      <c r="B195" s="84" t="s">
        <v>2445</v>
      </c>
      <c r="C195" s="84">
        <v>8720</v>
      </c>
      <c r="D195" s="84">
        <v>8670</v>
      </c>
      <c r="E195" s="84">
        <v>11450</v>
      </c>
      <c r="F195" s="84">
        <v>1720</v>
      </c>
      <c r="G195" s="92">
        <v>5480</v>
      </c>
    </row>
    <row r="196" spans="1:7" s="73" customFormat="1" ht="14.25" customHeight="1">
      <c r="A196" s="84" t="s">
        <v>278</v>
      </c>
      <c r="B196" s="84" t="s">
        <v>2446</v>
      </c>
      <c r="C196" s="84">
        <v>8460</v>
      </c>
      <c r="D196" s="84">
        <v>8410</v>
      </c>
      <c r="E196" s="84">
        <v>11230</v>
      </c>
      <c r="F196" s="84">
        <v>1730</v>
      </c>
      <c r="G196" s="92">
        <v>5310</v>
      </c>
    </row>
    <row r="197" spans="1:7" s="73" customFormat="1" ht="14.25" customHeight="1">
      <c r="A197" s="84" t="s">
        <v>278</v>
      </c>
      <c r="B197" s="84" t="s">
        <v>2447</v>
      </c>
      <c r="C197" s="84">
        <v>8790</v>
      </c>
      <c r="D197" s="84">
        <v>8730</v>
      </c>
      <c r="E197" s="84">
        <v>11560</v>
      </c>
      <c r="F197" s="84">
        <v>1750</v>
      </c>
      <c r="G197" s="92">
        <v>5520</v>
      </c>
    </row>
    <row r="198" spans="1:7" s="73" customFormat="1" ht="14.25" customHeight="1">
      <c r="A198" s="84" t="s">
        <v>278</v>
      </c>
      <c r="B198" s="84" t="s">
        <v>2448</v>
      </c>
      <c r="C198" s="84">
        <v>8720</v>
      </c>
      <c r="D198" s="84">
        <v>8680</v>
      </c>
      <c r="E198" s="84">
        <v>11470</v>
      </c>
      <c r="F198" s="84"/>
      <c r="G198" s="92">
        <v>5480</v>
      </c>
    </row>
    <row r="199" spans="1:7" s="73" customFormat="1" ht="14.25" customHeight="1">
      <c r="A199" s="84" t="s">
        <v>278</v>
      </c>
      <c r="B199" s="84" t="s">
        <v>2449</v>
      </c>
      <c r="C199" s="84">
        <v>8690</v>
      </c>
      <c r="D199" s="84">
        <v>8630</v>
      </c>
      <c r="E199" s="84">
        <v>11350</v>
      </c>
      <c r="F199" s="84">
        <v>1600</v>
      </c>
      <c r="G199" s="92">
        <v>5450</v>
      </c>
    </row>
    <row r="200" spans="1:7" s="73" customFormat="1" ht="14.25" customHeight="1">
      <c r="A200" s="84" t="s">
        <v>278</v>
      </c>
      <c r="B200" s="84" t="s">
        <v>2450</v>
      </c>
      <c r="C200" s="84"/>
      <c r="D200" s="84"/>
      <c r="E200" s="84"/>
      <c r="F200" s="84">
        <v>1510</v>
      </c>
      <c r="G200" s="92"/>
    </row>
    <row r="201" spans="1:7" s="73" customFormat="1" ht="14.25" customHeight="1">
      <c r="A201" s="84" t="s">
        <v>278</v>
      </c>
      <c r="B201" s="84" t="s">
        <v>2451</v>
      </c>
      <c r="C201" s="84">
        <v>8440</v>
      </c>
      <c r="D201" s="84">
        <v>8390</v>
      </c>
      <c r="E201" s="84">
        <v>10930</v>
      </c>
      <c r="F201" s="84">
        <v>1500</v>
      </c>
      <c r="G201" s="92">
        <v>5300</v>
      </c>
    </row>
    <row r="202" spans="1:7" s="73" customFormat="1" ht="14.25" customHeight="1">
      <c r="A202" s="84" t="s">
        <v>278</v>
      </c>
      <c r="B202" s="84" t="s">
        <v>2452</v>
      </c>
      <c r="C202" s="84">
        <v>8530</v>
      </c>
      <c r="D202" s="84">
        <v>8490</v>
      </c>
      <c r="E202" s="84">
        <v>11160</v>
      </c>
      <c r="F202" s="84">
        <v>1580</v>
      </c>
      <c r="G202" s="92">
        <v>5360</v>
      </c>
    </row>
    <row r="203" spans="1:7" s="73" customFormat="1" ht="14.25" customHeight="1">
      <c r="A203" s="84" t="s">
        <v>278</v>
      </c>
      <c r="B203" s="84" t="s">
        <v>2453</v>
      </c>
      <c r="C203" s="84">
        <v>8130</v>
      </c>
      <c r="D203" s="84">
        <v>8070</v>
      </c>
      <c r="E203" s="84">
        <v>10820</v>
      </c>
      <c r="F203" s="84">
        <v>1690</v>
      </c>
      <c r="G203" s="92">
        <v>5100</v>
      </c>
    </row>
    <row r="204" spans="1:7" s="73" customFormat="1" ht="14.25" customHeight="1">
      <c r="A204" s="84" t="s">
        <v>278</v>
      </c>
      <c r="B204" s="84" t="s">
        <v>2454</v>
      </c>
      <c r="C204" s="84">
        <v>8350</v>
      </c>
      <c r="D204" s="84">
        <v>8290</v>
      </c>
      <c r="E204" s="84">
        <v>11080</v>
      </c>
      <c r="F204" s="84">
        <v>1450</v>
      </c>
      <c r="G204" s="92">
        <v>5240</v>
      </c>
    </row>
    <row r="205" spans="1:7" s="73" customFormat="1" ht="14.25" customHeight="1">
      <c r="A205" s="84" t="s">
        <v>278</v>
      </c>
      <c r="B205" s="84" t="s">
        <v>2455</v>
      </c>
      <c r="C205" s="84">
        <v>7190</v>
      </c>
      <c r="D205" s="84">
        <v>7130</v>
      </c>
      <c r="E205" s="84">
        <v>9490</v>
      </c>
      <c r="F205" s="84">
        <v>1470</v>
      </c>
      <c r="G205" s="92">
        <v>4510</v>
      </c>
    </row>
    <row r="206" spans="1:7" s="73" customFormat="1" ht="14.25" customHeight="1">
      <c r="A206" s="84" t="s">
        <v>278</v>
      </c>
      <c r="B206" s="84" t="s">
        <v>2456</v>
      </c>
      <c r="C206" s="84">
        <v>7000</v>
      </c>
      <c r="D206" s="84">
        <v>6950</v>
      </c>
      <c r="E206" s="84">
        <v>9170</v>
      </c>
      <c r="F206" s="84">
        <v>1400</v>
      </c>
      <c r="G206" s="92">
        <v>4380</v>
      </c>
    </row>
    <row r="207" spans="1:7" s="73" customFormat="1" ht="14.25" customHeight="1">
      <c r="A207" s="84" t="s">
        <v>278</v>
      </c>
      <c r="B207" s="84" t="s">
        <v>2457</v>
      </c>
      <c r="C207" s="84">
        <v>6950</v>
      </c>
      <c r="D207" s="84">
        <v>6900</v>
      </c>
      <c r="E207" s="84">
        <v>9110</v>
      </c>
      <c r="F207" s="84">
        <v>1790</v>
      </c>
      <c r="G207" s="92">
        <v>4360</v>
      </c>
    </row>
    <row r="208" spans="1:7" s="73" customFormat="1" ht="14.25" customHeight="1">
      <c r="A208" s="84" t="s">
        <v>278</v>
      </c>
      <c r="B208" s="84" t="s">
        <v>2458</v>
      </c>
      <c r="C208" s="84">
        <v>9470</v>
      </c>
      <c r="D208" s="84">
        <v>9410</v>
      </c>
      <c r="E208" s="84">
        <v>12330</v>
      </c>
      <c r="F208" s="84">
        <v>1770</v>
      </c>
      <c r="G208" s="92">
        <v>5940</v>
      </c>
    </row>
    <row r="209" spans="1:7" s="73" customFormat="1" ht="14.25" customHeight="1">
      <c r="A209" s="84" t="s">
        <v>278</v>
      </c>
      <c r="B209" s="84" t="s">
        <v>2459</v>
      </c>
      <c r="C209" s="84">
        <v>8740</v>
      </c>
      <c r="D209" s="84">
        <v>8700</v>
      </c>
      <c r="E209" s="84">
        <v>11500</v>
      </c>
      <c r="F209" s="84">
        <v>1730</v>
      </c>
      <c r="G209" s="92">
        <v>5490</v>
      </c>
    </row>
    <row r="210" spans="1:7" s="73" customFormat="1" ht="14.25" customHeight="1">
      <c r="A210" s="84" t="s">
        <v>278</v>
      </c>
      <c r="B210" s="84" t="s">
        <v>2460</v>
      </c>
      <c r="C210" s="84">
        <v>8710</v>
      </c>
      <c r="D210" s="84">
        <v>8660</v>
      </c>
      <c r="E210" s="84">
        <v>11440</v>
      </c>
      <c r="F210" s="84">
        <v>1740</v>
      </c>
      <c r="G210" s="92">
        <v>5470</v>
      </c>
    </row>
    <row r="211" spans="1:7" s="73" customFormat="1" ht="14.25" customHeight="1">
      <c r="A211" s="84" t="s">
        <v>278</v>
      </c>
      <c r="B211" s="84" t="s">
        <v>2461</v>
      </c>
      <c r="C211" s="84">
        <v>9480</v>
      </c>
      <c r="D211" s="84">
        <v>9430</v>
      </c>
      <c r="E211" s="84">
        <v>12360</v>
      </c>
      <c r="F211" s="84">
        <v>1820</v>
      </c>
      <c r="G211" s="92">
        <v>5950</v>
      </c>
    </row>
    <row r="212" spans="1:7" s="73" customFormat="1" ht="14.25" customHeight="1">
      <c r="A212" s="84" t="s">
        <v>278</v>
      </c>
      <c r="B212" s="84" t="s">
        <v>2462</v>
      </c>
      <c r="C212" s="84">
        <v>9070</v>
      </c>
      <c r="D212" s="84">
        <v>9020</v>
      </c>
      <c r="E212" s="84">
        <v>11720</v>
      </c>
      <c r="F212" s="84">
        <v>1850</v>
      </c>
      <c r="G212" s="92">
        <v>5700</v>
      </c>
    </row>
    <row r="213" spans="1:7" s="73" customFormat="1" ht="14.25" customHeight="1">
      <c r="A213" s="84" t="s">
        <v>278</v>
      </c>
      <c r="B213" s="84" t="s">
        <v>2463</v>
      </c>
      <c r="C213" s="84">
        <v>9030</v>
      </c>
      <c r="D213" s="84">
        <v>8980</v>
      </c>
      <c r="E213" s="84">
        <v>11670</v>
      </c>
      <c r="F213" s="84">
        <v>1690</v>
      </c>
      <c r="G213" s="92">
        <v>5670</v>
      </c>
    </row>
    <row r="214" spans="1:7" s="73" customFormat="1" ht="14.25" customHeight="1">
      <c r="A214" s="84" t="s">
        <v>278</v>
      </c>
      <c r="B214" s="84" t="s">
        <v>2464</v>
      </c>
      <c r="C214" s="84">
        <v>8090</v>
      </c>
      <c r="D214" s="84">
        <v>8030</v>
      </c>
      <c r="E214" s="84">
        <v>10780</v>
      </c>
      <c r="F214" s="84">
        <v>1570</v>
      </c>
      <c r="G214" s="92">
        <v>5070</v>
      </c>
    </row>
    <row r="215" spans="1:7" s="73" customFormat="1" ht="14.25" customHeight="1">
      <c r="A215" s="84" t="s">
        <v>278</v>
      </c>
      <c r="B215" s="84" t="s">
        <v>2465</v>
      </c>
      <c r="C215" s="84">
        <v>7950</v>
      </c>
      <c r="D215" s="84">
        <v>7900</v>
      </c>
      <c r="E215" s="84">
        <v>10560</v>
      </c>
      <c r="F215" s="84">
        <v>1630</v>
      </c>
      <c r="G215" s="92">
        <v>4990</v>
      </c>
    </row>
    <row r="216" spans="1:7" s="73" customFormat="1" ht="14.25" customHeight="1">
      <c r="A216" s="84" t="s">
        <v>278</v>
      </c>
      <c r="B216" s="84" t="s">
        <v>511</v>
      </c>
      <c r="C216" s="84">
        <v>8490</v>
      </c>
      <c r="D216" s="84">
        <v>8440</v>
      </c>
      <c r="E216" s="84">
        <v>11260</v>
      </c>
      <c r="F216" s="84">
        <v>1690</v>
      </c>
      <c r="G216" s="92">
        <v>5330</v>
      </c>
    </row>
    <row r="217" spans="1:7" s="73" customFormat="1" ht="14.25" customHeight="1">
      <c r="A217" s="84" t="s">
        <v>278</v>
      </c>
      <c r="B217" s="84" t="s">
        <v>2466</v>
      </c>
      <c r="C217" s="84">
        <v>8200</v>
      </c>
      <c r="D217" s="84">
        <v>8150</v>
      </c>
      <c r="E217" s="84">
        <v>10910</v>
      </c>
      <c r="F217" s="84">
        <v>1670</v>
      </c>
      <c r="G217" s="92">
        <v>5150</v>
      </c>
    </row>
    <row r="218" spans="1:7" s="73" customFormat="1" ht="14.25" customHeight="1">
      <c r="A218" s="84" t="s">
        <v>278</v>
      </c>
      <c r="B218" s="84" t="s">
        <v>2467</v>
      </c>
      <c r="C218" s="84"/>
      <c r="D218" s="84"/>
      <c r="E218" s="84"/>
      <c r="F218" s="84">
        <v>2040</v>
      </c>
      <c r="G218" s="92"/>
    </row>
    <row r="219" spans="1:7" s="73" customFormat="1" ht="14.25" customHeight="1">
      <c r="A219" s="84" t="s">
        <v>278</v>
      </c>
      <c r="B219" s="84" t="s">
        <v>2468</v>
      </c>
      <c r="C219" s="84"/>
      <c r="D219" s="84"/>
      <c r="E219" s="84"/>
      <c r="F219" s="84">
        <v>2040</v>
      </c>
      <c r="G219" s="92"/>
    </row>
    <row r="220" spans="1:7" s="73" customFormat="1" ht="14.25" customHeight="1">
      <c r="A220" s="84" t="s">
        <v>278</v>
      </c>
      <c r="B220" s="84" t="s">
        <v>2469</v>
      </c>
      <c r="C220" s="84"/>
      <c r="D220" s="84"/>
      <c r="E220" s="84"/>
      <c r="F220" s="84">
        <v>2040</v>
      </c>
      <c r="G220" s="92"/>
    </row>
    <row r="221" spans="1:7" s="73" customFormat="1" ht="14.25" customHeight="1">
      <c r="A221" s="84" t="s">
        <v>278</v>
      </c>
      <c r="B221" s="84" t="s">
        <v>2470</v>
      </c>
      <c r="C221" s="84"/>
      <c r="D221" s="84"/>
      <c r="E221" s="84"/>
      <c r="F221" s="84">
        <v>2040</v>
      </c>
      <c r="G221" s="92"/>
    </row>
    <row r="222" spans="1:7" s="73" customFormat="1" ht="14.25" customHeight="1">
      <c r="A222" s="84" t="s">
        <v>278</v>
      </c>
      <c r="B222" s="84" t="s">
        <v>2471</v>
      </c>
      <c r="C222" s="84"/>
      <c r="D222" s="84"/>
      <c r="E222" s="84"/>
      <c r="F222" s="84">
        <v>2040</v>
      </c>
      <c r="G222" s="92"/>
    </row>
    <row r="223" spans="1:7" s="73" customFormat="1" ht="14.25" customHeight="1">
      <c r="A223" s="84" t="s">
        <v>278</v>
      </c>
      <c r="B223" s="84" t="s">
        <v>2472</v>
      </c>
      <c r="C223" s="84"/>
      <c r="D223" s="84"/>
      <c r="E223" s="84"/>
      <c r="F223" s="84">
        <v>1930</v>
      </c>
      <c r="G223" s="92"/>
    </row>
    <row r="224" spans="1:7" s="73" customFormat="1" ht="14.25" customHeight="1">
      <c r="A224" s="84" t="s">
        <v>278</v>
      </c>
      <c r="B224" s="84" t="s">
        <v>2473</v>
      </c>
      <c r="C224" s="84"/>
      <c r="D224" s="84"/>
      <c r="E224" s="84"/>
      <c r="F224" s="84">
        <v>1930</v>
      </c>
      <c r="G224" s="92"/>
    </row>
    <row r="225" spans="1:7" s="73" customFormat="1" ht="14.25" customHeight="1">
      <c r="A225" s="84" t="s">
        <v>278</v>
      </c>
      <c r="B225" s="84" t="s">
        <v>2474</v>
      </c>
      <c r="C225" s="84"/>
      <c r="D225" s="84"/>
      <c r="E225" s="84"/>
      <c r="F225" s="84">
        <v>1930</v>
      </c>
      <c r="G225" s="92"/>
    </row>
    <row r="226" spans="1:7" s="73" customFormat="1" ht="14.25" customHeight="1">
      <c r="A226" s="84" t="s">
        <v>278</v>
      </c>
      <c r="B226" s="84" t="s">
        <v>2475</v>
      </c>
      <c r="C226" s="84"/>
      <c r="D226" s="84"/>
      <c r="E226" s="84"/>
      <c r="F226" s="84">
        <v>1700</v>
      </c>
      <c r="G226" s="92"/>
    </row>
    <row r="227" spans="1:7" s="73" customFormat="1" ht="14.25" customHeight="1">
      <c r="A227" s="84" t="s">
        <v>278</v>
      </c>
      <c r="B227" s="84" t="s">
        <v>2763</v>
      </c>
      <c r="C227" s="84"/>
      <c r="D227" s="84"/>
      <c r="E227" s="84"/>
      <c r="F227" s="84">
        <v>1520</v>
      </c>
      <c r="G227" s="92"/>
    </row>
    <row r="228" spans="1:7" s="73" customFormat="1" ht="14.25" customHeight="1">
      <c r="A228" s="84" t="s">
        <v>278</v>
      </c>
      <c r="B228" s="84" t="s">
        <v>2764</v>
      </c>
      <c r="C228" s="84"/>
      <c r="D228" s="84"/>
      <c r="E228" s="84"/>
      <c r="F228" s="84">
        <v>1520</v>
      </c>
      <c r="G228" s="92"/>
    </row>
    <row r="229" spans="1:7" s="73" customFormat="1" ht="14.25" customHeight="1">
      <c r="A229" s="84" t="s">
        <v>278</v>
      </c>
      <c r="B229" s="84" t="s">
        <v>2765</v>
      </c>
      <c r="C229" s="84"/>
      <c r="D229" s="84"/>
      <c r="E229" s="84"/>
      <c r="F229" s="84">
        <v>1520</v>
      </c>
      <c r="G229" s="92"/>
    </row>
    <row r="230" spans="1:7" s="73" customFormat="1" ht="14.25" customHeight="1">
      <c r="A230" s="84" t="s">
        <v>278</v>
      </c>
      <c r="B230" s="84" t="s">
        <v>2479</v>
      </c>
      <c r="C230" s="84"/>
      <c r="D230" s="84"/>
      <c r="E230" s="84"/>
      <c r="F230" s="84">
        <v>1820</v>
      </c>
      <c r="G230" s="92"/>
    </row>
    <row r="231" spans="1:7" s="73" customFormat="1" ht="14.25" customHeight="1">
      <c r="A231" s="84" t="s">
        <v>278</v>
      </c>
      <c r="B231" s="84" t="s">
        <v>2480</v>
      </c>
      <c r="C231" s="84"/>
      <c r="D231" s="84"/>
      <c r="E231" s="84"/>
      <c r="F231" s="84">
        <v>1760</v>
      </c>
      <c r="G231" s="92"/>
    </row>
    <row r="232" spans="1:7" s="73" customFormat="1" ht="14.25" customHeight="1">
      <c r="A232" s="84" t="s">
        <v>278</v>
      </c>
      <c r="B232" s="84" t="s">
        <v>2766</v>
      </c>
      <c r="C232" s="84"/>
      <c r="D232" s="84"/>
      <c r="E232" s="84"/>
      <c r="F232" s="84">
        <v>1840</v>
      </c>
      <c r="G232" s="92"/>
    </row>
    <row r="233" spans="1:7" s="73" customFormat="1" ht="14.25" customHeight="1">
      <c r="A233" s="93" t="s">
        <v>278</v>
      </c>
      <c r="B233" s="88" t="s">
        <v>2482</v>
      </c>
      <c r="C233" s="88"/>
      <c r="D233" s="88"/>
      <c r="E233" s="88"/>
      <c r="F233" s="88">
        <v>1770</v>
      </c>
      <c r="G233" s="94"/>
    </row>
    <row r="234" spans="1:7" s="73" customFormat="1" ht="14.25" customHeight="1">
      <c r="A234" s="82" t="s">
        <v>284</v>
      </c>
      <c r="B234" s="83" t="s">
        <v>2483</v>
      </c>
      <c r="C234" s="84">
        <v>6980</v>
      </c>
      <c r="D234" s="84">
        <v>6970</v>
      </c>
      <c r="E234" s="84">
        <v>8720</v>
      </c>
      <c r="F234" s="84">
        <v>1350</v>
      </c>
      <c r="G234" s="84">
        <v>4280</v>
      </c>
    </row>
    <row r="235" spans="1:7" s="73" customFormat="1" ht="14.25" customHeight="1">
      <c r="A235" s="84" t="s">
        <v>284</v>
      </c>
      <c r="B235" s="84" t="s">
        <v>2484</v>
      </c>
      <c r="C235" s="84">
        <v>7620</v>
      </c>
      <c r="D235" s="84">
        <v>7580</v>
      </c>
      <c r="E235" s="84">
        <v>9360</v>
      </c>
      <c r="F235" s="84">
        <v>1490</v>
      </c>
      <c r="G235" s="84">
        <v>4650</v>
      </c>
    </row>
    <row r="236" spans="1:7" s="73" customFormat="1" ht="14.25" customHeight="1">
      <c r="A236" s="84" t="s">
        <v>284</v>
      </c>
      <c r="B236" s="84" t="s">
        <v>2485</v>
      </c>
      <c r="C236" s="84">
        <v>6650</v>
      </c>
      <c r="D236" s="84">
        <v>6630</v>
      </c>
      <c r="E236" s="84">
        <v>8330</v>
      </c>
      <c r="F236" s="84">
        <v>1250</v>
      </c>
      <c r="G236" s="84">
        <v>4070</v>
      </c>
    </row>
    <row r="237" spans="1:7" s="73" customFormat="1" ht="14.25" customHeight="1">
      <c r="A237" s="84" t="s">
        <v>284</v>
      </c>
      <c r="B237" s="84" t="s">
        <v>2486</v>
      </c>
      <c r="C237" s="84">
        <v>5850</v>
      </c>
      <c r="D237" s="84">
        <v>5820</v>
      </c>
      <c r="E237" s="84">
        <v>7260</v>
      </c>
      <c r="F237" s="84">
        <v>1140</v>
      </c>
      <c r="G237" s="84">
        <v>3570</v>
      </c>
    </row>
    <row r="238" spans="1:7" s="73" customFormat="1" ht="14.25" customHeight="1">
      <c r="A238" s="84" t="s">
        <v>284</v>
      </c>
      <c r="B238" s="84" t="s">
        <v>2487</v>
      </c>
      <c r="C238" s="84">
        <v>6920</v>
      </c>
      <c r="D238" s="84">
        <v>6890</v>
      </c>
      <c r="E238" s="84">
        <v>8640</v>
      </c>
      <c r="F238" s="84">
        <v>1310</v>
      </c>
      <c r="G238" s="84">
        <v>4230</v>
      </c>
    </row>
    <row r="239" spans="1:7" s="73" customFormat="1" ht="14.25" customHeight="1">
      <c r="A239" s="84" t="s">
        <v>284</v>
      </c>
      <c r="B239" s="84" t="s">
        <v>2488</v>
      </c>
      <c r="C239" s="84">
        <v>6780</v>
      </c>
      <c r="D239" s="84">
        <v>6750</v>
      </c>
      <c r="E239" s="84">
        <v>8440</v>
      </c>
      <c r="F239" s="84">
        <v>1160</v>
      </c>
      <c r="G239" s="84">
        <v>4140</v>
      </c>
    </row>
    <row r="240" spans="1:7" s="73" customFormat="1" ht="14.25" customHeight="1">
      <c r="A240" s="84" t="s">
        <v>284</v>
      </c>
      <c r="B240" s="84" t="s">
        <v>2489</v>
      </c>
      <c r="C240" s="84">
        <v>5420</v>
      </c>
      <c r="D240" s="84">
        <v>5380</v>
      </c>
      <c r="E240" s="84">
        <v>6640</v>
      </c>
      <c r="F240" s="84">
        <v>1020</v>
      </c>
      <c r="G240" s="84">
        <v>3300</v>
      </c>
    </row>
    <row r="241" spans="1:7" s="73" customFormat="1" ht="14.25" customHeight="1">
      <c r="A241" s="84" t="s">
        <v>284</v>
      </c>
      <c r="B241" s="84" t="s">
        <v>2490</v>
      </c>
      <c r="C241" s="84">
        <v>6660</v>
      </c>
      <c r="D241" s="84">
        <v>6640</v>
      </c>
      <c r="E241" s="84">
        <v>8340</v>
      </c>
      <c r="F241" s="84">
        <v>1130</v>
      </c>
      <c r="G241" s="84">
        <v>4080</v>
      </c>
    </row>
    <row r="242" spans="1:7" s="73" customFormat="1" ht="14.25" customHeight="1">
      <c r="A242" s="84" t="s">
        <v>284</v>
      </c>
      <c r="B242" s="84" t="s">
        <v>2491</v>
      </c>
      <c r="C242" s="84">
        <v>6580</v>
      </c>
      <c r="D242" s="84">
        <v>6550</v>
      </c>
      <c r="E242" s="84">
        <v>8090</v>
      </c>
      <c r="F242" s="84">
        <v>1240</v>
      </c>
      <c r="G242" s="84">
        <v>4020</v>
      </c>
    </row>
    <row r="243" spans="1:7" s="73" customFormat="1" ht="14.25" customHeight="1">
      <c r="A243" s="84" t="s">
        <v>284</v>
      </c>
      <c r="B243" s="84" t="s">
        <v>2492</v>
      </c>
      <c r="C243" s="84">
        <v>6000</v>
      </c>
      <c r="D243" s="84">
        <v>5970</v>
      </c>
      <c r="E243" s="84">
        <v>7370</v>
      </c>
      <c r="F243" s="84">
        <v>1070</v>
      </c>
      <c r="G243" s="84">
        <v>3670</v>
      </c>
    </row>
    <row r="244" spans="1:7" s="73" customFormat="1" ht="14.25" customHeight="1">
      <c r="A244" s="84" t="s">
        <v>284</v>
      </c>
      <c r="B244" s="84" t="s">
        <v>2493</v>
      </c>
      <c r="C244" s="84">
        <v>5840</v>
      </c>
      <c r="D244" s="84">
        <v>5810</v>
      </c>
      <c r="E244" s="84">
        <v>7240</v>
      </c>
      <c r="F244" s="84">
        <v>1100</v>
      </c>
      <c r="G244" s="84">
        <v>3560</v>
      </c>
    </row>
    <row r="245" spans="1:7" s="73" customFormat="1" ht="14.25" customHeight="1">
      <c r="A245" s="84" t="s">
        <v>284</v>
      </c>
      <c r="B245" s="84" t="s">
        <v>2494</v>
      </c>
      <c r="C245" s="84">
        <v>6040</v>
      </c>
      <c r="D245" s="84">
        <v>6000</v>
      </c>
      <c r="E245" s="84">
        <v>7420</v>
      </c>
      <c r="F245" s="84">
        <v>1140</v>
      </c>
      <c r="G245" s="84">
        <v>3690</v>
      </c>
    </row>
    <row r="246" spans="1:7" s="73" customFormat="1" ht="14.25" customHeight="1">
      <c r="A246" s="84" t="s">
        <v>284</v>
      </c>
      <c r="B246" s="84" t="s">
        <v>2495</v>
      </c>
      <c r="C246" s="84">
        <v>5890</v>
      </c>
      <c r="D246" s="84">
        <v>5860</v>
      </c>
      <c r="E246" s="84">
        <v>7300</v>
      </c>
      <c r="F246" s="84">
        <v>1110</v>
      </c>
      <c r="G246" s="84">
        <v>3590</v>
      </c>
    </row>
    <row r="247" spans="1:7" s="73" customFormat="1" ht="14.25" customHeight="1">
      <c r="A247" s="84" t="s">
        <v>284</v>
      </c>
      <c r="B247" s="84" t="s">
        <v>2496</v>
      </c>
      <c r="C247" s="84">
        <v>6480</v>
      </c>
      <c r="D247" s="84">
        <v>6450</v>
      </c>
      <c r="E247" s="84">
        <v>8010</v>
      </c>
      <c r="F247" s="84">
        <v>1170</v>
      </c>
      <c r="G247" s="84">
        <v>3960</v>
      </c>
    </row>
    <row r="248" spans="1:7" s="73" customFormat="1" ht="14.25" customHeight="1">
      <c r="A248" s="84" t="s">
        <v>284</v>
      </c>
      <c r="B248" s="84" t="s">
        <v>2497</v>
      </c>
      <c r="C248" s="84">
        <v>6860</v>
      </c>
      <c r="D248" s="84">
        <v>6840</v>
      </c>
      <c r="E248" s="84">
        <v>8520</v>
      </c>
      <c r="F248" s="84">
        <v>1240</v>
      </c>
      <c r="G248" s="84">
        <v>4200</v>
      </c>
    </row>
    <row r="249" spans="1:7" s="73" customFormat="1" ht="14.25" customHeight="1">
      <c r="A249" s="84" t="s">
        <v>284</v>
      </c>
      <c r="B249" s="84" t="s">
        <v>2498</v>
      </c>
      <c r="C249" s="84">
        <v>7180</v>
      </c>
      <c r="D249" s="84">
        <v>7140</v>
      </c>
      <c r="E249" s="84">
        <v>8900</v>
      </c>
      <c r="F249" s="84">
        <v>1350</v>
      </c>
      <c r="G249" s="84">
        <v>4380</v>
      </c>
    </row>
    <row r="250" spans="1:7" s="73" customFormat="1" ht="14.25" customHeight="1">
      <c r="A250" s="84" t="s">
        <v>284</v>
      </c>
      <c r="B250" s="84" t="s">
        <v>2499</v>
      </c>
      <c r="C250" s="84">
        <v>6880</v>
      </c>
      <c r="D250" s="84">
        <v>6860</v>
      </c>
      <c r="E250" s="84">
        <v>8550</v>
      </c>
      <c r="F250" s="84">
        <v>1220</v>
      </c>
      <c r="G250" s="84">
        <v>4210</v>
      </c>
    </row>
    <row r="251" spans="1:7" s="73" customFormat="1" ht="14.25" customHeight="1">
      <c r="A251" s="84" t="s">
        <v>284</v>
      </c>
      <c r="B251" s="84" t="s">
        <v>2500</v>
      </c>
      <c r="C251" s="84"/>
      <c r="D251" s="84"/>
      <c r="E251" s="84"/>
      <c r="F251" s="84">
        <v>1100</v>
      </c>
      <c r="G251" s="84"/>
    </row>
    <row r="252" spans="1:7" s="73" customFormat="1" ht="14.25" customHeight="1">
      <c r="A252" s="84" t="s">
        <v>284</v>
      </c>
      <c r="B252" s="84" t="s">
        <v>2501</v>
      </c>
      <c r="C252" s="84">
        <v>7240</v>
      </c>
      <c r="D252" s="84">
        <v>7200</v>
      </c>
      <c r="E252" s="84">
        <v>9040</v>
      </c>
      <c r="F252" s="84">
        <v>1380</v>
      </c>
      <c r="G252" s="84">
        <v>4420</v>
      </c>
    </row>
    <row r="253" spans="1:7" s="73" customFormat="1" ht="14.25" customHeight="1">
      <c r="A253" s="84" t="s">
        <v>284</v>
      </c>
      <c r="B253" s="84" t="s">
        <v>2502</v>
      </c>
      <c r="C253" s="84">
        <v>6670</v>
      </c>
      <c r="D253" s="84">
        <v>6650</v>
      </c>
      <c r="E253" s="84">
        <v>8350</v>
      </c>
      <c r="F253" s="84">
        <v>1260</v>
      </c>
      <c r="G253" s="84">
        <v>4080</v>
      </c>
    </row>
    <row r="254" spans="1:7" s="73" customFormat="1" ht="14.25" customHeight="1">
      <c r="A254" s="84" t="s">
        <v>284</v>
      </c>
      <c r="B254" s="84" t="s">
        <v>2503</v>
      </c>
      <c r="C254" s="84">
        <v>7630</v>
      </c>
      <c r="D254" s="84">
        <v>7590</v>
      </c>
      <c r="E254" s="84">
        <v>9380</v>
      </c>
      <c r="F254" s="84">
        <v>1320</v>
      </c>
      <c r="G254" s="84">
        <v>4660</v>
      </c>
    </row>
    <row r="255" spans="1:7" s="73" customFormat="1" ht="14.25" customHeight="1">
      <c r="A255" s="84" t="s">
        <v>284</v>
      </c>
      <c r="B255" s="84" t="s">
        <v>2504</v>
      </c>
      <c r="C255" s="84">
        <v>6940</v>
      </c>
      <c r="D255" s="84">
        <v>6890</v>
      </c>
      <c r="E255" s="84">
        <v>8650</v>
      </c>
      <c r="F255" s="84">
        <v>1210</v>
      </c>
      <c r="G255" s="84">
        <v>4230</v>
      </c>
    </row>
    <row r="256" spans="1:7" s="73" customFormat="1" ht="14.25" customHeight="1">
      <c r="A256" s="84" t="s">
        <v>284</v>
      </c>
      <c r="B256" s="84" t="s">
        <v>2505</v>
      </c>
      <c r="C256" s="84">
        <v>7520</v>
      </c>
      <c r="D256" s="84">
        <v>7490</v>
      </c>
      <c r="E256" s="84">
        <v>9240</v>
      </c>
      <c r="F256" s="84">
        <v>1270</v>
      </c>
      <c r="G256" s="84">
        <v>4590</v>
      </c>
    </row>
    <row r="257" spans="1:7" s="73" customFormat="1" ht="14.25" customHeight="1">
      <c r="A257" s="84" t="s">
        <v>284</v>
      </c>
      <c r="B257" s="84" t="s">
        <v>2506</v>
      </c>
      <c r="C257" s="84">
        <v>6280</v>
      </c>
      <c r="D257" s="84">
        <v>6230</v>
      </c>
      <c r="E257" s="84">
        <v>7740</v>
      </c>
      <c r="F257" s="84">
        <v>1080</v>
      </c>
      <c r="G257" s="84">
        <v>3830</v>
      </c>
    </row>
    <row r="258" spans="1:7" s="73" customFormat="1" ht="14.25" customHeight="1">
      <c r="A258" s="84" t="s">
        <v>284</v>
      </c>
      <c r="B258" s="84" t="s">
        <v>2507</v>
      </c>
      <c r="C258" s="84">
        <v>6190</v>
      </c>
      <c r="D258" s="84">
        <v>6160</v>
      </c>
      <c r="E258" s="84">
        <v>7680</v>
      </c>
      <c r="F258" s="84">
        <v>1170</v>
      </c>
      <c r="G258" s="84">
        <v>3780</v>
      </c>
    </row>
    <row r="259" spans="1:7" s="73" customFormat="1" ht="14.25" customHeight="1">
      <c r="A259" s="84" t="s">
        <v>284</v>
      </c>
      <c r="B259" s="84" t="s">
        <v>2508</v>
      </c>
      <c r="C259" s="84">
        <v>7610</v>
      </c>
      <c r="D259" s="84">
        <v>7570</v>
      </c>
      <c r="E259" s="84">
        <v>9350</v>
      </c>
      <c r="F259" s="84">
        <v>1350</v>
      </c>
      <c r="G259" s="84">
        <v>4650</v>
      </c>
    </row>
    <row r="260" spans="1:7" s="73" customFormat="1" ht="14.25" customHeight="1">
      <c r="A260" s="84" t="s">
        <v>284</v>
      </c>
      <c r="B260" s="84" t="s">
        <v>2509</v>
      </c>
      <c r="C260" s="84">
        <v>6920</v>
      </c>
      <c r="D260" s="84">
        <v>6880</v>
      </c>
      <c r="E260" s="84">
        <v>8380</v>
      </c>
      <c r="F260" s="84">
        <v>1160</v>
      </c>
      <c r="G260" s="84">
        <v>4220</v>
      </c>
    </row>
    <row r="261" spans="1:7" s="73" customFormat="1" ht="14.25" customHeight="1">
      <c r="A261" s="84" t="s">
        <v>284</v>
      </c>
      <c r="B261" s="84" t="s">
        <v>2510</v>
      </c>
      <c r="C261" s="84">
        <v>6850</v>
      </c>
      <c r="D261" s="84">
        <v>6810</v>
      </c>
      <c r="E261" s="84">
        <v>8290</v>
      </c>
      <c r="F261" s="84">
        <v>1130</v>
      </c>
      <c r="G261" s="84">
        <v>4180</v>
      </c>
    </row>
    <row r="262" spans="1:7" s="73" customFormat="1" ht="14.25" customHeight="1">
      <c r="A262" s="84" t="s">
        <v>284</v>
      </c>
      <c r="B262" s="84" t="s">
        <v>2511</v>
      </c>
      <c r="C262" s="84">
        <v>5860</v>
      </c>
      <c r="D262" s="84">
        <v>5820</v>
      </c>
      <c r="E262" s="84">
        <v>7640</v>
      </c>
      <c r="F262" s="84">
        <v>1070</v>
      </c>
      <c r="G262" s="84">
        <v>3570</v>
      </c>
    </row>
    <row r="263" spans="1:7" s="73" customFormat="1" ht="14.25" customHeight="1">
      <c r="A263" s="84" t="s">
        <v>284</v>
      </c>
      <c r="B263" s="84" t="s">
        <v>2512</v>
      </c>
      <c r="C263" s="84">
        <v>5870</v>
      </c>
      <c r="D263" s="84">
        <v>5840</v>
      </c>
      <c r="E263" s="84">
        <v>7270</v>
      </c>
      <c r="F263" s="84">
        <v>1190</v>
      </c>
      <c r="G263" s="84">
        <v>3580</v>
      </c>
    </row>
    <row r="264" spans="1:7" s="73" customFormat="1" ht="14.25" customHeight="1">
      <c r="A264" s="84" t="s">
        <v>284</v>
      </c>
      <c r="B264" s="84" t="s">
        <v>2513</v>
      </c>
      <c r="C264" s="84">
        <v>6190</v>
      </c>
      <c r="D264" s="84">
        <v>6150</v>
      </c>
      <c r="E264" s="84">
        <v>7660</v>
      </c>
      <c r="F264" s="84">
        <v>1160</v>
      </c>
      <c r="G264" s="84">
        <v>3770</v>
      </c>
    </row>
    <row r="265" spans="1:7" s="73" customFormat="1" ht="14.25" customHeight="1">
      <c r="A265" s="84" t="s">
        <v>284</v>
      </c>
      <c r="B265" s="84" t="s">
        <v>2514</v>
      </c>
      <c r="C265" s="84"/>
      <c r="D265" s="84"/>
      <c r="E265" s="84"/>
      <c r="F265" s="84">
        <v>1500</v>
      </c>
      <c r="G265" s="84"/>
    </row>
    <row r="266" spans="1:7" s="73" customFormat="1" ht="14.25" customHeight="1">
      <c r="A266" s="84" t="s">
        <v>284</v>
      </c>
      <c r="B266" s="84" t="s">
        <v>2515</v>
      </c>
      <c r="C266" s="84"/>
      <c r="D266" s="84"/>
      <c r="E266" s="84"/>
      <c r="F266" s="84">
        <v>1500</v>
      </c>
      <c r="G266" s="84"/>
    </row>
    <row r="267" spans="1:7" s="73" customFormat="1" ht="14.25" customHeight="1">
      <c r="A267" s="84" t="s">
        <v>284</v>
      </c>
      <c r="B267" s="84" t="s">
        <v>2516</v>
      </c>
      <c r="C267" s="84"/>
      <c r="D267" s="84"/>
      <c r="E267" s="84"/>
      <c r="F267" s="84">
        <v>1500</v>
      </c>
      <c r="G267" s="84"/>
    </row>
    <row r="268" spans="1:7" s="73" customFormat="1" ht="14.25" customHeight="1">
      <c r="A268" s="84" t="s">
        <v>284</v>
      </c>
      <c r="B268" s="84" t="s">
        <v>2517</v>
      </c>
      <c r="C268" s="84"/>
      <c r="D268" s="84"/>
      <c r="E268" s="84"/>
      <c r="F268" s="84">
        <v>1290</v>
      </c>
      <c r="G268" s="84"/>
    </row>
    <row r="269" spans="1:7" s="73" customFormat="1" ht="14.25" customHeight="1">
      <c r="A269" s="84" t="s">
        <v>284</v>
      </c>
      <c r="B269" s="84" t="s">
        <v>2518</v>
      </c>
      <c r="C269" s="84"/>
      <c r="D269" s="84"/>
      <c r="E269" s="84"/>
      <c r="F269" s="84">
        <v>1150</v>
      </c>
      <c r="G269" s="84"/>
    </row>
    <row r="270" spans="1:7" s="73" customFormat="1" ht="14.25" customHeight="1">
      <c r="A270" s="84" t="s">
        <v>284</v>
      </c>
      <c r="B270" s="84" t="s">
        <v>2519</v>
      </c>
      <c r="C270" s="84"/>
      <c r="D270" s="84"/>
      <c r="E270" s="84"/>
      <c r="F270" s="84">
        <v>1380</v>
      </c>
      <c r="G270" s="84"/>
    </row>
    <row r="271" spans="1:7" s="73" customFormat="1" ht="14.25" customHeight="1">
      <c r="A271" s="84" t="s">
        <v>284</v>
      </c>
      <c r="B271" s="84" t="s">
        <v>2520</v>
      </c>
      <c r="C271" s="84"/>
      <c r="D271" s="84"/>
      <c r="E271" s="84"/>
      <c r="F271" s="84">
        <v>1460</v>
      </c>
      <c r="G271" s="84"/>
    </row>
    <row r="272" spans="1:7" s="73" customFormat="1" ht="14.25" customHeight="1">
      <c r="A272" s="84" t="s">
        <v>284</v>
      </c>
      <c r="B272" s="84" t="s">
        <v>2521</v>
      </c>
      <c r="C272" s="84"/>
      <c r="D272" s="84"/>
      <c r="E272" s="84"/>
      <c r="F272" s="84">
        <v>1460</v>
      </c>
      <c r="G272" s="84"/>
    </row>
    <row r="273" spans="1:7" s="73" customFormat="1" ht="14.25" customHeight="1">
      <c r="A273" s="84" t="s">
        <v>284</v>
      </c>
      <c r="B273" s="84" t="s">
        <v>2522</v>
      </c>
      <c r="C273" s="84"/>
      <c r="D273" s="84"/>
      <c r="E273" s="84"/>
      <c r="F273" s="84">
        <v>1490</v>
      </c>
      <c r="G273" s="84"/>
    </row>
    <row r="274" spans="1:7" s="73" customFormat="1" ht="14.25" customHeight="1">
      <c r="A274" s="84" t="s">
        <v>284</v>
      </c>
      <c r="B274" s="84" t="s">
        <v>2523</v>
      </c>
      <c r="C274" s="84"/>
      <c r="D274" s="84"/>
      <c r="E274" s="84"/>
      <c r="F274" s="84">
        <v>1490</v>
      </c>
      <c r="G274" s="84"/>
    </row>
    <row r="275" spans="1:7" s="73" customFormat="1" ht="14.25" customHeight="1">
      <c r="A275" s="84" t="s">
        <v>284</v>
      </c>
      <c r="B275" s="84" t="s">
        <v>2524</v>
      </c>
      <c r="C275" s="84"/>
      <c r="D275" s="84"/>
      <c r="E275" s="84"/>
      <c r="F275" s="84">
        <v>1220</v>
      </c>
      <c r="G275" s="84"/>
    </row>
    <row r="276" spans="1:7" s="73" customFormat="1" ht="14.25" customHeight="1">
      <c r="A276" s="86" t="s">
        <v>284</v>
      </c>
      <c r="B276" s="89" t="s">
        <v>2525</v>
      </c>
      <c r="C276" s="90"/>
      <c r="D276" s="90"/>
      <c r="E276" s="90"/>
      <c r="F276" s="90">
        <v>1380</v>
      </c>
      <c r="G276" s="90"/>
    </row>
    <row r="277" spans="1:7" s="73" customFormat="1" ht="14.25" customHeight="1">
      <c r="A277" s="82" t="s">
        <v>288</v>
      </c>
      <c r="B277" s="83" t="s">
        <v>2526</v>
      </c>
      <c r="C277" s="83">
        <v>5790</v>
      </c>
      <c r="D277" s="83">
        <v>5740</v>
      </c>
      <c r="E277" s="83">
        <v>6730</v>
      </c>
      <c r="F277" s="83">
        <v>1110</v>
      </c>
      <c r="G277" s="91">
        <v>3460</v>
      </c>
    </row>
    <row r="278" spans="1:7" s="73" customFormat="1" ht="14.25" customHeight="1">
      <c r="A278" s="84" t="s">
        <v>288</v>
      </c>
      <c r="B278" s="84" t="s">
        <v>2527</v>
      </c>
      <c r="C278" s="84">
        <v>5740</v>
      </c>
      <c r="D278" s="84">
        <v>5670</v>
      </c>
      <c r="E278" s="84">
        <v>6680</v>
      </c>
      <c r="F278" s="84">
        <v>1070</v>
      </c>
      <c r="G278" s="92">
        <v>3420</v>
      </c>
    </row>
    <row r="279" spans="1:7" s="73" customFormat="1" ht="14.25" customHeight="1">
      <c r="A279" s="84" t="s">
        <v>288</v>
      </c>
      <c r="B279" s="84" t="s">
        <v>2528</v>
      </c>
      <c r="C279" s="84">
        <v>4760</v>
      </c>
      <c r="D279" s="84">
        <v>4720</v>
      </c>
      <c r="E279" s="84">
        <v>5540</v>
      </c>
      <c r="F279" s="84">
        <v>810</v>
      </c>
      <c r="G279" s="92">
        <v>2850</v>
      </c>
    </row>
    <row r="280" spans="1:7" s="73" customFormat="1" ht="14.25" customHeight="1">
      <c r="A280" s="84" t="s">
        <v>288</v>
      </c>
      <c r="B280" s="84" t="s">
        <v>2529</v>
      </c>
      <c r="C280" s="84">
        <v>4010</v>
      </c>
      <c r="D280" s="84">
        <v>3950</v>
      </c>
      <c r="E280" s="84">
        <v>4710</v>
      </c>
      <c r="F280" s="84">
        <v>800</v>
      </c>
      <c r="G280" s="92">
        <v>2390</v>
      </c>
    </row>
    <row r="281" spans="1:7" s="73" customFormat="1" ht="14.25" customHeight="1">
      <c r="A281" s="84" t="s">
        <v>288</v>
      </c>
      <c r="B281" s="84" t="s">
        <v>2530</v>
      </c>
      <c r="C281" s="84">
        <v>4480</v>
      </c>
      <c r="D281" s="84">
        <v>4420</v>
      </c>
      <c r="E281" s="84">
        <v>5230</v>
      </c>
      <c r="F281" s="84">
        <v>870</v>
      </c>
      <c r="G281" s="92">
        <v>2660</v>
      </c>
    </row>
    <row r="282" spans="1:7" s="73" customFormat="1" ht="14.25" customHeight="1">
      <c r="A282" s="84" t="s">
        <v>288</v>
      </c>
      <c r="B282" s="84" t="s">
        <v>2531</v>
      </c>
      <c r="C282" s="84">
        <v>5360</v>
      </c>
      <c r="D282" s="84">
        <v>5300</v>
      </c>
      <c r="E282" s="84">
        <v>6190</v>
      </c>
      <c r="F282" s="84">
        <v>950</v>
      </c>
      <c r="G282" s="92">
        <v>3190</v>
      </c>
    </row>
    <row r="283" spans="1:7" s="73" customFormat="1" ht="14.25" customHeight="1">
      <c r="A283" s="84" t="s">
        <v>288</v>
      </c>
      <c r="B283" s="84" t="s">
        <v>2532</v>
      </c>
      <c r="C283" s="84">
        <v>4950</v>
      </c>
      <c r="D283" s="84">
        <v>4900</v>
      </c>
      <c r="E283" s="84">
        <v>5720</v>
      </c>
      <c r="F283" s="84">
        <v>920</v>
      </c>
      <c r="G283" s="92">
        <v>2950</v>
      </c>
    </row>
    <row r="284" spans="1:7" s="73" customFormat="1" ht="14.25" customHeight="1">
      <c r="A284" s="84" t="s">
        <v>288</v>
      </c>
      <c r="B284" s="84" t="s">
        <v>2533</v>
      </c>
      <c r="C284" s="84">
        <v>5610</v>
      </c>
      <c r="D284" s="84">
        <v>5560</v>
      </c>
      <c r="E284" s="84">
        <v>6520</v>
      </c>
      <c r="F284" s="84">
        <v>1030</v>
      </c>
      <c r="G284" s="92">
        <v>3360</v>
      </c>
    </row>
    <row r="285" spans="1:7" s="73" customFormat="1" ht="14.25" customHeight="1">
      <c r="A285" s="84" t="s">
        <v>288</v>
      </c>
      <c r="B285" s="84" t="s">
        <v>2534</v>
      </c>
      <c r="C285" s="84">
        <v>5340</v>
      </c>
      <c r="D285" s="84">
        <v>5290</v>
      </c>
      <c r="E285" s="84">
        <v>6170</v>
      </c>
      <c r="F285" s="84">
        <v>1080</v>
      </c>
      <c r="G285" s="92">
        <v>3180</v>
      </c>
    </row>
    <row r="286" spans="1:7" s="73" customFormat="1" ht="14.25" customHeight="1">
      <c r="A286" s="84" t="s">
        <v>288</v>
      </c>
      <c r="B286" s="84" t="s">
        <v>2535</v>
      </c>
      <c r="C286" s="84">
        <v>4890</v>
      </c>
      <c r="D286" s="84">
        <v>4840</v>
      </c>
      <c r="E286" s="84">
        <v>5640</v>
      </c>
      <c r="F286" s="84">
        <v>960</v>
      </c>
      <c r="G286" s="92">
        <v>2910</v>
      </c>
    </row>
    <row r="287" spans="1:7" s="73" customFormat="1" ht="14.25" customHeight="1">
      <c r="A287" s="84" t="s">
        <v>288</v>
      </c>
      <c r="B287" s="84" t="s">
        <v>2536</v>
      </c>
      <c r="C287" s="84">
        <v>4960</v>
      </c>
      <c r="D287" s="84">
        <v>4920</v>
      </c>
      <c r="E287" s="84">
        <v>5730</v>
      </c>
      <c r="F287" s="84">
        <v>930</v>
      </c>
      <c r="G287" s="92">
        <v>2960</v>
      </c>
    </row>
    <row r="288" spans="1:7" s="73" customFormat="1" ht="14.25" customHeight="1">
      <c r="A288" s="84" t="s">
        <v>288</v>
      </c>
      <c r="B288" s="84" t="s">
        <v>2537</v>
      </c>
      <c r="C288" s="84">
        <v>4350</v>
      </c>
      <c r="D288" s="84">
        <v>4300</v>
      </c>
      <c r="E288" s="84">
        <v>4900</v>
      </c>
      <c r="F288" s="84">
        <v>820</v>
      </c>
      <c r="G288" s="92">
        <v>2590</v>
      </c>
    </row>
    <row r="289" spans="1:7" s="73" customFormat="1" ht="14.25" customHeight="1">
      <c r="A289" s="84" t="s">
        <v>288</v>
      </c>
      <c r="B289" s="84" t="s">
        <v>2538</v>
      </c>
      <c r="C289" s="84">
        <v>5230</v>
      </c>
      <c r="D289" s="84">
        <v>5170</v>
      </c>
      <c r="E289" s="84">
        <v>6060</v>
      </c>
      <c r="F289" s="84">
        <v>900</v>
      </c>
      <c r="G289" s="92">
        <v>3120</v>
      </c>
    </row>
    <row r="290" spans="1:7" s="73" customFormat="1" ht="14.25" customHeight="1">
      <c r="A290" s="84" t="s">
        <v>288</v>
      </c>
      <c r="B290" s="84" t="s">
        <v>2539</v>
      </c>
      <c r="C290" s="84">
        <v>5550</v>
      </c>
      <c r="D290" s="84">
        <v>5500</v>
      </c>
      <c r="E290" s="84">
        <v>6440</v>
      </c>
      <c r="F290" s="84">
        <v>960</v>
      </c>
      <c r="G290" s="92">
        <v>3320</v>
      </c>
    </row>
    <row r="291" spans="1:7" s="73" customFormat="1" ht="14.25" customHeight="1">
      <c r="A291" s="84" t="s">
        <v>288</v>
      </c>
      <c r="B291" s="84" t="s">
        <v>2540</v>
      </c>
      <c r="C291" s="84">
        <v>5440</v>
      </c>
      <c r="D291" s="84">
        <v>5400</v>
      </c>
      <c r="E291" s="84">
        <v>6320</v>
      </c>
      <c r="F291" s="84">
        <v>930</v>
      </c>
      <c r="G291" s="92">
        <v>3250</v>
      </c>
    </row>
    <row r="292" spans="1:7" s="73" customFormat="1" ht="14.25" customHeight="1">
      <c r="A292" s="84" t="s">
        <v>288</v>
      </c>
      <c r="B292" s="84" t="s">
        <v>2541</v>
      </c>
      <c r="C292" s="84">
        <v>5400</v>
      </c>
      <c r="D292" s="84">
        <v>5360</v>
      </c>
      <c r="E292" s="84">
        <v>6270</v>
      </c>
      <c r="F292" s="84">
        <v>1040</v>
      </c>
      <c r="G292" s="92">
        <v>3230</v>
      </c>
    </row>
    <row r="293" spans="1:7" s="73" customFormat="1" ht="14.25" customHeight="1">
      <c r="A293" s="84" t="s">
        <v>288</v>
      </c>
      <c r="B293" s="84" t="s">
        <v>2542</v>
      </c>
      <c r="C293" s="84">
        <v>5320</v>
      </c>
      <c r="D293" s="84">
        <v>5270</v>
      </c>
      <c r="E293" s="84">
        <v>6160</v>
      </c>
      <c r="F293" s="84">
        <v>990</v>
      </c>
      <c r="G293" s="92">
        <v>3170</v>
      </c>
    </row>
    <row r="294" spans="1:7" s="73" customFormat="1" ht="14.25" customHeight="1">
      <c r="A294" s="84" t="s">
        <v>288</v>
      </c>
      <c r="B294" s="84" t="s">
        <v>2543</v>
      </c>
      <c r="C294" s="84">
        <v>5260</v>
      </c>
      <c r="D294" s="84">
        <v>5210</v>
      </c>
      <c r="E294" s="84">
        <v>6100</v>
      </c>
      <c r="F294" s="84">
        <v>950</v>
      </c>
      <c r="G294" s="92">
        <v>3150</v>
      </c>
    </row>
    <row r="295" spans="1:7" s="73" customFormat="1" ht="14.25" customHeight="1">
      <c r="A295" s="84" t="s">
        <v>288</v>
      </c>
      <c r="B295" s="84" t="s">
        <v>2544</v>
      </c>
      <c r="C295" s="84">
        <v>5610</v>
      </c>
      <c r="D295" s="84">
        <v>5570</v>
      </c>
      <c r="E295" s="84">
        <v>6530</v>
      </c>
      <c r="F295" s="84">
        <v>960</v>
      </c>
      <c r="G295" s="92">
        <v>3360</v>
      </c>
    </row>
    <row r="296" spans="1:7" s="73" customFormat="1" ht="14.25" customHeight="1">
      <c r="A296" s="84" t="s">
        <v>288</v>
      </c>
      <c r="B296" s="84" t="s">
        <v>2545</v>
      </c>
      <c r="C296" s="84">
        <v>5540</v>
      </c>
      <c r="D296" s="84">
        <v>5490</v>
      </c>
      <c r="E296" s="84">
        <v>6430</v>
      </c>
      <c r="F296" s="84">
        <v>980</v>
      </c>
      <c r="G296" s="92">
        <v>3310</v>
      </c>
    </row>
    <row r="297" spans="1:7" s="73" customFormat="1" ht="14.25" customHeight="1">
      <c r="A297" s="84" t="s">
        <v>288</v>
      </c>
      <c r="B297" s="84" t="s">
        <v>2546</v>
      </c>
      <c r="C297" s="84">
        <v>5480</v>
      </c>
      <c r="D297" s="84">
        <v>5420</v>
      </c>
      <c r="E297" s="84">
        <v>6370</v>
      </c>
      <c r="F297" s="84">
        <v>990</v>
      </c>
      <c r="G297" s="92">
        <v>3270</v>
      </c>
    </row>
    <row r="298" spans="1:7" s="73" customFormat="1" ht="14.25" customHeight="1">
      <c r="A298" s="84" t="s">
        <v>288</v>
      </c>
      <c r="B298" s="84" t="s">
        <v>2547</v>
      </c>
      <c r="C298" s="84">
        <v>5090</v>
      </c>
      <c r="D298" s="84">
        <v>5050</v>
      </c>
      <c r="E298" s="84">
        <v>5910</v>
      </c>
      <c r="F298" s="84">
        <v>900</v>
      </c>
      <c r="G298" s="92">
        <v>3040</v>
      </c>
    </row>
    <row r="299" spans="1:7" s="73" customFormat="1" ht="14.25" customHeight="1">
      <c r="A299" s="84" t="s">
        <v>288</v>
      </c>
      <c r="B299" s="98" t="s">
        <v>2548</v>
      </c>
      <c r="C299" s="84">
        <v>5430</v>
      </c>
      <c r="D299" s="84">
        <v>5380</v>
      </c>
      <c r="E299" s="84">
        <v>6280</v>
      </c>
      <c r="F299" s="84">
        <v>1000</v>
      </c>
      <c r="G299" s="92">
        <v>3240</v>
      </c>
    </row>
    <row r="300" spans="1:7" s="73" customFormat="1" ht="14.25" customHeight="1">
      <c r="A300" s="84" t="s">
        <v>288</v>
      </c>
      <c r="B300" s="98" t="s">
        <v>2549</v>
      </c>
      <c r="C300" s="84">
        <v>4740</v>
      </c>
      <c r="D300" s="84">
        <v>4680</v>
      </c>
      <c r="E300" s="84">
        <v>5450</v>
      </c>
      <c r="F300" s="84">
        <v>900</v>
      </c>
      <c r="G300" s="92">
        <v>2830</v>
      </c>
    </row>
    <row r="301" spans="1:7" s="73" customFormat="1" ht="14.25" customHeight="1">
      <c r="A301" s="84" t="s">
        <v>288</v>
      </c>
      <c r="B301" s="98" t="s">
        <v>2550</v>
      </c>
      <c r="C301" s="84">
        <v>4870</v>
      </c>
      <c r="D301" s="84">
        <v>4810</v>
      </c>
      <c r="E301" s="84">
        <v>5560</v>
      </c>
      <c r="F301" s="84">
        <v>990</v>
      </c>
      <c r="G301" s="92">
        <v>2910</v>
      </c>
    </row>
    <row r="302" spans="1:7" s="73" customFormat="1" ht="14.25" customHeight="1">
      <c r="A302" s="84" t="s">
        <v>288</v>
      </c>
      <c r="B302" s="84" t="s">
        <v>2551</v>
      </c>
      <c r="C302" s="84">
        <v>5520</v>
      </c>
      <c r="D302" s="84">
        <v>5470</v>
      </c>
      <c r="E302" s="84">
        <v>6410</v>
      </c>
      <c r="F302" s="84">
        <v>950</v>
      </c>
      <c r="G302" s="92">
        <v>3300</v>
      </c>
    </row>
    <row r="303" spans="1:7" s="73" customFormat="1" ht="14.25" customHeight="1">
      <c r="A303" s="84" t="s">
        <v>288</v>
      </c>
      <c r="B303" s="84" t="s">
        <v>2552</v>
      </c>
      <c r="C303" s="84">
        <v>5630</v>
      </c>
      <c r="D303" s="84">
        <v>5590</v>
      </c>
      <c r="E303" s="84">
        <v>6550</v>
      </c>
      <c r="F303" s="84">
        <v>1010</v>
      </c>
      <c r="G303" s="92">
        <v>3370</v>
      </c>
    </row>
    <row r="304" spans="1:7" s="73" customFormat="1" ht="14.25" customHeight="1">
      <c r="A304" s="84" t="s">
        <v>288</v>
      </c>
      <c r="B304" s="84" t="s">
        <v>2553</v>
      </c>
      <c r="C304" s="84">
        <v>5680</v>
      </c>
      <c r="D304" s="84">
        <v>5620</v>
      </c>
      <c r="E304" s="84">
        <v>6620</v>
      </c>
      <c r="F304" s="84">
        <v>1050</v>
      </c>
      <c r="G304" s="92">
        <v>3390</v>
      </c>
    </row>
    <row r="305" spans="1:7" s="73" customFormat="1" ht="14.25" customHeight="1">
      <c r="A305" s="84" t="s">
        <v>288</v>
      </c>
      <c r="B305" s="84" t="s">
        <v>2554</v>
      </c>
      <c r="C305" s="84">
        <v>5590</v>
      </c>
      <c r="D305" s="84">
        <v>5530</v>
      </c>
      <c r="E305" s="84">
        <v>6460</v>
      </c>
      <c r="F305" s="84">
        <v>900</v>
      </c>
      <c r="G305" s="92">
        <v>3340</v>
      </c>
    </row>
    <row r="306" spans="1:7" s="73" customFormat="1" ht="14.25" customHeight="1">
      <c r="A306" s="84" t="s">
        <v>288</v>
      </c>
      <c r="B306" s="84" t="s">
        <v>2555</v>
      </c>
      <c r="C306" s="84">
        <v>5560</v>
      </c>
      <c r="D306" s="84">
        <v>5510</v>
      </c>
      <c r="E306" s="84">
        <v>6440</v>
      </c>
      <c r="F306" s="84">
        <v>900</v>
      </c>
      <c r="G306" s="92">
        <v>3320</v>
      </c>
    </row>
    <row r="307" spans="1:7" s="73" customFormat="1" ht="14.25" customHeight="1">
      <c r="A307" s="84" t="s">
        <v>288</v>
      </c>
      <c r="B307" s="84" t="s">
        <v>2556</v>
      </c>
      <c r="C307" s="84">
        <v>5650</v>
      </c>
      <c r="D307" s="84">
        <v>5600</v>
      </c>
      <c r="E307" s="84">
        <v>6590</v>
      </c>
      <c r="F307" s="84">
        <v>930</v>
      </c>
      <c r="G307" s="92">
        <v>3380</v>
      </c>
    </row>
    <row r="308" spans="1:7" s="73" customFormat="1" ht="14.25" customHeight="1">
      <c r="A308" s="84" t="s">
        <v>288</v>
      </c>
      <c r="B308" s="84" t="s">
        <v>2557</v>
      </c>
      <c r="C308" s="84">
        <v>5620</v>
      </c>
      <c r="D308" s="84">
        <v>5580</v>
      </c>
      <c r="E308" s="84">
        <v>6540</v>
      </c>
      <c r="F308" s="84">
        <v>910</v>
      </c>
      <c r="G308" s="92">
        <v>3370</v>
      </c>
    </row>
    <row r="309" spans="1:7" s="73" customFormat="1" ht="14.25" customHeight="1">
      <c r="A309" s="84" t="s">
        <v>288</v>
      </c>
      <c r="B309" s="84" t="s">
        <v>2558</v>
      </c>
      <c r="C309" s="84">
        <v>5060</v>
      </c>
      <c r="D309" s="84">
        <v>5020</v>
      </c>
      <c r="E309" s="84">
        <v>6370</v>
      </c>
      <c r="F309" s="84">
        <v>800</v>
      </c>
      <c r="G309" s="92">
        <v>3020</v>
      </c>
    </row>
    <row r="310" spans="1:7" s="73" customFormat="1" ht="14.25" customHeight="1">
      <c r="A310" s="84" t="s">
        <v>288</v>
      </c>
      <c r="B310" s="84" t="s">
        <v>2559</v>
      </c>
      <c r="C310" s="84">
        <v>5150</v>
      </c>
      <c r="D310" s="84">
        <v>5110</v>
      </c>
      <c r="E310" s="84">
        <v>6500</v>
      </c>
      <c r="F310" s="84">
        <v>880</v>
      </c>
      <c r="G310" s="92">
        <v>3080</v>
      </c>
    </row>
    <row r="311" spans="1:7" s="73" customFormat="1" ht="14.25" customHeight="1">
      <c r="A311" s="84" t="s">
        <v>288</v>
      </c>
      <c r="B311" s="84" t="s">
        <v>2560</v>
      </c>
      <c r="C311" s="84">
        <v>4750</v>
      </c>
      <c r="D311" s="84">
        <v>4710</v>
      </c>
      <c r="E311" s="84">
        <v>5510</v>
      </c>
      <c r="F311" s="84">
        <v>880</v>
      </c>
      <c r="G311" s="92">
        <v>2840</v>
      </c>
    </row>
    <row r="312" spans="1:7" s="73" customFormat="1" ht="14.25" customHeight="1">
      <c r="A312" s="84" t="s">
        <v>288</v>
      </c>
      <c r="B312" s="84" t="s">
        <v>2561</v>
      </c>
      <c r="C312" s="84">
        <v>4690</v>
      </c>
      <c r="D312" s="84">
        <v>4640</v>
      </c>
      <c r="E312" s="84">
        <v>5420</v>
      </c>
      <c r="F312" s="84">
        <v>800</v>
      </c>
      <c r="G312" s="92">
        <v>2800</v>
      </c>
    </row>
    <row r="313" spans="1:7" s="73" customFormat="1" ht="14.25" customHeight="1">
      <c r="A313" s="84" t="s">
        <v>288</v>
      </c>
      <c r="B313" s="84" t="s">
        <v>2562</v>
      </c>
      <c r="C313" s="84">
        <v>4810</v>
      </c>
      <c r="D313" s="84">
        <v>4760</v>
      </c>
      <c r="E313" s="84">
        <v>5550</v>
      </c>
      <c r="F313" s="84">
        <v>920</v>
      </c>
      <c r="G313" s="92">
        <v>2870</v>
      </c>
    </row>
    <row r="314" spans="1:7" s="73" customFormat="1" ht="14.25" customHeight="1">
      <c r="A314" s="84" t="s">
        <v>288</v>
      </c>
      <c r="B314" s="84" t="s">
        <v>2563</v>
      </c>
      <c r="C314" s="84"/>
      <c r="D314" s="84"/>
      <c r="E314" s="84"/>
      <c r="F314" s="84">
        <v>1020</v>
      </c>
      <c r="G314" s="92"/>
    </row>
    <row r="315" spans="1:7" s="73" customFormat="1" ht="14.25" customHeight="1">
      <c r="A315" s="84" t="s">
        <v>288</v>
      </c>
      <c r="B315" s="84" t="s">
        <v>2564</v>
      </c>
      <c r="C315" s="84"/>
      <c r="D315" s="84"/>
      <c r="E315" s="84"/>
      <c r="F315" s="84">
        <v>1050</v>
      </c>
      <c r="G315" s="92"/>
    </row>
    <row r="316" spans="1:7" s="73" customFormat="1" ht="14.25" customHeight="1">
      <c r="A316" s="84" t="s">
        <v>288</v>
      </c>
      <c r="B316" s="84" t="s">
        <v>2565</v>
      </c>
      <c r="C316" s="84"/>
      <c r="D316" s="84"/>
      <c r="E316" s="84"/>
      <c r="F316" s="84">
        <v>900</v>
      </c>
      <c r="G316" s="92"/>
    </row>
    <row r="317" spans="1:7" s="73" customFormat="1" ht="14.25" customHeight="1">
      <c r="A317" s="84" t="s">
        <v>288</v>
      </c>
      <c r="B317" s="84" t="s">
        <v>2566</v>
      </c>
      <c r="C317" s="84"/>
      <c r="D317" s="84"/>
      <c r="E317" s="84"/>
      <c r="F317" s="84">
        <v>920</v>
      </c>
      <c r="G317" s="92"/>
    </row>
    <row r="318" spans="1:7" s="73" customFormat="1" ht="14.25" customHeight="1">
      <c r="A318" s="84" t="s">
        <v>288</v>
      </c>
      <c r="B318" s="84" t="s">
        <v>2567</v>
      </c>
      <c r="C318" s="84"/>
      <c r="D318" s="84"/>
      <c r="E318" s="84"/>
      <c r="F318" s="84">
        <v>1080</v>
      </c>
      <c r="G318" s="92"/>
    </row>
    <row r="319" spans="1:7" s="73" customFormat="1" ht="14.25" customHeight="1">
      <c r="A319" s="84" t="s">
        <v>288</v>
      </c>
      <c r="B319" s="84" t="s">
        <v>2568</v>
      </c>
      <c r="C319" s="84"/>
      <c r="D319" s="84"/>
      <c r="E319" s="84"/>
      <c r="F319" s="84">
        <v>1020</v>
      </c>
      <c r="G319" s="92"/>
    </row>
    <row r="320" spans="1:7" s="73" customFormat="1" ht="14.25" customHeight="1">
      <c r="A320" s="84" t="s">
        <v>288</v>
      </c>
      <c r="B320" s="84" t="s">
        <v>2569</v>
      </c>
      <c r="C320" s="84"/>
      <c r="D320" s="84"/>
      <c r="E320" s="84"/>
      <c r="F320" s="84">
        <v>1050</v>
      </c>
      <c r="G320" s="92"/>
    </row>
    <row r="321" spans="1:7" s="73" customFormat="1" ht="14.25" customHeight="1">
      <c r="A321" s="84" t="s">
        <v>288</v>
      </c>
      <c r="B321" s="84" t="s">
        <v>2570</v>
      </c>
      <c r="C321" s="84"/>
      <c r="D321" s="84"/>
      <c r="E321" s="84"/>
      <c r="F321" s="84">
        <v>960</v>
      </c>
      <c r="G321" s="92"/>
    </row>
    <row r="322" spans="1:7" s="73" customFormat="1" ht="14.25" customHeight="1">
      <c r="A322" s="84" t="s">
        <v>288</v>
      </c>
      <c r="B322" s="84" t="s">
        <v>2571</v>
      </c>
      <c r="C322" s="84"/>
      <c r="D322" s="84"/>
      <c r="E322" s="84"/>
      <c r="F322" s="84">
        <v>960</v>
      </c>
      <c r="G322" s="92"/>
    </row>
    <row r="323" spans="1:7" s="73" customFormat="1" ht="14.25" customHeight="1">
      <c r="A323" s="84" t="s">
        <v>288</v>
      </c>
      <c r="B323" s="84" t="s">
        <v>2572</v>
      </c>
      <c r="C323" s="84"/>
      <c r="D323" s="84"/>
      <c r="E323" s="84"/>
      <c r="F323" s="84">
        <v>880</v>
      </c>
      <c r="G323" s="92"/>
    </row>
    <row r="324" spans="1:7" s="73" customFormat="1" ht="14.25" customHeight="1">
      <c r="A324" s="84" t="s">
        <v>288</v>
      </c>
      <c r="B324" s="84" t="s">
        <v>2573</v>
      </c>
      <c r="C324" s="84"/>
      <c r="D324" s="84"/>
      <c r="E324" s="84"/>
      <c r="F324" s="84">
        <v>930</v>
      </c>
      <c r="G324" s="92"/>
    </row>
    <row r="325" spans="1:7" s="73" customFormat="1" ht="14.25" customHeight="1">
      <c r="A325" s="84" t="s">
        <v>288</v>
      </c>
      <c r="B325" s="85" t="s">
        <v>2574</v>
      </c>
      <c r="C325" s="84"/>
      <c r="D325" s="84"/>
      <c r="E325" s="84"/>
      <c r="F325" s="84">
        <v>900</v>
      </c>
      <c r="G325" s="92"/>
    </row>
    <row r="326" spans="1:7" s="73" customFormat="1" ht="14.25" customHeight="1">
      <c r="A326" s="93" t="s">
        <v>288</v>
      </c>
      <c r="B326" s="88" t="s">
        <v>2575</v>
      </c>
      <c r="C326" s="88"/>
      <c r="D326" s="88"/>
      <c r="E326" s="88"/>
      <c r="F326" s="88">
        <v>790</v>
      </c>
      <c r="G326" s="94"/>
    </row>
    <row r="327" spans="1:7" s="73" customFormat="1" ht="14.25" customHeight="1">
      <c r="A327" s="82" t="s">
        <v>292</v>
      </c>
      <c r="B327" s="83" t="s">
        <v>2576</v>
      </c>
      <c r="C327" s="84">
        <v>3750</v>
      </c>
      <c r="D327" s="84">
        <v>3710</v>
      </c>
      <c r="E327" s="84">
        <v>4080</v>
      </c>
      <c r="F327" s="84">
        <v>860</v>
      </c>
      <c r="G327" s="84">
        <v>2210</v>
      </c>
    </row>
    <row r="328" spans="1:7" s="73" customFormat="1" ht="14.25" customHeight="1">
      <c r="A328" s="84" t="s">
        <v>292</v>
      </c>
      <c r="B328" s="84" t="s">
        <v>2577</v>
      </c>
      <c r="C328" s="84">
        <v>3330</v>
      </c>
      <c r="D328" s="84">
        <v>3290</v>
      </c>
      <c r="E328" s="84">
        <v>3610</v>
      </c>
      <c r="F328" s="84">
        <v>850</v>
      </c>
      <c r="G328" s="84">
        <v>1960</v>
      </c>
    </row>
    <row r="329" spans="1:7" s="73" customFormat="1" ht="14.25" customHeight="1">
      <c r="A329" s="84" t="s">
        <v>292</v>
      </c>
      <c r="B329" s="84" t="s">
        <v>2578</v>
      </c>
      <c r="C329" s="84">
        <v>2730</v>
      </c>
      <c r="D329" s="84">
        <v>2690</v>
      </c>
      <c r="E329" s="84">
        <v>3100</v>
      </c>
      <c r="F329" s="84">
        <v>660</v>
      </c>
      <c r="G329" s="84">
        <v>1610</v>
      </c>
    </row>
    <row r="330" spans="1:7" s="73" customFormat="1" ht="14.25" customHeight="1">
      <c r="A330" s="84" t="s">
        <v>292</v>
      </c>
      <c r="B330" s="84" t="s">
        <v>2579</v>
      </c>
      <c r="C330" s="84">
        <v>3270</v>
      </c>
      <c r="D330" s="84">
        <v>3240</v>
      </c>
      <c r="E330" s="84">
        <v>3560</v>
      </c>
      <c r="F330" s="84">
        <v>680</v>
      </c>
      <c r="G330" s="84">
        <v>1940</v>
      </c>
    </row>
    <row r="331" spans="1:7" s="73" customFormat="1" ht="14.25" customHeight="1">
      <c r="A331" s="84" t="s">
        <v>292</v>
      </c>
      <c r="B331" s="84" t="s">
        <v>2580</v>
      </c>
      <c r="C331" s="84">
        <v>3770</v>
      </c>
      <c r="D331" s="84">
        <v>3740</v>
      </c>
      <c r="E331" s="84">
        <v>4110</v>
      </c>
      <c r="F331" s="84">
        <v>730</v>
      </c>
      <c r="G331" s="84">
        <v>2230</v>
      </c>
    </row>
    <row r="332" spans="1:7" s="73" customFormat="1" ht="14.25" customHeight="1">
      <c r="A332" s="84" t="s">
        <v>292</v>
      </c>
      <c r="B332" s="84" t="s">
        <v>2581</v>
      </c>
      <c r="C332" s="84">
        <v>3520</v>
      </c>
      <c r="D332" s="84">
        <v>3480</v>
      </c>
      <c r="E332" s="84">
        <v>3830</v>
      </c>
      <c r="F332" s="84">
        <v>720</v>
      </c>
      <c r="G332" s="84">
        <v>2090</v>
      </c>
    </row>
    <row r="333" spans="1:7" s="73" customFormat="1" ht="14.25" customHeight="1">
      <c r="A333" s="84" t="s">
        <v>292</v>
      </c>
      <c r="B333" s="84" t="s">
        <v>2582</v>
      </c>
      <c r="C333" s="84">
        <v>3840</v>
      </c>
      <c r="D333" s="84">
        <v>3800</v>
      </c>
      <c r="E333" s="84">
        <v>4200</v>
      </c>
      <c r="F333" s="84">
        <v>760</v>
      </c>
      <c r="G333" s="84">
        <v>2270</v>
      </c>
    </row>
    <row r="334" spans="1:7" s="73" customFormat="1" ht="14.25" customHeight="1">
      <c r="A334" s="84" t="s">
        <v>292</v>
      </c>
      <c r="B334" s="84" t="s">
        <v>2583</v>
      </c>
      <c r="C334" s="84">
        <v>3960</v>
      </c>
      <c r="D334" s="84">
        <v>3910</v>
      </c>
      <c r="E334" s="84">
        <v>4340</v>
      </c>
      <c r="F334" s="84">
        <v>780</v>
      </c>
      <c r="G334" s="84">
        <v>2340</v>
      </c>
    </row>
    <row r="335" spans="1:7" s="73" customFormat="1" ht="14.25" customHeight="1">
      <c r="A335" s="84" t="s">
        <v>292</v>
      </c>
      <c r="B335" s="84" t="s">
        <v>2584</v>
      </c>
      <c r="C335" s="84">
        <v>3710</v>
      </c>
      <c r="D335" s="84">
        <v>3670</v>
      </c>
      <c r="E335" s="84">
        <v>4030</v>
      </c>
      <c r="F335" s="84">
        <v>750</v>
      </c>
      <c r="G335" s="84">
        <v>2200</v>
      </c>
    </row>
    <row r="336" spans="1:7" s="73" customFormat="1" ht="14.25" customHeight="1">
      <c r="A336" s="84" t="s">
        <v>292</v>
      </c>
      <c r="B336" s="84" t="s">
        <v>2585</v>
      </c>
      <c r="C336" s="84">
        <v>3570</v>
      </c>
      <c r="D336" s="84">
        <v>3530</v>
      </c>
      <c r="E336" s="84">
        <v>3880</v>
      </c>
      <c r="F336" s="84">
        <v>770</v>
      </c>
      <c r="G336" s="84">
        <v>2110</v>
      </c>
    </row>
    <row r="337" spans="1:10" s="73" customFormat="1" ht="14.25" customHeight="1">
      <c r="A337" s="84" t="s">
        <v>292</v>
      </c>
      <c r="B337" s="84" t="s">
        <v>2586</v>
      </c>
      <c r="C337" s="84">
        <v>3780</v>
      </c>
      <c r="D337" s="84">
        <v>3750</v>
      </c>
      <c r="E337" s="84">
        <v>4130</v>
      </c>
      <c r="F337" s="84">
        <v>750</v>
      </c>
      <c r="G337" s="84">
        <v>2240</v>
      </c>
    </row>
    <row r="338" spans="1:10" s="73" customFormat="1" ht="14.25" customHeight="1">
      <c r="A338" s="84" t="s">
        <v>292</v>
      </c>
      <c r="B338" s="84" t="s">
        <v>2587</v>
      </c>
      <c r="C338" s="84">
        <v>3600</v>
      </c>
      <c r="D338" s="84">
        <v>3570</v>
      </c>
      <c r="E338" s="84">
        <v>3920</v>
      </c>
      <c r="F338" s="84">
        <v>790</v>
      </c>
      <c r="G338" s="84">
        <v>2140</v>
      </c>
    </row>
    <row r="339" spans="1:10" s="73" customFormat="1" ht="14.25" customHeight="1">
      <c r="A339" s="84" t="s">
        <v>292</v>
      </c>
      <c r="B339" s="84" t="s">
        <v>2588</v>
      </c>
      <c r="C339" s="84">
        <v>3540</v>
      </c>
      <c r="D339" s="84">
        <v>3500</v>
      </c>
      <c r="E339" s="84">
        <v>3850</v>
      </c>
      <c r="F339" s="84">
        <v>780</v>
      </c>
      <c r="G339" s="84">
        <v>2100</v>
      </c>
    </row>
    <row r="340" spans="1:10" s="73" customFormat="1" ht="14.25" customHeight="1">
      <c r="A340" s="84" t="s">
        <v>292</v>
      </c>
      <c r="B340" s="84" t="s">
        <v>2589</v>
      </c>
      <c r="C340" s="84">
        <v>3850</v>
      </c>
      <c r="D340" s="84">
        <v>3810</v>
      </c>
      <c r="E340" s="84">
        <v>4210</v>
      </c>
      <c r="F340" s="84">
        <v>750</v>
      </c>
      <c r="G340" s="84">
        <v>2280</v>
      </c>
    </row>
    <row r="341" spans="1:10" s="73" customFormat="1" ht="14.25" customHeight="1">
      <c r="A341" s="84" t="s">
        <v>292</v>
      </c>
      <c r="B341" s="84" t="s">
        <v>2590</v>
      </c>
      <c r="C341" s="84">
        <v>3780</v>
      </c>
      <c r="D341" s="84">
        <v>3750</v>
      </c>
      <c r="E341" s="84">
        <v>4140</v>
      </c>
      <c r="F341" s="84">
        <v>720</v>
      </c>
      <c r="G341" s="84">
        <v>2240</v>
      </c>
    </row>
    <row r="342" spans="1:10" s="73" customFormat="1" ht="14.25" customHeight="1">
      <c r="A342" s="84" t="s">
        <v>292</v>
      </c>
      <c r="B342" s="84" t="s">
        <v>2591</v>
      </c>
      <c r="C342" s="84">
        <v>3670</v>
      </c>
      <c r="D342" s="84">
        <v>3620</v>
      </c>
      <c r="E342" s="84">
        <v>3990</v>
      </c>
      <c r="F342" s="84">
        <v>760</v>
      </c>
      <c r="G342" s="84">
        <v>2170</v>
      </c>
    </row>
    <row r="343" spans="1:10" s="73" customFormat="1" ht="14.25" customHeight="1">
      <c r="A343" s="84" t="s">
        <v>292</v>
      </c>
      <c r="B343" s="84" t="s">
        <v>2592</v>
      </c>
      <c r="C343" s="84">
        <v>3760</v>
      </c>
      <c r="D343" s="84">
        <v>3720</v>
      </c>
      <c r="E343" s="84">
        <v>4090</v>
      </c>
      <c r="F343" s="84">
        <v>780</v>
      </c>
      <c r="G343" s="84">
        <v>2220</v>
      </c>
    </row>
    <row r="344" spans="1:10" s="73" customFormat="1" ht="14.25" customHeight="1">
      <c r="A344" s="84" t="s">
        <v>292</v>
      </c>
      <c r="B344" s="84" t="s">
        <v>2593</v>
      </c>
      <c r="C344" s="84">
        <v>3680</v>
      </c>
      <c r="D344" s="84">
        <v>3640</v>
      </c>
      <c r="E344" s="84">
        <v>4010</v>
      </c>
      <c r="F344" s="84">
        <v>750</v>
      </c>
      <c r="G344" s="84">
        <v>2180</v>
      </c>
    </row>
    <row r="345" spans="1:10">
      <c r="A345" s="84" t="s">
        <v>292</v>
      </c>
      <c r="B345" s="84" t="s">
        <v>2594</v>
      </c>
      <c r="C345" s="84">
        <v>3190</v>
      </c>
      <c r="D345" s="84">
        <v>3140</v>
      </c>
      <c r="E345" s="84">
        <v>3450</v>
      </c>
      <c r="F345" s="84">
        <v>720</v>
      </c>
      <c r="G345" s="84">
        <v>1880</v>
      </c>
      <c r="J345" s="73"/>
    </row>
    <row r="346" spans="1:10">
      <c r="A346" s="84" t="s">
        <v>292</v>
      </c>
      <c r="B346" s="84" t="s">
        <v>2595</v>
      </c>
      <c r="C346" s="84">
        <v>3630</v>
      </c>
      <c r="D346" s="84">
        <v>3590</v>
      </c>
      <c r="E346" s="84">
        <v>3940</v>
      </c>
      <c r="F346" s="84">
        <v>730</v>
      </c>
      <c r="G346" s="84">
        <v>2150</v>
      </c>
      <c r="J346" s="73"/>
    </row>
    <row r="347" spans="1:10">
      <c r="A347" s="84" t="s">
        <v>292</v>
      </c>
      <c r="B347" s="84" t="s">
        <v>2596</v>
      </c>
      <c r="C347" s="84">
        <v>3860</v>
      </c>
      <c r="D347" s="84">
        <v>3820</v>
      </c>
      <c r="E347" s="84">
        <v>4220</v>
      </c>
      <c r="F347" s="84">
        <v>750</v>
      </c>
      <c r="G347" s="84">
        <v>2280</v>
      </c>
      <c r="J347" s="73"/>
    </row>
    <row r="348" spans="1:10">
      <c r="A348" s="84" t="s">
        <v>292</v>
      </c>
      <c r="B348" s="84" t="s">
        <v>2597</v>
      </c>
      <c r="C348" s="84">
        <v>4000</v>
      </c>
      <c r="D348" s="84">
        <v>3950</v>
      </c>
      <c r="E348" s="84">
        <v>4430</v>
      </c>
      <c r="F348" s="84">
        <v>760</v>
      </c>
      <c r="G348" s="84">
        <v>2360</v>
      </c>
      <c r="J348" s="73"/>
    </row>
    <row r="349" spans="1:10">
      <c r="A349" s="84" t="s">
        <v>292</v>
      </c>
      <c r="B349" s="84" t="s">
        <v>2598</v>
      </c>
      <c r="C349" s="84">
        <v>3820</v>
      </c>
      <c r="D349" s="84">
        <v>3780</v>
      </c>
      <c r="E349" s="84">
        <v>4170</v>
      </c>
      <c r="F349" s="84">
        <v>710</v>
      </c>
      <c r="G349" s="84">
        <v>2260</v>
      </c>
      <c r="J349" s="73"/>
    </row>
    <row r="350" spans="1:10">
      <c r="A350" s="84" t="s">
        <v>292</v>
      </c>
      <c r="B350" s="84" t="s">
        <v>2599</v>
      </c>
      <c r="C350" s="84">
        <v>3760</v>
      </c>
      <c r="D350" s="84">
        <v>3730</v>
      </c>
      <c r="E350" s="84">
        <v>4100</v>
      </c>
      <c r="F350" s="84">
        <v>800</v>
      </c>
      <c r="G350" s="84">
        <v>2230</v>
      </c>
      <c r="J350" s="73"/>
    </row>
    <row r="351" spans="1:10">
      <c r="A351" s="84" t="s">
        <v>292</v>
      </c>
      <c r="B351" s="84" t="s">
        <v>2600</v>
      </c>
      <c r="C351" s="84">
        <v>3610</v>
      </c>
      <c r="D351" s="84">
        <v>3580</v>
      </c>
      <c r="E351" s="84">
        <v>3930</v>
      </c>
      <c r="F351" s="84">
        <v>700</v>
      </c>
      <c r="G351" s="84">
        <v>2140</v>
      </c>
      <c r="J351" s="73"/>
    </row>
    <row r="352" spans="1:10">
      <c r="A352" s="84" t="s">
        <v>292</v>
      </c>
      <c r="B352" s="84" t="s">
        <v>2601</v>
      </c>
      <c r="C352" s="84">
        <v>3670</v>
      </c>
      <c r="D352" s="84">
        <v>3630</v>
      </c>
      <c r="E352" s="84">
        <v>4000</v>
      </c>
      <c r="F352" s="84">
        <v>750</v>
      </c>
      <c r="G352" s="84">
        <v>2180</v>
      </c>
    </row>
    <row r="353" spans="1:7" s="74" customFormat="1">
      <c r="A353" s="84" t="s">
        <v>292</v>
      </c>
      <c r="B353" s="84" t="s">
        <v>2602</v>
      </c>
      <c r="C353" s="84">
        <v>3190</v>
      </c>
      <c r="D353" s="84">
        <v>3150</v>
      </c>
      <c r="E353" s="84">
        <v>3640</v>
      </c>
      <c r="F353" s="84">
        <v>630</v>
      </c>
      <c r="G353" s="84">
        <v>1890</v>
      </c>
    </row>
    <row r="354" spans="1:7" s="74" customFormat="1">
      <c r="A354" s="84" t="s">
        <v>292</v>
      </c>
      <c r="B354" s="84" t="s">
        <v>2603</v>
      </c>
      <c r="C354" s="84">
        <v>3450</v>
      </c>
      <c r="D354" s="84">
        <v>3420</v>
      </c>
      <c r="E354" s="84">
        <v>3960</v>
      </c>
      <c r="F354" s="84">
        <v>660</v>
      </c>
      <c r="G354" s="84">
        <v>2050</v>
      </c>
    </row>
    <row r="355" spans="1:7" s="74" customFormat="1">
      <c r="A355" s="84" t="s">
        <v>292</v>
      </c>
      <c r="B355" s="84" t="s">
        <v>2604</v>
      </c>
      <c r="C355" s="84">
        <v>3650</v>
      </c>
      <c r="D355" s="84">
        <v>3610</v>
      </c>
      <c r="E355" s="84">
        <v>4200</v>
      </c>
      <c r="F355" s="84">
        <v>640</v>
      </c>
      <c r="G355" s="84">
        <v>2160</v>
      </c>
    </row>
    <row r="356" spans="1:7" s="74" customFormat="1">
      <c r="A356" s="84" t="s">
        <v>292</v>
      </c>
      <c r="B356" s="84" t="s">
        <v>2605</v>
      </c>
      <c r="C356" s="84">
        <v>3260</v>
      </c>
      <c r="D356" s="84">
        <v>3230</v>
      </c>
      <c r="E356" s="84">
        <v>3740</v>
      </c>
      <c r="F356" s="84">
        <v>600</v>
      </c>
      <c r="G356" s="84">
        <v>1930</v>
      </c>
    </row>
    <row r="357" spans="1:7" s="74" customFormat="1">
      <c r="A357" s="86" t="s">
        <v>292</v>
      </c>
      <c r="B357" s="90" t="s">
        <v>2606</v>
      </c>
      <c r="C357" s="90">
        <v>3690</v>
      </c>
      <c r="D357" s="90">
        <v>3650</v>
      </c>
      <c r="E357" s="90">
        <v>4020</v>
      </c>
      <c r="F357" s="90">
        <v>700</v>
      </c>
      <c r="G357" s="90">
        <v>2190</v>
      </c>
    </row>
    <row r="358" spans="1:7" s="74" customFormat="1">
      <c r="A358" s="82" t="s">
        <v>296</v>
      </c>
      <c r="B358" s="83" t="s">
        <v>2607</v>
      </c>
      <c r="C358" s="83">
        <v>2080</v>
      </c>
      <c r="D358" s="83">
        <v>2040</v>
      </c>
      <c r="E358" s="83">
        <v>2010</v>
      </c>
      <c r="F358" s="83">
        <v>530</v>
      </c>
      <c r="G358" s="91">
        <v>1230</v>
      </c>
    </row>
    <row r="359" spans="1:7" s="74" customFormat="1">
      <c r="A359" s="84" t="s">
        <v>296</v>
      </c>
      <c r="B359" s="84" t="s">
        <v>2608</v>
      </c>
      <c r="C359" s="84">
        <v>1850</v>
      </c>
      <c r="D359" s="84">
        <v>1820</v>
      </c>
      <c r="E359" s="84">
        <v>1780</v>
      </c>
      <c r="F359" s="84">
        <v>520</v>
      </c>
      <c r="G359" s="92">
        <v>1100</v>
      </c>
    </row>
    <row r="360" spans="1:7" s="74" customFormat="1">
      <c r="A360" s="84" t="s">
        <v>296</v>
      </c>
      <c r="B360" s="84" t="s">
        <v>2609</v>
      </c>
      <c r="C360" s="84">
        <v>2020</v>
      </c>
      <c r="D360" s="84">
        <v>1990</v>
      </c>
      <c r="E360" s="84">
        <v>1950</v>
      </c>
      <c r="F360" s="84">
        <v>500</v>
      </c>
      <c r="G360" s="92">
        <v>1200</v>
      </c>
    </row>
    <row r="361" spans="1:7" s="74" customFormat="1">
      <c r="A361" s="84" t="s">
        <v>296</v>
      </c>
      <c r="B361" s="84" t="s">
        <v>2610</v>
      </c>
      <c r="C361" s="84">
        <v>2260</v>
      </c>
      <c r="D361" s="84">
        <v>2220</v>
      </c>
      <c r="E361" s="84">
        <v>2180</v>
      </c>
      <c r="F361" s="84">
        <v>580</v>
      </c>
      <c r="G361" s="92">
        <v>1340</v>
      </c>
    </row>
    <row r="362" spans="1:7" s="74" customFormat="1">
      <c r="A362" s="84" t="s">
        <v>296</v>
      </c>
      <c r="B362" s="84" t="s">
        <v>2611</v>
      </c>
      <c r="C362" s="84">
        <v>2650</v>
      </c>
      <c r="D362" s="84">
        <v>2610</v>
      </c>
      <c r="E362" s="84">
        <v>2570</v>
      </c>
      <c r="F362" s="84">
        <v>630</v>
      </c>
      <c r="G362" s="92">
        <v>1570</v>
      </c>
    </row>
    <row r="363" spans="1:7" s="74" customFormat="1">
      <c r="A363" s="84" t="s">
        <v>296</v>
      </c>
      <c r="B363" s="84" t="s">
        <v>2612</v>
      </c>
      <c r="C363" s="84">
        <v>2390</v>
      </c>
      <c r="D363" s="84">
        <v>2360</v>
      </c>
      <c r="E363" s="84">
        <v>2320</v>
      </c>
      <c r="F363" s="84">
        <v>600</v>
      </c>
      <c r="G363" s="92">
        <v>1420</v>
      </c>
    </row>
    <row r="364" spans="1:7" s="74" customFormat="1">
      <c r="A364" s="84" t="s">
        <v>296</v>
      </c>
      <c r="B364" s="84" t="s">
        <v>2613</v>
      </c>
      <c r="C364" s="84">
        <v>2050</v>
      </c>
      <c r="D364" s="84">
        <v>2030</v>
      </c>
      <c r="E364" s="84">
        <v>1990</v>
      </c>
      <c r="F364" s="84">
        <v>550</v>
      </c>
      <c r="G364" s="92">
        <v>1220</v>
      </c>
    </row>
    <row r="365" spans="1:7" s="74" customFormat="1">
      <c r="A365" s="84" t="s">
        <v>296</v>
      </c>
      <c r="B365" s="84" t="s">
        <v>2614</v>
      </c>
      <c r="C365" s="84">
        <v>2140</v>
      </c>
      <c r="D365" s="84">
        <v>2100</v>
      </c>
      <c r="E365" s="84">
        <v>2060</v>
      </c>
      <c r="F365" s="84">
        <v>540</v>
      </c>
      <c r="G365" s="92">
        <v>1270</v>
      </c>
    </row>
    <row r="366" spans="1:7" s="74" customFormat="1">
      <c r="A366" s="84" t="s">
        <v>296</v>
      </c>
      <c r="B366" s="84" t="s">
        <v>2615</v>
      </c>
      <c r="C366" s="84">
        <v>2410</v>
      </c>
      <c r="D366" s="84">
        <v>2370</v>
      </c>
      <c r="E366" s="84">
        <v>2330</v>
      </c>
      <c r="F366" s="84">
        <v>570</v>
      </c>
      <c r="G366" s="92">
        <v>1440</v>
      </c>
    </row>
    <row r="367" spans="1:7" s="74" customFormat="1">
      <c r="A367" s="84" t="s">
        <v>296</v>
      </c>
      <c r="B367" s="84" t="s">
        <v>2616</v>
      </c>
      <c r="C367" s="84">
        <v>2300</v>
      </c>
      <c r="D367" s="84">
        <v>2260</v>
      </c>
      <c r="E367" s="84">
        <v>2220</v>
      </c>
      <c r="F367" s="84">
        <v>560</v>
      </c>
      <c r="G367" s="92">
        <v>1370</v>
      </c>
    </row>
    <row r="368" spans="1:7" s="74" customFormat="1">
      <c r="A368" s="84" t="s">
        <v>296</v>
      </c>
      <c r="B368" s="84" t="s">
        <v>2617</v>
      </c>
      <c r="C368" s="84">
        <v>2430</v>
      </c>
      <c r="D368" s="84">
        <v>2390</v>
      </c>
      <c r="E368" s="84">
        <v>2350</v>
      </c>
      <c r="F368" s="84">
        <v>570</v>
      </c>
      <c r="G368" s="92">
        <v>1450</v>
      </c>
    </row>
    <row r="369" spans="1:7" s="74" customFormat="1">
      <c r="A369" s="84" t="s">
        <v>296</v>
      </c>
      <c r="B369" s="84" t="s">
        <v>2618</v>
      </c>
      <c r="C369" s="84">
        <v>2320</v>
      </c>
      <c r="D369" s="84">
        <v>2290</v>
      </c>
      <c r="E369" s="84">
        <v>2250</v>
      </c>
      <c r="F369" s="84">
        <v>550</v>
      </c>
      <c r="G369" s="92">
        <v>1380</v>
      </c>
    </row>
    <row r="370" spans="1:7" s="74" customFormat="1">
      <c r="A370" s="84" t="s">
        <v>296</v>
      </c>
      <c r="B370" s="84" t="s">
        <v>2619</v>
      </c>
      <c r="C370" s="84">
        <v>2190</v>
      </c>
      <c r="D370" s="84">
        <v>2170</v>
      </c>
      <c r="E370" s="84">
        <v>2130</v>
      </c>
      <c r="F370" s="84">
        <v>530</v>
      </c>
      <c r="G370" s="92">
        <v>1310</v>
      </c>
    </row>
    <row r="371" spans="1:7" s="74" customFormat="1">
      <c r="A371" s="84" t="s">
        <v>296</v>
      </c>
      <c r="B371" s="84" t="s">
        <v>2620</v>
      </c>
      <c r="C371" s="84">
        <v>2460</v>
      </c>
      <c r="D371" s="84">
        <v>2420</v>
      </c>
      <c r="E371" s="84">
        <v>2370</v>
      </c>
      <c r="F371" s="84">
        <v>560</v>
      </c>
      <c r="G371" s="92">
        <v>1470</v>
      </c>
    </row>
    <row r="372" spans="1:7" s="74" customFormat="1">
      <c r="A372" s="84" t="s">
        <v>296</v>
      </c>
      <c r="B372" s="84" t="s">
        <v>2621</v>
      </c>
      <c r="C372" s="84">
        <v>2250</v>
      </c>
      <c r="D372" s="84">
        <v>2210</v>
      </c>
      <c r="E372" s="84">
        <v>2180</v>
      </c>
      <c r="F372" s="84">
        <v>550</v>
      </c>
      <c r="G372" s="92">
        <v>1340</v>
      </c>
    </row>
    <row r="373" spans="1:7" s="74" customFormat="1">
      <c r="A373" s="84" t="s">
        <v>296</v>
      </c>
      <c r="B373" s="84" t="s">
        <v>2622</v>
      </c>
      <c r="C373" s="84">
        <v>2210</v>
      </c>
      <c r="D373" s="84">
        <v>2190</v>
      </c>
      <c r="E373" s="84">
        <v>2150</v>
      </c>
      <c r="F373" s="84">
        <v>530</v>
      </c>
      <c r="G373" s="92">
        <v>1320</v>
      </c>
    </row>
    <row r="374" spans="1:7" s="74" customFormat="1">
      <c r="A374" s="84" t="s">
        <v>296</v>
      </c>
      <c r="B374" s="84" t="s">
        <v>2623</v>
      </c>
      <c r="C374" s="84">
        <v>2320</v>
      </c>
      <c r="D374" s="84">
        <v>2280</v>
      </c>
      <c r="E374" s="84">
        <v>2230</v>
      </c>
      <c r="F374" s="84">
        <v>580</v>
      </c>
      <c r="G374" s="92">
        <v>1380</v>
      </c>
    </row>
    <row r="375" spans="1:7" s="74" customFormat="1">
      <c r="A375" s="84" t="s">
        <v>296</v>
      </c>
      <c r="B375" s="84" t="s">
        <v>2624</v>
      </c>
      <c r="C375" s="84">
        <v>2090</v>
      </c>
      <c r="D375" s="84">
        <v>2050</v>
      </c>
      <c r="E375" s="84">
        <v>2020</v>
      </c>
      <c r="F375" s="84">
        <v>520</v>
      </c>
      <c r="G375" s="92">
        <v>1240</v>
      </c>
    </row>
    <row r="376" spans="1:7" s="74" customFormat="1">
      <c r="A376" s="84" t="s">
        <v>296</v>
      </c>
      <c r="B376" s="84" t="s">
        <v>2625</v>
      </c>
      <c r="C376" s="84">
        <v>2010</v>
      </c>
      <c r="D376" s="84">
        <v>1980</v>
      </c>
      <c r="E376" s="84">
        <v>1940</v>
      </c>
      <c r="F376" s="84">
        <v>540</v>
      </c>
      <c r="G376" s="92">
        <v>1190</v>
      </c>
    </row>
    <row r="377" spans="1:7" s="74" customFormat="1">
      <c r="A377" s="86" t="s">
        <v>296</v>
      </c>
      <c r="B377" s="90" t="s">
        <v>2626</v>
      </c>
      <c r="C377" s="90">
        <v>1930</v>
      </c>
      <c r="D377" s="90">
        <v>1890</v>
      </c>
      <c r="E377" s="90">
        <v>1860</v>
      </c>
      <c r="F377" s="90">
        <v>530</v>
      </c>
      <c r="G377" s="99">
        <v>1150</v>
      </c>
    </row>
    <row r="378" spans="1:7" s="74" customFormat="1">
      <c r="A378" s="100" t="s">
        <v>300</v>
      </c>
      <c r="B378" s="83" t="s">
        <v>2627</v>
      </c>
      <c r="C378" s="83">
        <v>1520</v>
      </c>
      <c r="D378" s="83">
        <v>1490</v>
      </c>
      <c r="E378" s="83">
        <v>1460</v>
      </c>
      <c r="F378" s="83">
        <v>460</v>
      </c>
      <c r="G378" s="91">
        <v>940</v>
      </c>
    </row>
    <row r="379" spans="1:7" s="74" customFormat="1">
      <c r="A379" s="101" t="s">
        <v>300</v>
      </c>
      <c r="B379" s="84" t="s">
        <v>2628</v>
      </c>
      <c r="C379" s="84">
        <v>1500</v>
      </c>
      <c r="D379" s="84">
        <v>1470</v>
      </c>
      <c r="E379" s="84">
        <v>1430</v>
      </c>
      <c r="F379" s="84">
        <v>460</v>
      </c>
      <c r="G379" s="92">
        <v>920</v>
      </c>
    </row>
    <row r="380" spans="1:7" s="74" customFormat="1">
      <c r="A380" s="101" t="s">
        <v>300</v>
      </c>
      <c r="B380" s="84" t="s">
        <v>2629</v>
      </c>
      <c r="C380" s="84">
        <v>1620</v>
      </c>
      <c r="D380" s="84">
        <v>1590</v>
      </c>
      <c r="E380" s="84">
        <v>1560</v>
      </c>
      <c r="F380" s="84">
        <v>480</v>
      </c>
      <c r="G380" s="92">
        <v>1000</v>
      </c>
    </row>
    <row r="381" spans="1:7" s="74" customFormat="1">
      <c r="A381" s="101" t="s">
        <v>300</v>
      </c>
      <c r="B381" s="84" t="s">
        <v>2630</v>
      </c>
      <c r="C381" s="84">
        <v>1460</v>
      </c>
      <c r="D381" s="84">
        <v>1430</v>
      </c>
      <c r="E381" s="84">
        <v>1390</v>
      </c>
      <c r="F381" s="84">
        <v>450</v>
      </c>
      <c r="G381" s="92">
        <v>900</v>
      </c>
    </row>
    <row r="382" spans="1:7" s="74" customFormat="1">
      <c r="A382" s="101" t="s">
        <v>300</v>
      </c>
      <c r="B382" s="84" t="s">
        <v>2631</v>
      </c>
      <c r="C382" s="84">
        <v>1310</v>
      </c>
      <c r="D382" s="84">
        <v>1280</v>
      </c>
      <c r="E382" s="84">
        <v>1250</v>
      </c>
      <c r="F382" s="84">
        <v>440</v>
      </c>
      <c r="G382" s="92">
        <v>800</v>
      </c>
    </row>
    <row r="383" spans="1:7" s="74" customFormat="1">
      <c r="A383" s="101" t="s">
        <v>300</v>
      </c>
      <c r="B383" s="84" t="s">
        <v>2632</v>
      </c>
      <c r="C383" s="84">
        <v>1260</v>
      </c>
      <c r="D383" s="84">
        <v>1230</v>
      </c>
      <c r="E383" s="84">
        <v>1200</v>
      </c>
      <c r="F383" s="84">
        <v>420</v>
      </c>
      <c r="G383" s="92">
        <v>770</v>
      </c>
    </row>
    <row r="384" spans="1:7" s="74" customFormat="1">
      <c r="A384" s="102" t="s">
        <v>300</v>
      </c>
      <c r="B384" s="88" t="s">
        <v>2633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2767</v>
      </c>
      <c r="E1" s="9">
        <f>'数据-取费表'!B22</f>
        <v>1</v>
      </c>
      <c r="F1" s="7" t="s">
        <v>2768</v>
      </c>
      <c r="G1" s="10">
        <f ca="1">INDIRECT("d"&amp;$K$1)/100</f>
        <v>3.1E-2</v>
      </c>
      <c r="H1" s="7" t="s">
        <v>2769</v>
      </c>
      <c r="I1" s="10">
        <f ca="1">F4/100</f>
        <v>1.4999999999999999E-2</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2772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2790</v>
      </c>
      <c r="E12" s="45" t="s">
        <v>2772</v>
      </c>
      <c r="F12" s="45" t="s">
        <v>2773</v>
      </c>
      <c r="G12" s="45" t="s">
        <v>2774</v>
      </c>
      <c r="H12" s="45" t="s">
        <v>2775</v>
      </c>
      <c r="I12" s="59" t="s">
        <v>2791</v>
      </c>
      <c r="J12" s="59" t="s">
        <v>2791</v>
      </c>
      <c r="K12" s="37"/>
      <c r="L12" s="43"/>
      <c r="M12" s="44"/>
      <c r="N12" s="43"/>
      <c r="O12" s="59" t="s">
        <v>2792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2793</v>
      </c>
      <c r="C13" s="48">
        <v>45586</v>
      </c>
      <c r="D13" s="49">
        <v>3.1</v>
      </c>
      <c r="E13" s="49">
        <f>D13</f>
        <v>3.1</v>
      </c>
      <c r="F13" s="49">
        <f>D13</f>
        <v>3.1</v>
      </c>
      <c r="G13" s="49">
        <f>D13</f>
        <v>3.1</v>
      </c>
      <c r="H13" s="49">
        <v>3.6</v>
      </c>
      <c r="I13" s="49"/>
      <c r="J13" s="49"/>
      <c r="K13" s="46"/>
      <c r="L13" s="47" t="s">
        <v>2793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2794</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2795</v>
      </c>
      <c r="Y42" s="51" t="s">
        <v>2795</v>
      </c>
      <c r="Z42" s="51" t="s">
        <v>2795</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2795</v>
      </c>
      <c r="Y43" s="51" t="s">
        <v>2795</v>
      </c>
      <c r="Z43" s="51" t="s">
        <v>2795</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2795</v>
      </c>
      <c r="Y44" s="51" t="s">
        <v>2795</v>
      </c>
      <c r="Z44" s="51" t="s">
        <v>2795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2795</v>
      </c>
      <c r="Y45" s="51" t="s">
        <v>2795</v>
      </c>
      <c r="Z45" s="51" t="s">
        <v>2795</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2795</v>
      </c>
      <c r="Y46" s="51" t="s">
        <v>2795</v>
      </c>
      <c r="Z46" s="51" t="s">
        <v>2795</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2795</v>
      </c>
      <c r="Y47" s="51" t="s">
        <v>2795</v>
      </c>
      <c r="Z47" s="51" t="s">
        <v>2795</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2795</v>
      </c>
      <c r="Y48" s="51" t="s">
        <v>2795</v>
      </c>
      <c r="Z48" s="51" t="s">
        <v>2795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2795</v>
      </c>
      <c r="Y49" s="51" t="s">
        <v>2795</v>
      </c>
      <c r="Z49" s="51" t="s">
        <v>2795</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2795</v>
      </c>
      <c r="Y50" s="51" t="s">
        <v>2795</v>
      </c>
      <c r="Z50" s="51" t="s">
        <v>2795</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2795</v>
      </c>
      <c r="V51" s="51" t="s">
        <v>2795</v>
      </c>
      <c r="W51" s="51" t="s">
        <v>2795</v>
      </c>
      <c r="X51" s="51" t="s">
        <v>2795</v>
      </c>
      <c r="Y51" s="51" t="s">
        <v>2795</v>
      </c>
      <c r="Z51" s="51" t="s">
        <v>2795</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2795</v>
      </c>
      <c r="J69" s="51" t="s">
        <v>2795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3116" t="s">
        <v>110</v>
      </c>
      <c r="E3" s="3116" t="s">
        <v>111</v>
      </c>
      <c r="F3" s="3116" t="s">
        <v>110</v>
      </c>
      <c r="G3" s="3116" t="s">
        <v>111</v>
      </c>
      <c r="H3" s="3116" t="s">
        <v>110</v>
      </c>
      <c r="I3" s="3116" t="s">
        <v>111</v>
      </c>
    </row>
    <row r="4" spans="1:9" ht="15">
      <c r="A4" s="3117" t="str">
        <f>项目基本情况!S2</f>
        <v>北京市房地产</v>
      </c>
      <c r="B4" s="3116">
        <f>项目基本情况!C17</f>
        <v>12749.85</v>
      </c>
      <c r="C4" s="3116">
        <f>项目基本情况!C18</f>
        <v>67351.83</v>
      </c>
      <c r="D4" s="3116">
        <f ca="1">结果表!D118</f>
        <v>11141</v>
      </c>
      <c r="E4" s="3116">
        <f ca="1">结果表!E118</f>
        <v>8738</v>
      </c>
      <c r="F4" s="3116">
        <f ca="1">结果表!F118</f>
        <v>2890</v>
      </c>
      <c r="G4" s="3116">
        <f ca="1">结果表!G118</f>
        <v>2267</v>
      </c>
      <c r="H4" s="3116">
        <f ca="1">结果表!H118</f>
        <v>14031</v>
      </c>
      <c r="I4" s="3116">
        <f ca="1">结果表!I118</f>
        <v>11005</v>
      </c>
    </row>
    <row r="5" spans="1:9" ht="30" customHeight="1">
      <c r="A5" s="3181" t="s">
        <v>112</v>
      </c>
      <c r="B5" s="3181"/>
      <c r="C5" s="3181"/>
      <c r="D5" s="3181" t="str">
        <f ca="1">结果表!D119</f>
        <v>壹亿壹仟壹佰肆拾壹万元整</v>
      </c>
      <c r="E5" s="3181"/>
      <c r="F5" s="3181" t="str">
        <f ca="1">结果表!F119</f>
        <v>贰仟捌佰玖拾万元整</v>
      </c>
      <c r="G5" s="3181"/>
      <c r="H5" s="3181" t="str">
        <f ca="1">结果表!H119</f>
        <v>壹亿肆仟零叁拾壹万元整</v>
      </c>
      <c r="I5" s="3181"/>
    </row>
    <row r="6" spans="1:9" ht="15.75">
      <c r="A6" s="3182" t="str">
        <f>结果表!A120</f>
        <v>估价师知悉的法定优先受偿款</v>
      </c>
      <c r="B6" s="3182"/>
      <c r="C6" s="3182"/>
      <c r="D6" s="3182">
        <f>结果表!D120</f>
        <v>0</v>
      </c>
      <c r="E6" s="3182"/>
      <c r="F6" s="3182"/>
      <c r="G6" s="3182"/>
      <c r="H6" s="3182"/>
      <c r="I6" s="3182"/>
    </row>
    <row r="7" spans="1:9" ht="15">
      <c r="A7" s="3181" t="s">
        <v>112</v>
      </c>
      <c r="B7" s="3181"/>
      <c r="C7" s="3181"/>
      <c r="D7" s="3183" t="str">
        <f>结果表!D121</f>
        <v>零元整</v>
      </c>
      <c r="E7" s="3184"/>
      <c r="F7" s="3184"/>
      <c r="G7" s="3184"/>
      <c r="H7" s="3184"/>
      <c r="I7" s="3185"/>
    </row>
    <row r="8" spans="1:9" ht="15.75">
      <c r="A8" s="3182" t="str">
        <f>结果表!A122</f>
        <v>房地产抵押价值</v>
      </c>
      <c r="B8" s="3182"/>
      <c r="C8" s="3182"/>
      <c r="D8" s="3182">
        <f ca="1">结果表!D122</f>
        <v>14031</v>
      </c>
      <c r="E8" s="3182"/>
      <c r="F8" s="3182"/>
      <c r="G8" s="3182"/>
      <c r="H8" s="3182"/>
      <c r="I8" s="3182"/>
    </row>
    <row r="9" spans="1:9" ht="15">
      <c r="A9" s="3181" t="s">
        <v>112</v>
      </c>
      <c r="B9" s="3181"/>
      <c r="C9" s="3181"/>
      <c r="D9" s="3181" t="str">
        <f ca="1">结果表!D123</f>
        <v>壹亿肆仟零叁拾壹万元整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112</v>
      </c>
      <c r="B11" s="3181"/>
      <c r="C11" s="3181"/>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18"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88" t="s">
        <v>114</v>
      </c>
      <c r="B1" s="3188"/>
      <c r="C1" s="3188"/>
      <c r="D1" s="3188"/>
    </row>
    <row r="2" spans="1:4" ht="18">
      <c r="A2" s="3189" t="s">
        <v>115</v>
      </c>
      <c r="B2" s="3189"/>
      <c r="C2" s="3189"/>
      <c r="D2" s="3189"/>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189" t="s">
        <v>121</v>
      </c>
      <c r="B6" s="3189"/>
      <c r="C6" s="3189"/>
      <c r="D6" s="3189"/>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190" t="s">
        <v>126</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127</v>
      </c>
      <c r="B16" s="3193"/>
      <c r="C16" s="3193"/>
      <c r="D16" s="3193"/>
    </row>
    <row r="17" spans="1:4" ht="144" customHeight="1">
      <c r="A17" s="3193" t="s">
        <v>128</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129</v>
      </c>
      <c r="B22" s="3195"/>
      <c r="C22" s="3195"/>
      <c r="D22" s="3195"/>
    </row>
    <row r="23" spans="1:4">
      <c r="A23" s="3113"/>
      <c r="B23" s="1505"/>
      <c r="C23" s="1505"/>
      <c r="D23" s="1505"/>
    </row>
    <row r="24" spans="1:4">
      <c r="A24" s="3113"/>
      <c r="B24" s="1505"/>
      <c r="C24" s="1505"/>
      <c r="D24" s="1505"/>
    </row>
    <row r="25" spans="1:4" ht="18.75">
      <c r="A25" s="3114" t="s">
        <v>130</v>
      </c>
    </row>
    <row r="26" spans="1:4" ht="18">
      <c r="A26" s="3115"/>
    </row>
    <row r="27" spans="1:4" ht="18.75">
      <c r="A27" s="3115" t="s">
        <v>131</v>
      </c>
    </row>
    <row r="30" spans="1:4" ht="18.75">
      <c r="D30" s="3114" t="s">
        <v>132</v>
      </c>
    </row>
    <row r="31" spans="1:4" ht="13.5" customHeight="1">
      <c r="C31" s="3196">
        <v>42551</v>
      </c>
      <c r="D31" s="31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5" customWidth="1"/>
    <col min="2" max="16384" width="14.5" style="262"/>
  </cols>
  <sheetData>
    <row r="1" spans="1:7" s="3084" customFormat="1" ht="18.75">
      <c r="A1" s="3086" t="s">
        <v>134</v>
      </c>
    </row>
    <row r="3" spans="1:7">
      <c r="A3" s="3087" t="s">
        <v>135</v>
      </c>
      <c r="B3" s="262" t="s">
        <v>136</v>
      </c>
      <c r="G3" s="3088"/>
    </row>
    <row r="4" spans="1:7">
      <c r="G4" s="3088"/>
    </row>
    <row r="5" spans="1:7">
      <c r="A5" s="3089" t="s">
        <v>137</v>
      </c>
      <c r="B5" s="262" t="s">
        <v>138</v>
      </c>
      <c r="G5" s="3088"/>
    </row>
    <row r="6" spans="1:7">
      <c r="G6" s="3088"/>
    </row>
    <row r="7" spans="1:7">
      <c r="A7" s="3090" t="s">
        <v>139</v>
      </c>
      <c r="B7" s="262" t="s">
        <v>140</v>
      </c>
      <c r="G7" s="3088"/>
    </row>
    <row r="8" spans="1:7">
      <c r="G8" s="3088"/>
    </row>
    <row r="9" spans="1:7">
      <c r="A9" s="3091" t="s">
        <v>141</v>
      </c>
      <c r="B9" s="262" t="s">
        <v>142</v>
      </c>
    </row>
    <row r="11" spans="1:7">
      <c r="A11" s="3092" t="s">
        <v>143</v>
      </c>
      <c r="B11" s="3093" t="s">
        <v>144</v>
      </c>
    </row>
    <row r="13" spans="1:7">
      <c r="A13" s="3094" t="s">
        <v>145</v>
      </c>
    </row>
    <row r="15" spans="1:7" ht="13.5">
      <c r="A15" s="3200" t="s">
        <v>146</v>
      </c>
      <c r="B15" s="3197" t="s">
        <v>147</v>
      </c>
      <c r="C15" s="3198"/>
    </row>
    <row r="16" spans="1:7" ht="13.5">
      <c r="A16" s="3201"/>
      <c r="B16" s="3197" t="s">
        <v>148</v>
      </c>
      <c r="C16" s="3198"/>
    </row>
    <row r="17" spans="1:3" ht="13.5">
      <c r="A17" s="3201"/>
      <c r="B17" s="3204" t="s">
        <v>149</v>
      </c>
      <c r="C17" s="3095" t="s">
        <v>146</v>
      </c>
    </row>
    <row r="18" spans="1:3" ht="13.5">
      <c r="A18" s="3201"/>
      <c r="B18" s="3204"/>
      <c r="C18" s="3095" t="s">
        <v>150</v>
      </c>
    </row>
    <row r="19" spans="1:3" ht="13.5">
      <c r="A19" s="3201"/>
      <c r="B19" s="3204"/>
      <c r="C19" s="3095" t="s">
        <v>151</v>
      </c>
    </row>
    <row r="20" spans="1:3" ht="13.5">
      <c r="A20" s="3202"/>
      <c r="B20" s="3199" t="s">
        <v>152</v>
      </c>
      <c r="C20" s="3198"/>
    </row>
    <row r="21" spans="1:3" ht="13.5">
      <c r="A21" s="3096" t="s">
        <v>153</v>
      </c>
      <c r="B21" s="3097"/>
      <c r="C21" s="3098"/>
    </row>
    <row r="22" spans="1:3" ht="13.5">
      <c r="A22" s="3203" t="s">
        <v>154</v>
      </c>
      <c r="B22" s="3199" t="s">
        <v>155</v>
      </c>
      <c r="C22" s="3198"/>
    </row>
    <row r="23" spans="1:3" ht="13.5">
      <c r="A23" s="3203"/>
      <c r="B23" s="3199" t="s">
        <v>156</v>
      </c>
      <c r="C23" s="3198"/>
    </row>
    <row r="24" spans="1:3" ht="13.5">
      <c r="A24" s="3203"/>
      <c r="B24" s="3199" t="s">
        <v>157</v>
      </c>
      <c r="C24" s="3198"/>
    </row>
    <row r="25" spans="1:3" ht="13.5">
      <c r="A25" s="3203"/>
      <c r="B25" s="3204" t="s">
        <v>158</v>
      </c>
      <c r="C25" s="3095" t="s">
        <v>159</v>
      </c>
    </row>
    <row r="26" spans="1:3" ht="13.5">
      <c r="A26" s="3203"/>
      <c r="B26" s="3204"/>
      <c r="C26" s="3095" t="s">
        <v>160</v>
      </c>
    </row>
    <row r="27" spans="1:3" ht="13.5">
      <c r="A27" s="3203"/>
      <c r="B27" s="3204"/>
      <c r="C27" s="3095" t="s">
        <v>161</v>
      </c>
    </row>
    <row r="28" spans="1:3" ht="13.5">
      <c r="A28" s="3203"/>
      <c r="B28" s="3204"/>
      <c r="C28" s="3095" t="s">
        <v>162</v>
      </c>
    </row>
    <row r="29" spans="1:3" ht="13.5">
      <c r="A29" s="3203"/>
      <c r="B29" s="3204"/>
      <c r="C29" s="3095" t="s">
        <v>163</v>
      </c>
    </row>
    <row r="30" spans="1:3" ht="13.5">
      <c r="A30" s="3203"/>
      <c r="B30" s="3204"/>
      <c r="C30" s="3095" t="s">
        <v>164</v>
      </c>
    </row>
    <row r="31" spans="1:3" ht="13.5">
      <c r="A31" s="3203"/>
      <c r="B31" s="3204"/>
      <c r="C31" s="3095" t="s">
        <v>165</v>
      </c>
    </row>
    <row r="32" spans="1:3" ht="13.5">
      <c r="A32" s="3203"/>
      <c r="B32" s="3204"/>
      <c r="C32" s="3095" t="s">
        <v>166</v>
      </c>
    </row>
    <row r="33" spans="1:3" ht="13.5">
      <c r="A33" s="3203"/>
      <c r="B33" s="320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8"/>
      <c r="B1" s="3058"/>
      <c r="C1" s="3058"/>
      <c r="D1" s="3058"/>
      <c r="E1" s="3058"/>
      <c r="F1" s="3058"/>
      <c r="G1" s="3058"/>
      <c r="H1" s="3058"/>
    </row>
    <row r="2" spans="1:8" ht="24" customHeight="1">
      <c r="A2" s="3059" t="s">
        <v>175</v>
      </c>
      <c r="B2" s="3060">
        <f ca="1">TODAY()</f>
        <v>45792</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4"/>
      <c r="E18" s="3207" t="s">
        <v>199</v>
      </c>
      <c r="F18" s="3206"/>
      <c r="G18" s="3206"/>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2025-05-15T05:09:03Z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81DF54336FF54114A4A28DDB958AA4E0_12</vt:lpwstr>
  </property>
  <property fmtid="{D5CDD505-2E9C-101B-9397-08002B2CF9AE}" pid="3" name="KSOProductBuildVer">
    <vt:lpwstr>2052-12.1.0.20784</vt:lpwstr>
  </property>
</Properties>
</file>