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30" yWindow="15" windowWidth="14580" windowHeight="125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34" i="40" l="1"/>
  <c r="G34" i="40"/>
  <c r="E34" i="40"/>
  <c r="I5" i="40"/>
  <c r="G5" i="40"/>
  <c r="E5" i="40"/>
  <c r="I7" i="40"/>
  <c r="G7" i="40"/>
  <c r="E7" i="40"/>
  <c r="I41" i="40"/>
  <c r="G41" i="40"/>
  <c r="E41" i="40"/>
  <c r="Q16" i="80"/>
  <c r="Q15" i="80"/>
  <c r="Q14" i="80"/>
  <c r="Q13" i="80"/>
  <c r="Q12" i="80"/>
  <c r="Q11" i="80"/>
  <c r="Q10" i="80"/>
  <c r="Q9" i="80"/>
  <c r="Q8" i="80"/>
  <c r="Q7" i="80"/>
  <c r="Q6" i="80"/>
  <c r="Q5" i="80"/>
  <c r="Q4" i="80"/>
  <c r="Q3" i="80"/>
  <c r="Q2" i="80"/>
  <c r="Y6" i="1"/>
  <c r="N6" i="1" l="1"/>
  <c r="N19" i="1"/>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C40" i="40"/>
  <c r="U9" i="40"/>
  <c r="S40" i="40"/>
  <c r="W31"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J15" i="40"/>
  <c r="W15"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H30" i="40"/>
  <c r="AB30" i="40" s="1"/>
  <c r="F33" i="40"/>
  <c r="AA33" i="40" s="1"/>
  <c r="H33" i="40"/>
  <c r="U33" i="40" s="1"/>
  <c r="J35" i="40"/>
  <c r="AC35" i="40" s="1"/>
  <c r="J37" i="40"/>
  <c r="AC37" i="40" s="1"/>
  <c r="H13" i="40"/>
  <c r="U13" i="40"/>
  <c r="J13" i="40"/>
  <c r="W13" i="40"/>
  <c r="F13" i="40"/>
  <c r="AA13" i="40"/>
  <c r="F14" i="37"/>
  <c r="S14" i="37"/>
  <c r="F27" i="37"/>
  <c r="AA27" i="37"/>
  <c r="F13" i="39"/>
  <c r="J13" i="39"/>
  <c r="W13" i="39" s="1"/>
  <c r="H13" i="39"/>
  <c r="H14" i="40"/>
  <c r="AB14" i="40" s="1"/>
  <c r="J14" i="40"/>
  <c r="W14" i="40" s="1"/>
  <c r="F14" i="40"/>
  <c r="AA14" i="40" s="1"/>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AA32" i="40"/>
  <c r="AC15"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5"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42" i="3"/>
  <c r="E451" i="3"/>
  <c r="E13" i="3"/>
  <c r="E420" i="3"/>
  <c r="E25" i="3"/>
  <c r="E178" i="3"/>
  <c r="E202" i="3"/>
  <c r="E226" i="3"/>
  <c r="E346" i="3"/>
  <c r="E372" i="3"/>
  <c r="E60" i="3"/>
  <c r="E540" i="3"/>
  <c r="E15" i="3"/>
  <c r="E79" i="3"/>
  <c r="E100" i="3"/>
  <c r="E137" i="3"/>
  <c r="E248" i="3"/>
  <c r="E209" i="3"/>
  <c r="E266" i="3"/>
  <c r="E307" i="3"/>
  <c r="E386" i="3"/>
  <c r="E354" i="3"/>
  <c r="E584" i="3"/>
  <c r="E66" i="3"/>
  <c r="E24" i="3"/>
  <c r="E48" i="3"/>
  <c r="E87" i="3"/>
  <c r="E127" i="3"/>
  <c r="E250" i="3"/>
  <c r="E284" i="3"/>
  <c r="E341" i="3"/>
  <c r="Y6" i="3"/>
  <c r="E51" i="3"/>
  <c r="E19" i="3"/>
  <c r="E154" i="3"/>
  <c r="E179" i="3"/>
  <c r="E222" i="3"/>
  <c r="E323" i="3"/>
  <c r="E373"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20" i="31"/>
  <c r="F6" i="67"/>
  <c r="E8" i="76"/>
  <c r="E7" i="76"/>
  <c r="F8" i="15"/>
  <c r="F6" i="15"/>
  <c r="F26" i="67"/>
  <c r="F26" i="15"/>
  <c r="F38" i="15"/>
  <c r="M8" i="67"/>
  <c r="M26" i="15"/>
  <c r="M26" i="67"/>
  <c r="J15" i="67"/>
  <c r="E12" i="76"/>
  <c r="L47" i="15"/>
  <c r="F6" i="73"/>
  <c r="M24" i="15"/>
  <c r="J15" i="15"/>
  <c r="C76" i="67"/>
  <c r="L48" i="15"/>
  <c r="F16" i="67"/>
  <c r="F40" i="67"/>
  <c r="E10" i="76"/>
  <c r="M9" i="67"/>
  <c r="F9" i="67"/>
  <c r="F36" i="15"/>
  <c r="AO13" i="1"/>
  <c r="E2" i="68"/>
  <c r="F7" i="15"/>
  <c r="F7" i="67"/>
  <c r="D7" i="73"/>
  <c r="L47" i="67"/>
  <c r="E11" i="76"/>
  <c r="F43" i="15"/>
  <c r="F9" i="15"/>
  <c r="F13" i="67"/>
  <c r="M28" i="67"/>
  <c r="M23" i="67"/>
  <c r="B13" i="76"/>
  <c r="D5" i="73"/>
  <c r="F7" i="73"/>
  <c r="E2" i="69"/>
  <c r="M6" i="15"/>
  <c r="M29" i="15"/>
  <c r="E9" i="76"/>
  <c r="F40" i="15"/>
  <c r="M22" i="67"/>
  <c r="M23" i="15"/>
  <c r="D4" i="73"/>
  <c r="B10" i="76"/>
  <c r="M28" i="15"/>
  <c r="M9" i="15"/>
  <c r="F5" i="73"/>
  <c r="F36" i="67"/>
  <c r="F37" i="67"/>
  <c r="B12" i="76"/>
  <c r="F38" i="67"/>
  <c r="C76" i="15"/>
  <c r="B11" i="76"/>
  <c r="F8" i="67"/>
  <c r="B7" i="76"/>
  <c r="M29" i="67"/>
  <c r="F42" i="67"/>
  <c r="F16" i="15"/>
  <c r="F37" i="15"/>
  <c r="D3" i="73"/>
  <c r="F13" i="15"/>
  <c r="D6" i="73"/>
  <c r="M8" i="15"/>
  <c r="E13" i="76"/>
  <c r="M24" i="67"/>
  <c r="F4" i="73"/>
  <c r="B8" i="76"/>
  <c r="M22" i="15"/>
  <c r="M6" i="67"/>
  <c r="L48" i="67"/>
  <c r="F43" i="67"/>
  <c r="F42" i="15"/>
  <c r="F3" i="73"/>
  <c r="U35" i="40" l="1"/>
  <c r="W35" i="40"/>
  <c r="S36" i="40"/>
  <c r="AC36" i="40"/>
  <c r="U36" i="40"/>
  <c r="AA38" i="40"/>
  <c r="S38" i="40"/>
  <c r="AC39" i="40"/>
  <c r="W39" i="40"/>
  <c r="H38" i="40"/>
  <c r="J38" i="40"/>
  <c r="H39" i="40"/>
  <c r="AC32" i="40"/>
  <c r="W32" i="40"/>
  <c r="W30" i="40"/>
  <c r="W27" i="40"/>
  <c r="AB27" i="40"/>
  <c r="U25" i="40"/>
  <c r="W25" i="40"/>
  <c r="S25" i="40"/>
  <c r="F23" i="40"/>
  <c r="F92" i="40"/>
  <c r="G92" i="40" s="1"/>
  <c r="J23" i="40"/>
  <c r="H23" i="40"/>
  <c r="F21" i="40"/>
  <c r="F90" i="40"/>
  <c r="G90" i="40" s="1"/>
  <c r="J21" i="40"/>
  <c r="W21" i="40" s="1"/>
  <c r="H21" i="40"/>
  <c r="AC21" i="40"/>
  <c r="H19" i="40"/>
  <c r="U19" i="40" s="1"/>
  <c r="J19" i="40"/>
  <c r="AC19" i="40" s="1"/>
  <c r="F88" i="40"/>
  <c r="G88" i="40" s="1"/>
  <c r="F19" i="40"/>
  <c r="S19" i="40" s="1"/>
  <c r="W19" i="40"/>
  <c r="AA19" i="40"/>
  <c r="F17" i="40"/>
  <c r="AA17" i="40" s="1"/>
  <c r="F86" i="40"/>
  <c r="G86" i="40" s="1"/>
  <c r="H17" i="40"/>
  <c r="U17" i="40" s="1"/>
  <c r="J17" i="40"/>
  <c r="W17" i="40" s="1"/>
  <c r="AB17" i="40"/>
  <c r="AC17" i="40"/>
  <c r="S17" i="40"/>
  <c r="U15" i="40"/>
  <c r="AA15" i="40"/>
  <c r="W12" i="40"/>
  <c r="AC12" i="40"/>
  <c r="U14" i="40"/>
  <c r="H12" i="40"/>
  <c r="F12" i="40"/>
  <c r="J51" i="15"/>
  <c r="F9" i="1"/>
  <c r="G9" i="1" s="1"/>
  <c r="C10" i="40"/>
  <c r="E21" i="3"/>
  <c r="E513" i="3"/>
  <c r="E309" i="3"/>
  <c r="E283" i="3"/>
  <c r="E264" i="3"/>
  <c r="E118" i="3"/>
  <c r="E81" i="3"/>
  <c r="E63" i="3"/>
  <c r="E68" i="3"/>
  <c r="E381" i="3"/>
  <c r="E355" i="3"/>
  <c r="E233" i="3"/>
  <c r="E184" i="3"/>
  <c r="E144" i="3"/>
  <c r="E33" i="3"/>
  <c r="E67" i="3"/>
  <c r="E84" i="3"/>
  <c r="E23" i="3"/>
  <c r="E492" i="3"/>
  <c r="E310" i="3"/>
  <c r="E371" i="3"/>
  <c r="E300" i="3"/>
  <c r="E249" i="3"/>
  <c r="E267" i="3"/>
  <c r="E194" i="3"/>
  <c r="E170" i="3"/>
  <c r="E38" i="3"/>
  <c r="E455" i="3"/>
  <c r="E473" i="3"/>
  <c r="E43" i="3"/>
  <c r="L6" i="3"/>
  <c r="E333" i="3"/>
  <c r="E276" i="3"/>
  <c r="E242" i="3"/>
  <c r="E119" i="3"/>
  <c r="E108" i="3"/>
  <c r="E40" i="3"/>
  <c r="E452" i="3"/>
  <c r="E556" i="3"/>
  <c r="E487" i="3"/>
  <c r="E167" i="3"/>
  <c r="AA9" i="40"/>
  <c r="AC9" i="40"/>
  <c r="C21" i="68"/>
  <c r="C40" i="69"/>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70" i="3"/>
  <c r="E494" i="3"/>
  <c r="E497" i="3"/>
  <c r="E360" i="3"/>
  <c r="E408" i="3"/>
  <c r="E421" i="3"/>
  <c r="E312" i="3"/>
  <c r="E244" i="3"/>
  <c r="E463" i="3"/>
  <c r="E401" i="3"/>
  <c r="E483" i="3"/>
  <c r="E419" i="3"/>
  <c r="E498" i="3"/>
  <c r="J6" i="3"/>
  <c r="AH6" i="3"/>
  <c r="E376" i="3"/>
  <c r="E490" i="3"/>
  <c r="E440" i="3"/>
  <c r="E398" i="3"/>
  <c r="E464" i="3"/>
  <c r="E552" i="3"/>
  <c r="AD6" i="3"/>
  <c r="E141" i="3"/>
  <c r="E149" i="3"/>
  <c r="E510" i="3"/>
  <c r="E539" i="3"/>
  <c r="E536" i="3"/>
  <c r="E148" i="3"/>
  <c r="E212" i="3"/>
  <c r="E199" i="3"/>
  <c r="E286" i="3"/>
  <c r="E575" i="3"/>
  <c r="E499" i="3"/>
  <c r="R6" i="3"/>
  <c r="E502" i="3"/>
  <c r="E442" i="3"/>
  <c r="E466" i="3"/>
  <c r="E541"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BA5"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BL5" i="3"/>
  <c r="G28" i="6"/>
  <c r="E28" i="6" s="1"/>
  <c r="K14" i="1" s="1"/>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AC38" i="40" l="1"/>
  <c r="W38" i="40"/>
  <c r="U39" i="40"/>
  <c r="AB39" i="40"/>
  <c r="AB38" i="40"/>
  <c r="U38" i="40"/>
  <c r="AB23" i="40"/>
  <c r="U23" i="40"/>
  <c r="AC23" i="40"/>
  <c r="W23" i="40"/>
  <c r="AA23" i="40"/>
  <c r="S23" i="40"/>
  <c r="AB21" i="40"/>
  <c r="U21" i="40"/>
  <c r="AA21" i="40"/>
  <c r="S21" i="40"/>
  <c r="AB19" i="40"/>
  <c r="AB12" i="40"/>
  <c r="U12" i="40"/>
  <c r="AA12" i="40"/>
  <c r="S12" i="40"/>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J34" i="40" l="1"/>
  <c r="F34" i="40"/>
  <c r="H34" i="4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AA34" i="40" l="1"/>
  <c r="S34" i="40"/>
  <c r="AB34" i="40"/>
  <c r="U34" i="40"/>
  <c r="AC34" i="40"/>
  <c r="W34" i="40"/>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11" i="40" s="1"/>
  <c r="C23" i="69"/>
  <c r="E2" i="76"/>
  <c r="B2" i="76"/>
  <c r="I69" i="39"/>
  <c r="J67" i="39"/>
  <c r="D9" i="71"/>
  <c r="I63" i="40"/>
  <c r="H65" i="40"/>
  <c r="I58" i="21"/>
  <c r="J58" i="21" s="1"/>
  <c r="K58" i="21" s="1"/>
  <c r="L58" i="21" s="1"/>
  <c r="M58" i="21" s="1"/>
  <c r="N58" i="21" s="1"/>
  <c r="O58" i="21" s="1"/>
  <c r="H7" i="21" s="1"/>
  <c r="F7" i="21"/>
  <c r="J48" i="35"/>
  <c r="F11" i="40" l="1"/>
  <c r="H11" i="40"/>
  <c r="J11" i="40"/>
  <c r="C21" i="12"/>
  <c r="C22" i="12"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11" i="40" l="1"/>
  <c r="AC11" i="40"/>
  <c r="AA11" i="40"/>
  <c r="S11" i="40"/>
  <c r="AB11" i="40"/>
  <c r="U11" i="40"/>
  <c r="C27" i="12"/>
  <c r="C25" i="12" s="1"/>
  <c r="C30" i="12"/>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15"/>
  <c r="M21" i="67"/>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8" i="1"/>
  <c r="AO10" i="1"/>
  <c r="AO7" i="1"/>
  <c r="AO12" i="1"/>
  <c r="D19" i="9"/>
  <c r="AO6"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B2" i="68" s="1"/>
  <c r="C19" i="9"/>
  <c r="C57" i="68" l="1"/>
  <c r="C56" i="68" s="1"/>
  <c r="C102" i="9"/>
  <c r="C21" i="9"/>
  <c r="D22" i="9"/>
  <c r="G19" i="9"/>
  <c r="G21" i="9" s="1"/>
  <c r="B3" i="68"/>
  <c r="C20" i="9"/>
  <c r="C103" i="9" l="1"/>
  <c r="G20" i="9"/>
  <c r="C32" i="9" s="1"/>
  <c r="H118" i="9" s="1"/>
  <c r="D35" i="9"/>
  <c r="C104" i="9" l="1"/>
  <c r="D14" i="74"/>
  <c r="G14" i="74" s="1"/>
  <c r="B6" i="74" s="1"/>
  <c r="D6" i="74" s="1"/>
  <c r="C35" i="9"/>
  <c r="F118" i="9" s="1"/>
  <c r="H4" i="52"/>
  <c r="H101" i="9"/>
  <c r="D45" i="9" s="1"/>
  <c r="I118" i="9"/>
  <c r="I4" i="52" s="1"/>
  <c r="D5" i="53"/>
  <c r="H102" i="9"/>
  <c r="H119" i="9"/>
  <c r="H5" i="52" s="1"/>
  <c r="D34" i="9"/>
  <c r="F14" i="74" l="1"/>
  <c r="E14" i="74"/>
  <c r="B5" i="74"/>
  <c r="D5" i="74" s="1"/>
  <c r="M48" i="9"/>
  <c r="C105" i="9"/>
  <c r="C34" i="9"/>
  <c r="F4" i="52"/>
  <c r="B51" i="72" s="1"/>
  <c r="G118" i="9"/>
  <c r="G4" i="52" s="1"/>
  <c r="B52" i="72" s="1"/>
  <c r="F119" i="9"/>
  <c r="F5" i="52" s="1"/>
  <c r="B53" i="72" s="1"/>
  <c r="D118" i="9"/>
  <c r="H107" i="9"/>
  <c r="H108" i="9" s="1"/>
  <c r="E118" i="9"/>
  <c r="E4" i="52" s="1"/>
  <c r="B48" i="72" s="1"/>
  <c r="B20" i="72"/>
  <c r="D6" i="53"/>
  <c r="B22" i="72" s="1"/>
  <c r="D13" i="53"/>
  <c r="C5" i="74"/>
  <c r="D7" i="53"/>
  <c r="B21" i="72" s="1"/>
  <c r="D53" i="9"/>
  <c r="D52" i="9"/>
  <c r="C78" i="9"/>
  <c r="C73" i="9" s="1"/>
  <c r="D55" i="9"/>
  <c r="M53" i="9" s="1"/>
  <c r="C64" i="9"/>
  <c r="C63" i="9" s="1"/>
  <c r="C67" i="9" s="1"/>
  <c r="C85" i="9"/>
  <c r="C72" i="9"/>
  <c r="C93" i="9"/>
  <c r="C86" i="9" s="1"/>
  <c r="C79" i="9" l="1"/>
  <c r="C80" i="9" s="1"/>
  <c r="E80" i="9" s="1"/>
  <c r="E81" i="9" s="1"/>
  <c r="D122" i="9"/>
  <c r="D8" i="52" s="1"/>
  <c r="M49" i="9"/>
  <c r="L67" i="9" s="1"/>
  <c r="M67" i="9" s="1"/>
  <c r="D4" i="52"/>
  <c r="B47" i="72" s="1"/>
  <c r="D119" i="9"/>
  <c r="D5" i="52" s="1"/>
  <c r="B49" i="72" s="1"/>
  <c r="D59" i="9"/>
  <c r="M55" i="9" s="1"/>
  <c r="C68" i="9"/>
  <c r="D54" i="9" s="1"/>
  <c r="B30" i="72"/>
  <c r="D14" i="53"/>
  <c r="B32" i="72" s="1"/>
  <c r="C95" i="9"/>
  <c r="L65" i="9"/>
  <c r="M65" i="9" s="1"/>
  <c r="C6" i="74"/>
  <c r="D15" i="53"/>
  <c r="B31" i="72" s="1"/>
  <c r="L63" i="9" l="1"/>
  <c r="M63" i="9" s="1"/>
  <c r="L64" i="9"/>
  <c r="M64" i="9" s="1"/>
  <c r="L66" i="9"/>
  <c r="M66" i="9" s="1"/>
  <c r="L68" i="9"/>
  <c r="M68" i="9" s="1"/>
  <c r="D123" i="9"/>
  <c r="D9" i="52" s="1"/>
  <c r="C81" i="9"/>
  <c r="C96" i="9"/>
  <c r="E96" i="9" s="1"/>
  <c r="E97" i="9" s="1"/>
  <c r="M69" i="9" l="1"/>
  <c r="N69" i="9" s="1"/>
  <c r="C97" i="9"/>
  <c r="D58" i="9" s="1"/>
  <c r="D56" i="9" s="1"/>
  <c r="M54" i="9" s="1"/>
  <c r="N57" i="9" s="1"/>
  <c r="N58" i="9" l="1"/>
  <c r="P57" i="9"/>
  <c r="N59" i="9"/>
  <c r="N60" i="9" l="1"/>
  <c r="H111" i="9"/>
  <c r="N61" i="9"/>
  <c r="H112" i="9" s="1"/>
  <c r="D21" i="53" l="1"/>
  <c r="B39" i="72" s="1"/>
  <c r="C8" i="74"/>
  <c r="D19" i="53"/>
  <c r="D126" i="9"/>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<sst xmlns="http://schemas.openxmlformats.org/spreadsheetml/2006/main" count="7998" uniqueCount="3491">
  <si>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</si>
  <si>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</si>
  <si>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</si>
  <si>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</si>
  <si>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</si>
  <si>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</si>
  <si>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</si>
  <si>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</si>
  <si>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</si>
  <si>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</si>
  <si>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</si>
  <si>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</si>
  <si>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</si>
  <si>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</si>
  <si>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</si>
  <si>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</si>
  <si>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</si>
  <si>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</si>
  <si>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</si>
  <si>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</si>
  <si>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</si>
  <si>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</si>
  <si>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</si>
  <si>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</si>
  <si>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</si>
  <si>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</si>
  <si>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</si>
  <si>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</si>
  <si>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</si>
  <si>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</si>
  <si>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</si>
  <si>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</si>
  <si>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</si>
  <si>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</si>
  <si>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</si>
  <si>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</si>
  <si>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</si>
  <si>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</si>
  <si>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</si>
  <si>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</si>
  <si>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</si>
  <si>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</si>
  <si>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</si>
  <si>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</si>
  <si>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</si>
  <si>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</si>
  <si>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</si>
  <si>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</si>
  <si>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</si>
  <si>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</si>
  <si>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</si>
  <si>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</si>
  <si>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</si>
  <si>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</si>
  <si>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</si>
  <si>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</si>
  <si>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</si>
  <si>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</si>
  <si>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</si>
  <si>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</si>
  <si>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</si>
  <si>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</si>
  <si>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</si>
  <si>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</si>
  <si>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</si>
  <si>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</si>
  <si>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</si>
  <si>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</si>
  <si>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</si>
  <si>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</si>
  <si>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</si>
  <si>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</si>
  <si>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</si>
  <si>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</si>
  <si>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</si>
  <si>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</si>
  <si>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</si>
  <si>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</si>
  <si>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</si>
  <si>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</si>
  <si>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</si>
  <si>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</si>
  <si>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</si>
  <si>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</si>
  <si>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</si>
  <si>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</si>
  <si>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</si>
  <si>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</si>
  <si>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</si>
  <si>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</si>
  <si>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</si>
  <si>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</si>
  <si>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</si>
  <si>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</si>
  <si>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</si>
  <si>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</si>
  <si>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</si>
  <si>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</si>
  <si>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</si>
  <si>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</si>
  <si>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</si>
  <si>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</si>
  <si>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</si>
  <si>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</si>
  <si>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</si>
  <si>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</si>
  <si>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</si>
  <si>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</si>
  <si>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</si>
  <si>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</si>
  <si>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</si>
  <si>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</si>
  <si>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</si>
  <si>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</si>
  <si>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</si>
  <si>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</si>
  <si>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</si>
  <si>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</si>
  <si>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</si>
  <si>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</si>
  <si>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</si>
  <si>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</si>
  <si>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</si>
  <si>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</si>
  <si>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</si>
  <si>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</si>
  <si>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</si>
  <si>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</si>
  <si>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</si>
  <si>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</si>
  <si>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</si>
  <si>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</si>
  <si>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</si>
  <si>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</si>
  <si>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</si>
  <si>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</si>
  <si>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</si>
  <si>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</si>
  <si>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</si>
  <si>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</si>
  <si>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</si>
  <si>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</si>
  <si>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</si>
  <si>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</si>
  <si>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</si>
  <si>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</si>
  <si>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</si>
  <si>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</si>
  <si>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</si>
  <si>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</si>
  <si>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</si>
  <si>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</si>
  <si>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</si>
  <si>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</si>
  <si>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</si>
  <si>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</si>
  <si>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</si>
  <si>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</si>
  <si>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</si>
  <si>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</si>
  <si>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</si>
  <si>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</si>
  <si>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</si>
  <si>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</si>
  <si>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</si>
  <si>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</si>
  <si>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</si>
  <si>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</si>
  <si>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</si>
  <si>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</si>
  <si>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</si>
  <si>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</si>
  <si>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</si>
  <si>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</si>
  <si>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</si>
  <si>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</si>
  <si>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</si>
  <si>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</si>
  <si>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</si>
  <si>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</si>
  <si>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</si>
  <si>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</si>
  <si>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</si>
  <si>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</si>
  <si>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</si>
  <si>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</si>
  <si>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</si>
  <si>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</si>
  <si>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</si>
  <si>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</si>
  <si>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</si>
  <si>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</si>
  <si>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</si>
  <si>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</si>
  <si>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</si>
  <si>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</si>
  <si>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</si>
  <si>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</si>
  <si>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</si>
  <si>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</si>
  <si>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</si>
  <si>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</si>
  <si>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</si>
  <si>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</si>
  <si>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</si>
  <si>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</si>
  <si>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</si>
  <si>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</si>
  <si>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</si>
  <si>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</si>
  <si>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</si>
  <si>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</si>
  <si>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</si>
  <si>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</si>
  <si>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</si>
  <si>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</si>
  <si>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</si>
  <si>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</si>
  <si>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</si>
  <si>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</si>
  <si>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</si>
  <si>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</si>
  <si>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</si>
  <si>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</si>
  <si>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</si>
  <si>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</si>
  <si>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</si>
  <si>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</si>
  <si>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</si>
  <si>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</si>
  <si>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</si>
  <si>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</si>
  <si>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</si>
  <si>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</si>
  <si>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</si>
  <si>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</si>
  <si>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</si>
  <si>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</si>
  <si>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</si>
  <si>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</si>
  <si>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</si>
  <si>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</si>
  <si>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</si>
  <si>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</si>
  <si>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</si>
  <si>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</si>
  <si>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</si>
  <si>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</si>
  <si>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</si>
  <si>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</si>
  <si>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</si>
  <si>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</si>
  <si>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</si>
  <si>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</si>
  <si>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</si>
  <si>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</si>
  <si>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</si>
  <si>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</si>
  <si>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</si>
  <si>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</si>
  <si>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</si>
  <si>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</si>
  <si>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</si>
  <si>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</si>
  <si>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</si>
  <si>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</si>
  <si>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</si>
  <si>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</si>
  <si>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</si>
  <si>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</si>
  <si>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</si>
  <si>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</si>
  <si>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</si>
  <si>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</si>
  <si>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</si>
  <si>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</si>
  <si>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</si>
  <si>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</si>
  <si>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</si>
  <si>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</si>
  <si>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</si>
  <si>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</si>
  <si>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</si>
  <si>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</si>
  <si>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</si>
  <si>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</si>
  <si>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</si>
  <si>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</si>
  <si>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</si>
  <si>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</si>
  <si>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</si>
  <si>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</si>
  <si>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</si>
  <si>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</si>
  <si>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</si>
  <si>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</si>
  <si>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</si>
  <si>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</si>
  <si>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</si>
  <si>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</si>
  <si>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</si>
  <si>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</si>
  <si>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</si>
  <si>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</si>
  <si>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</si>
  <si>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</si>
  <si>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</si>
  <si>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</si>
  <si>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</si>
  <si>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</si>
  <si>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</si>
  <si>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</si>
  <si>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</si>
  <si>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</si>
  <si>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</si>
  <si>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</si>
  <si>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</si>
  <si>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</si>
  <si>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</si>
  <si>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</si>
  <si>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</si>
  <si>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</si>
  <si>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</si>
  <si>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</si>
  <si>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</si>
  <si>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</si>
  <si>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</si>
  <si>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</si>
  <si>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</si>
  <si>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</si>
  <si>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</si>
  <si>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</si>
  <si>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</si>
  <si>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</si>
  <si>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</si>
  <si>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</si>
  <si>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</si>
  <si>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</si>
  <si>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</si>
  <si>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</si>
  <si>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</si>
  <si>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</si>
  <si>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</si>
  <si>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</si>
  <si>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</si>
  <si>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</si>
  <si>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</si>
  <si>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</si>
  <si>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</si>
  <si>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</si>
  <si>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</si>
  <si>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</si>
  <si>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</si>
  <si>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</si>
  <si>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</si>
  <si>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</si>
  <si>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</si>
  <si>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</si>
  <si>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</si>
  <si>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</si>
  <si>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</si>
  <si>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</si>
  <si>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</si>
  <si>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</si>
  <si>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</si>
  <si>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</si>
  <si>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</si>
  <si>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</si>
  <si>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</si>
  <si>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</si>
  <si>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</si>
  <si>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</si>
  <si>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</si>
  <si>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</si>
  <si>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</si>
  <si>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</si>
  <si>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</si>
  <si>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</si>
  <si>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</si>
  <si>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</si>
  <si>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</si>
  <si>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</si>
  <si>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</si>
  <si>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</si>
  <si>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</si>
  <si>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</si>
  <si>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</si>
  <si>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</si>
  <si>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</si>
  <si>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</si>
  <si>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</si>
  <si>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</si>
  <si>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</si>
  <si>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</si>
  <si>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</si>
  <si>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</si>
  <si>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</si>
  <si>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</si>
  <si>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</si>
  <si>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</si>
  <si>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</si>
  <si>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</si>
  <si>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</si>
  <si>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</si>
  <si>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</si>
  <si>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</si>
  <si>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</si>
  <si>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</si>
  <si>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</si>
  <si>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</si>
  <si>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</si>
  <si>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</si>
  <si>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</si>
  <si>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</si>
  <si>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</si>
  <si>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</si>
  <si>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</si>
  <si>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</si>
  <si>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</si>
  <si>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</si>
  <si>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</si>
  <si>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</si>
  <si>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</si>
  <si>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</si>
  <si>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</si>
  <si>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</si>
  <si>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</si>
  <si>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</si>
  <si>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</si>
  <si>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</si>
  <si>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</si>
  <si>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</si>
  <si>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</si>
  <si>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</si>
  <si>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</si>
  <si>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</si>
  <si>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</si>
  <si>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</si>
  <si>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</si>
  <si>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</si>
  <si>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</si>
  <si>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</si>
  <si>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</si>
  <si>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</si>
  <si>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</si>
  <si>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</si>
  <si>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</si>
  <si>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</si>
  <si>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</si>
  <si>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</si>
  <si>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</si>
  <si>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</si>
  <si>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</si>
  <si>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</si>
  <si>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</si>
  <si>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</si>
  <si>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</si>
  <si>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</si>
  <si>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</si>
  <si>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</si>
  <si>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</si>
  <si>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</si>
  <si>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</si>
  <si>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</si>
  <si>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</si>
  <si>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</si>
  <si>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</si>
  <si>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</si>
  <si>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</si>
  <si>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</si>
  <si>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</si>
  <si>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</si>
  <si>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</si>
  <si>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</si>
  <si>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</si>
  <si>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</si>
  <si>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</si>
  <si>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</si>
  <si>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</si>
  <si>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</si>
  <si>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</si>
  <si>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</si>
  <si>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</si>
  <si>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</si>
  <si>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</si>
  <si>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</si>
  <si>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</si>
  <si>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</si>
  <si>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</si>
  <si>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</si>
  <si>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</si>
  <si>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</si>
  <si>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</si>
  <si>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</si>
  <si>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</si>
  <si>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</si>
  <si>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</si>
  <si>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</si>
  <si>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</si>
  <si>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</si>
  <si>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</si>
  <si>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</si>
  <si>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</si>
  <si>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</si>
  <si>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</si>
  <si>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</si>
  <si>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</si>
  <si>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</si>
  <si>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</si>
  <si>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</si>
  <si>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</si>
  <si>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</si>
  <si>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</si>
  <si>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</si>
  <si>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</si>
  <si>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</si>
  <si>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</si>
  <si>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</si>
  <si>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</si>
  <si>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</si>
  <si>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</si>
  <si>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</si>
  <si>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</si>
  <si>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</si>
  <si>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</si>
  <si>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</si>
  <si>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</si>
  <si>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</si>
  <si>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</si>
  <si>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</si>
  <si>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</si>
  <si>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</si>
  <si>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</si>
  <si>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</si>
  <si>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</si>
  <si>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</si>
  <si>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</si>
  <si>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</si>
  <si>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</si>
  <si>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</si>
  <si>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</si>
  <si>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</si>
  <si>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</si>
  <si>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</si>
  <si>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</si>
  <si>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</si>
  <si>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</si>
  <si>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</si>
  <si>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</si>
  <si>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</si>
  <si>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</si>
  <si>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</si>
  <si>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</si>
  <si>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</si>
  <si>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</si>
  <si>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</si>
  <si>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</si>
  <si>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</si>
  <si>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</si>
  <si>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</si>
  <si>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</si>
  <si>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</si>
  <si>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</si>
  <si>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</si>
  <si>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</si>
  <si>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</si>
  <si>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</si>
  <si>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</si>
  <si>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</si>
  <si>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</si>
  <si>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</si>
  <si>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</si>
  <si>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</si>
  <si>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</si>
  <si>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</si>
  <si>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</si>
  <si>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</si>
  <si>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</si>
  <si>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</si>
  <si>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</si>
  <si>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</si>
  <si>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</si>
  <si>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</si>
  <si>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</si>
  <si>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</si>
  <si>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</si>
  <si>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</si>
  <si>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</si>
  <si>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</si>
  <si>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</si>
  <si>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</si>
  <si>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</si>
  <si>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</si>
  <si>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</si>
  <si>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</si>
  <si>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</si>
  <si>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</si>
  <si>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</si>
  <si>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</si>
  <si>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</si>
  <si>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</si>
  <si>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</si>
  <si>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</si>
  <si>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</si>
  <si>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</si>
  <si>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</si>
  <si>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</si>
  <si>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</si>
  <si>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</si>
  <si>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</si>
  <si>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</si>
  <si>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</si>
  <si>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</si>
  <si>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</si>
  <si>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</si>
  <si>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</si>
  <si>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</si>
  <si>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</si>
  <si>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</si>
  <si>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</si>
  <si>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</si>
  <si>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</si>
  <si>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</si>
  <si>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</si>
  <si>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</si>
  <si>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</si>
  <si>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</si>
  <si>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</si>
  <si>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</si>
  <si>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</si>
  <si>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</si>
  <si>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</si>
  <si>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</si>
  <si>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</si>
  <si>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</si>
  <si>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</si>
  <si>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</si>
  <si>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</si>
  <si>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</si>
  <si>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</si>
  <si>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</si>
  <si>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</si>
  <si>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</si>
  <si>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</si>
  <si>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</si>
  <si>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</si>
  <si>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</si>
  <si>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</si>
  <si>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</si>
  <si>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</si>
  <si>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</si>
  <si>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</si>
  <si>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</si>
  <si>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</si>
  <si>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</si>
  <si>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</si>
  <si>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</si>
  <si>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</si>
  <si>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</si>
  <si>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</si>
  <si>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</si>
  <si>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</si>
  <si>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</si>
  <si>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</si>
  <si>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</si>
  <si>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</si>
  <si>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</si>
  <si>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</si>
  <si>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</si>
  <si>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</si>
  <si>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</si>
  <si>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</si>
  <si>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</si>
  <si>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</si>
  <si>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</si>
  <si>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</si>
  <si>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</si>
  <si>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</si>
  <si>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</si>
  <si>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</si>
  <si>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</si>
  <si>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</si>
  <si>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</si>
  <si>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</si>
  <si>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</si>
  <si>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</si>
  <si>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</si>
  <si>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</si>
  <si>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</si>
  <si>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</si>
  <si>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</si>
  <si>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</si>
  <si>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</si>
  <si>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</si>
  <si>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</si>
  <si>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</si>
  <si>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</si>
  <si>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</si>
  <si>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</si>
  <si>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</si>
  <si>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</si>
  <si>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</si>
  <si>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</si>
  <si>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</si>
  <si>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</si>
  <si>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</si>
  <si>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</si>
  <si>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</si>
  <si>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</si>
  <si>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</si>
  <si>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</si>
  <si>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</si>
  <si>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</si>
  <si>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</si>
  <si>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</si>
  <si>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</si>
  <si>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</si>
  <si>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</si>
  <si>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</si>
  <si>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</si>
  <si>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</si>
  <si>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</si>
  <si>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</si>
  <si>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</si>
  <si>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</si>
  <si>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</si>
  <si>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</si>
  <si>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</si>
  <si>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</si>
  <si>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</si>
  <si>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</si>
  <si>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</si>
  <si>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</si>
  <si>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</si>
  <si>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</si>
  <si>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</si>
  <si>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</si>
  <si>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</si>
  <si>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</si>
  <si>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</si>
  <si>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</si>
  <si>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</si>
  <si>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</si>
  <si>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</si>
  <si>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</si>
  <si>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</si>
  <si>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</si>
  <si>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</si>
  <si>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</si>
  <si>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</si>
  <si>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</si>
  <si>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</si>
  <si>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</si>
  <si>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</si>
  <si>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</si>
  <si>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</si>
  <si>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</si>
  <si>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</si>
  <si>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</si>
  <si>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</si>
  <si>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</si>
  <si>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</si>
  <si>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</si>
  <si>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</si>
  <si>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</si>
  <si>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</si>
  <si>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</si>
  <si>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</si>
  <si>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</si>
  <si>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</si>
  <si>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</si>
  <si>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</si>
  <si>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</si>
  <si>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</si>
  <si>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</si>
  <si>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</si>
  <si>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</si>
  <si>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</si>
  <si>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</si>
  <si>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</si>
  <si>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</si>
  <si>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</si>
  <si>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</si>
  <si>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</si>
  <si>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</si>
  <si>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</si>
  <si>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</si>
  <si>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</si>
  <si>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</si>
  <si>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</si>
  <si>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</si>
  <si>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</si>
  <si>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</si>
  <si>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</si>
  <si>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</si>
  <si>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</si>
  <si>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</si>
  <si>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</si>
  <si>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</si>
  <si>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</si>
  <si>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</si>
  <si>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</si>
  <si>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</si>
  <si>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</si>
  <si>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</si>
  <si>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</si>
  <si>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</si>
  <si>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</si>
  <si>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</si>
  <si>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</si>
  <si>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</si>
  <si>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</si>
  <si>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</si>
  <si>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</si>
  <si>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</si>
  <si>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</si>
  <si>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</si>
  <si>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</si>
  <si>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</si>
  <si>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</si>
  <si>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</si>
  <si>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</si>
  <si>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</si>
  <si>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</si>
  <si>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</si>
  <si>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</si>
  <si>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</si>
  <si>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</si>
  <si>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</si>
  <si>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</si>
  <si>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</si>
  <si>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</si>
  <si>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</si>
  <si>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</si>
  <si>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</si>
  <si>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</si>
  <si>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</si>
  <si>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</si>
  <si>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</si>
  <si>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</si>
  <si>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</si>
  <si>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</si>
  <si>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</si>
  <si>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</si>
  <si>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</si>
  <si>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</si>
  <si>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</si>
  <si>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</si>
  <si>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</si>
  <si>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</si>
  <si>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</si>
  <si>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</si>
  <si>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</si>
  <si>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</si>
  <si>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</si>
  <si>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</si>
  <si>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</si>
  <si>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</si>
  <si>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</si>
  <si>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</si>
  <si>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</si>
  <si>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</si>
  <si>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</si>
  <si>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</si>
  <si>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</si>
  <si>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</si>
  <si>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</si>
  <si>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</si>
  <si>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</si>
  <si>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</si>
  <si>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</si>
  <si>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</si>
  <si>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</si>
  <si>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</si>
  <si>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</si>
  <si>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</si>
  <si>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</si>
  <si>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</si>
  <si>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</si>
  <si>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</si>
  <si>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</si>
  <si>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</si>
  <si>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</si>
  <si>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</si>
  <si>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</si>
  <si>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</si>
  <si>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</si>
  <si>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</si>
  <si>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</si>
  <si>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</si>
  <si>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</si>
  <si>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</si>
  <si>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</si>
  <si>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</si>
  <si>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</si>
  <si>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</si>
  <si>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</si>
  <si>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</si>
  <si>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</si>
  <si>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</si>
  <si>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</si>
  <si>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</si>
  <si>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</si>
  <si>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</si>
  <si>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</si>
  <si>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</si>
  <si>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</si>
  <si>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</si>
  <si>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</si>
  <si>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</si>
  <si>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</si>
  <si>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</si>
  <si>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</si>
  <si>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</si>
  <si>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</si>
  <si>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</si>
  <si>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</si>
  <si>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</si>
  <si>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</si>
  <si>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</si>
  <si>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</si>
  <si>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</si>
  <si>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</si>
  <si>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</si>
  <si>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</si>
  <si>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</si>
  <si>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</si>
  <si>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</si>
  <si>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</si>
  <si>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</si>
  <si>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</si>
  <si>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</si>
  <si>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</si>
  <si>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</si>
  <si>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</si>
  <si>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</si>
  <si>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</si>
  <si>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</si>
  <si>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</si>
  <si>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</si>
  <si>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</si>
  <si>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</si>
  <si>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</si>
  <si>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</si>
  <si>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</si>
  <si>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</si>
  <si>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</si>
  <si>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</si>
  <si>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</si>
  <si>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</si>
  <si>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</si>
  <si>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</si>
  <si>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</si>
  <si>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</si>
  <si>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</si>
  <si>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</si>
  <si>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</si>
  <si>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</si>
  <si>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</si>
  <si>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</si>
  <si>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</si>
  <si>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</si>
  <si>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</si>
  <si>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</si>
  <si>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</si>
  <si>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</si>
  <si>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</si>
  <si>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</si>
  <si>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</si>
  <si>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</si>
  <si>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</si>
  <si>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</si>
  <si>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</si>
  <si>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</si>
  <si>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</si>
  <si>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</si>
  <si>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</si>
  <si>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</si>
  <si>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</si>
  <si>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</si>
  <si>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</si>
  <si>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</si>
  <si>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</si>
  <si>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</si>
  <si>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</si>
  <si>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</si>
  <si>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</si>
  <si>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</si>
  <si>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</si>
  <si>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</si>
  <si>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</si>
  <si>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</si>
  <si>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</si>
  <si>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</si>
  <si>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</si>
  <si>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</si>
  <si>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</si>
  <si>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</si>
  <si>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</si>
  <si>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</si>
  <si>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</si>
  <si>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</si>
  <si>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</si>
  <si>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</si>
  <si>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</si>
  <si>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</si>
  <si>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</si>
  <si>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</si>
  <si>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</si>
  <si>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</si>
  <si>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</si>
  <si>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</si>
  <si>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</si>
  <si>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</si>
  <si>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</si>
  <si>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</si>
  <si>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</si>
  <si>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</si>
  <si>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</si>
  <si>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</si>
  <si>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</si>
  <si>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</si>
  <si>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</si>
  <si>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</si>
  <si>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</si>
  <si>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</si>
  <si>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</si>
  <si>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</si>
  <si>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</si>
  <si>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</si>
  <si>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</si>
  <si>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</si>
  <si>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</si>
  <si>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</si>
  <si>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</si>
  <si>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</si>
  <si>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</si>
  <si>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</si>
  <si>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</si>
  <si>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</si>
  <si>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</si>
  <si>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</si>
  <si>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</si>
  <si>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</si>
  <si>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</si>
  <si>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</si>
  <si>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</si>
  <si>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</si>
  <si>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</si>
  <si>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</si>
  <si>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</si>
  <si>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</si>
  <si>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</si>
  <si>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</si>
  <si>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</si>
  <si>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</si>
  <si>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</si>
  <si>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</si>
  <si>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</si>
  <si>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</si>
  <si>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</si>
  <si>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</si>
  <si>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</si>
  <si>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</si>
  <si>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</si>
  <si>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</si>
  <si>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</si>
  <si>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</si>
  <si>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</si>
  <si>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</si>
  <si>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</si>
  <si>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</si>
  <si>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</si>
  <si>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</si>
  <si>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</si>
  <si>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</si>
  <si>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</si>
  <si>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</si>
  <si>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</si>
  <si>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</si>
  <si>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</si>
  <si>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</si>
  <si>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</si>
  <si>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</si>
  <si>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</si>
  <si>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</si>
  <si>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</si>
  <si>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</si>
  <si>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</si>
  <si>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</si>
  <si>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</si>
  <si>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</si>
  <si>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</si>
  <si>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</si>
  <si>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</si>
  <si>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</si>
  <si>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</si>
  <si>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</si>
  <si>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</si>
  <si>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</si>
  <si>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</si>
  <si>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</si>
  <si>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</si>
  <si>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</si>
  <si>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</si>
  <si>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</si>
  <si>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</si>
  <si>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</si>
  <si>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</si>
  <si>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</si>
  <si>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</si>
  <si>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</si>
  <si>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</si>
  <si>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</si>
  <si>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</si>
  <si>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</si>
  <si>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</si>
  <si>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</si>
  <si>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</si>
  <si>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</si>
  <si>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</si>
  <si>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</si>
  <si>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</si>
  <si>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</si>
  <si>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</si>
  <si>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</si>
  <si>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</si>
  <si>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</si>
  <si>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</si>
  <si>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</si>
  <si>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</si>
  <si>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</si>
  <si>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</si>
  <si>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</si>
  <si>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</si>
  <si>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</si>
  <si>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</si>
  <si>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</si>
  <si>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</si>
  <si>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</si>
  <si>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</si>
  <si>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</si>
  <si>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</si>
  <si>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</si>
  <si>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</si>
  <si>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</si>
  <si>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</si>
  <si>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</si>
  <si>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</si>
  <si>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</si>
  <si>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</si>
  <si>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</si>
  <si>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</si>
  <si>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</si>
  <si>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</si>
  <si>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</si>
  <si>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</si>
  <si>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</si>
  <si>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</si>
  <si>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</si>
  <si>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</si>
  <si>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</si>
  <si>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</si>
  <si>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</si>
  <si>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</si>
  <si>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</si>
  <si>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</si>
  <si>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</si>
  <si>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</si>
  <si>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</si>
  <si>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</si>
  <si>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</si>
  <si>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</si>
  <si>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</si>
  <si>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</si>
  <si>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</si>
  <si>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</si>
  <si>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</si>
  <si>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</si>
  <si>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</si>
  <si>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</si>
  <si>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</si>
  <si>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</si>
  <si>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</si>
  <si>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</si>
  <si>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</si>
  <si>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</si>
  <si>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</si>
  <si>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</si>
  <si>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</si>
  <si>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</si>
  <si>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</si>
  <si>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</si>
  <si>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</si>
  <si>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</si>
  <si>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</si>
  <si>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</si>
  <si>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</si>
  <si>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</si>
  <si>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</si>
  <si>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</si>
  <si>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</si>
  <si>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</si>
  <si>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</si>
  <si>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</si>
  <si>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</si>
  <si>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</si>
  <si>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</si>
  <si>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</si>
  <si>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</si>
  <si>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</si>
  <si>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</si>
  <si>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</si>
  <si>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</si>
  <si>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</si>
  <si>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</si>
  <si>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</si>
  <si>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</si>
  <si>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</si>
  <si>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</si>
  <si>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</si>
  <si>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</si>
  <si>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</si>
  <si>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</si>
  <si>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</si>
  <si>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</si>
  <si>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</si>
  <si>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</si>
  <si>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</si>
  <si>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</si>
  <si>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</si>
  <si>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</si>
  <si>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</si>
  <si>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</si>
  <si>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</si>
  <si>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</si>
  <si>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</si>
  <si>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</si>
  <si>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</si>
  <si>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</si>
  <si>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</si>
  <si>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</si>
  <si>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</si>
  <si>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</si>
  <si>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</si>
  <si>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</si>
  <si>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</si>
  <si>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</si>
  <si>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</si>
  <si>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</si>
  <si>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</si>
  <si>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</si>
  <si>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</si>
  <si>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</si>
  <si>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</si>
  <si>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</si>
  <si>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</si>
  <si>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</si>
  <si>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</si>
  <si>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</si>
  <si>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</si>
  <si>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</si>
  <si>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</si>
  <si>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</si>
  <si>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</si>
  <si>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</si>
  <si>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</si>
  <si>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</si>
  <si>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</si>
  <si>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</si>
  <si>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</si>
  <si>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</si>
  <si>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</si>
  <si>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</si>
  <si>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</si>
  <si>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</si>
  <si>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</si>
  <si>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</si>
  <si>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</si>
  <si>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</si>
  <si>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</si>
  <si>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</si>
  <si>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</si>
  <si>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</si>
  <si>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</si>
  <si>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</si>
  <si>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</si>
  <si>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</si>
  <si>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</si>
  <si>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</si>
  <si>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</si>
  <si>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</si>
  <si>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</si>
  <si>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</si>
  <si>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</si>
  <si>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</si>
  <si>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</si>
  <si>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</si>
  <si>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</si>
  <si>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</si>
  <si>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</si>
  <si>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</si>
  <si>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</si>
  <si>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</si>
  <si>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</si>
  <si>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</si>
  <si>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</si>
  <si>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</si>
  <si>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</si>
  <si>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</si>
  <si>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</si>
  <si>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</si>
  <si>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</si>
  <si>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</si>
  <si>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</si>
  <si>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</si>
  <si>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</si>
  <si>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</si>
  <si>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</si>
  <si>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</si>
  <si>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</si>
  <si>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</si>
  <si>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</si>
  <si>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</si>
  <si>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</si>
  <si>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</si>
  <si>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</si>
  <si>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</si>
  <si>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</si>
  <si>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</si>
  <si>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</si>
  <si>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</si>
  <si>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</si>
  <si>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</si>
  <si>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</si>
  <si>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</si>
  <si>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</si>
  <si>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</si>
  <si>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</si>
  <si>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</si>
  <si>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</si>
  <si>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</si>
  <si>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</si>
  <si>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</si>
  <si>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</si>
  <si>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</si>
  <si>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</si>
  <si>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</si>
  <si>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</si>
  <si>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</si>
  <si>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</si>
  <si>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</si>
  <si>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</si>
  <si>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</si>
  <si>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</si>
  <si>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</si>
  <si>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</si>
  <si>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</si>
  <si>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</si>
  <si>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</si>
  <si>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</si>
  <si>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</si>
  <si>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</si>
  <si>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</si>
  <si>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</si>
  <si>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</si>
  <si>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</si>
  <si>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</si>
  <si>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</si>
  <si>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</si>
  <si>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</si>
  <si>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</si>
  <si>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</si>
  <si>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</si>
  <si>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</si>
  <si>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</si>
  <si>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</si>
  <si>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</si>
  <si>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</si>
  <si>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</si>
  <si>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</si>
  <si>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</si>
  <si>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</si>
  <si>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</si>
  <si>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</si>
  <si>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</si>
  <si>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</si>
  <si>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</si>
  <si>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</si>
  <si>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</si>
  <si>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</si>
  <si>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</si>
  <si>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</si>
  <si>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</si>
  <si>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</si>
  <si>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</si>
  <si>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</si>
  <si>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</si>
  <si>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</si>
  <si>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</si>
  <si>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</si>
  <si>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</si>
  <si>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</si>
  <si>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</si>
  <si>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</si>
  <si>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</si>
  <si>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</si>
  <si>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</si>
  <si>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</si>
  <si>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</si>
  <si>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</si>
  <si>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</si>
  <si>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</si>
  <si>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</si>
  <si>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</si>
  <si>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</si>
  <si>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</si>
  <si>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</si>
  <si>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</si>
  <si>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</si>
  <si>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</si>
  <si>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</si>
  <si>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</si>
  <si>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</si>
  <si>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</si>
  <si>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</si>
  <si>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</si>
  <si>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</si>
  <si>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</si>
  <si>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</si>
  <si>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</si>
  <si>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</si>
  <si>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</si>
  <si>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</si>
  <si>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</si>
  <si>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</si>
  <si>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</si>
  <si>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</si>
  <si>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</si>
  <si>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</si>
  <si>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</si>
  <si>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</si>
  <si>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</si>
  <si>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</si>
  <si>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</si>
  <si>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</si>
  <si>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</si>
  <si>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</si>
  <si>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</si>
  <si>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</si>
  <si>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</si>
  <si>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</si>
  <si>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</si>
  <si>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</si>
  <si>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</si>
  <si>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</si>
  <si>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</si>
  <si>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</si>
  <si>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</si>
  <si>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</si>
  <si>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</si>
  <si>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</si>
  <si>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</si>
  <si>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</si>
  <si>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</si>
  <si>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</si>
  <si>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</si>
  <si>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</si>
  <si>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</si>
  <si>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</si>
  <si>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</si>
  <si>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</si>
  <si>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</si>
  <si>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</si>
  <si>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</si>
  <si>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</si>
  <si>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</si>
  <si>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</si>
  <si>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</si>
  <si>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</si>
  <si>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</si>
  <si>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</si>
  <si>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</si>
  <si>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</si>
  <si>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</si>
  <si>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</si>
  <si>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</si>
  <si>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</si>
  <si>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</si>
  <si>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</si>
  <si>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</si>
  <si>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</si>
  <si>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</si>
  <si>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</si>
  <si>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</si>
  <si>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</si>
  <si>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</si>
  <si>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</si>
  <si>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</si>
  <si>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</si>
  <si>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</si>
  <si>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</si>
  <si>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</si>
  <si>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</si>
  <si>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</si>
  <si>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</si>
  <si>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</si>
  <si>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</si>
  <si>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</si>
  <si>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</si>
  <si>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</si>
  <si>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</si>
  <si>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</si>
  <si>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</si>
  <si>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</si>
  <si>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</si>
  <si>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</si>
  <si>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</si>
  <si>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</si>
  <si>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</si>
  <si>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</si>
  <si>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</si>
  <si>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</si>
  <si>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</si>
  <si>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</si>
  <si>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</si>
  <si>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</si>
  <si>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</si>
  <si>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</si>
  <si>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</si>
  <si>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</si>
  <si>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</si>
  <si>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</si>
  <si>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</si>
  <si>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</si>
  <si>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</si>
  <si>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</si>
  <si>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</si>
  <si>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</si>
  <si>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</si>
  <si>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</si>
  <si>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</si>
  <si>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</si>
  <si>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</si>
  <si>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</si>
  <si>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</si>
  <si>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</si>
  <si>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</si>
  <si>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</si>
  <si>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</si>
  <si>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</si>
  <si>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</si>
  <si>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</si>
  <si>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</si>
  <si>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</si>
  <si>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</si>
  <si>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</si>
  <si>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</si>
  <si>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</si>
  <si>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</si>
  <si>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</si>
  <si>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</si>
  <si>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</si>
  <si>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</si>
  <si>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</si>
  <si>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</si>
  <si>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</si>
  <si>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</si>
  <si>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</si>
  <si>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</si>
  <si>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</si>
  <si>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</si>
  <si>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</si>
  <si>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</si>
  <si>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</si>
  <si>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</si>
  <si>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</si>
  <si>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</si>
  <si>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</si>
  <si>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</si>
  <si>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</si>
  <si>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</si>
  <si>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</si>
  <si>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</si>
  <si>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</si>
  <si>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</si>
  <si>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</si>
  <si>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</si>
  <si>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</si>
  <si>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</si>
  <si>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</si>
  <si>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</si>
  <si>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</si>
  <si>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</si>
  <si>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</si>
  <si>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</si>
  <si>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</si>
  <si>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</si>
  <si>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</si>
  <si>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</si>
  <si>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</si>
  <si>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</si>
  <si>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</si>
  <si>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</si>
  <si>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</si>
  <si>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</si>
  <si>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</si>
  <si>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</si>
  <si>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</si>
  <si>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</si>
  <si>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</si>
  <si>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</si>
  <si>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</si>
  <si>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</si>
  <si>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</si>
  <si>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</si>
  <si>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</si>
  <si>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</si>
  <si>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</si>
  <si>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</si>
  <si>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</si>
  <si>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</si>
  <si>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</si>
  <si>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</si>
  <si>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</si>
  <si>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</si>
  <si>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</si>
  <si>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</si>
  <si>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</si>
  <si>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</si>
  <si>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</si>
  <si>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</si>
  <si>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</si>
  <si>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</si>
  <si>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</si>
  <si>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</si>
  <si>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</si>
  <si>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</si>
  <si>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</si>
  <si>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</si>
  <si>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</si>
  <si>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</si>
  <si>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</si>
  <si>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</si>
  <si>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</si>
  <si>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</si>
  <si>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</si>
  <si>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</si>
  <si>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</si>
  <si>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</si>
  <si>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</si>
  <si>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</si>
  <si>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</si>
  <si>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</si>
  <si>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</si>
  <si>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</si>
  <si>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</si>
  <si>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</si>
  <si>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</si>
  <si>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</si>
  <si>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</si>
  <si>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</si>
  <si>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</si>
  <si>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</si>
  <si>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</si>
  <si>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</si>
  <si>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</si>
  <si>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</si>
  <si>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</si>
  <si>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</si>
  <si>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</si>
  <si>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</si>
  <si>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</si>
  <si>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</si>
  <si>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</si>
  <si>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</si>
  <si>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</si>
  <si>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</si>
  <si>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</si>
  <si>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</si>
  <si>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</si>
  <si>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</si>
  <si>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</si>
  <si>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</si>
  <si>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</si>
  <si>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</si>
  <si>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</si>
  <si>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</si>
  <si>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</si>
  <si>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</si>
  <si>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</si>
  <si>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</si>
  <si>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</si>
  <si>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</si>
  <si>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</si>
  <si>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</si>
  <si>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</si>
  <si>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</si>
  <si>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</si>
  <si>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</si>
  <si>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</si>
  <si>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</si>
  <si>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</si>
  <si>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</si>
  <si>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</si>
  <si>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</si>
  <si>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</si>
  <si>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</si>
  <si>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</si>
  <si>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</si>
  <si>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</si>
  <si>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</si>
  <si>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</si>
  <si>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</si>
  <si>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</si>
  <si>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</si>
  <si>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</si>
  <si>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</si>
  <si>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</si>
  <si>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</si>
  <si>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</si>
  <si>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</si>
  <si>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</si>
  <si>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</si>
  <si>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</si>
  <si>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</si>
  <si>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</si>
  <si>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</si>
  <si>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</si>
  <si>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</si>
  <si>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</si>
  <si>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</si>
  <si>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</si>
  <si>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</si>
  <si>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</si>
  <si>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</si>
  <si>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</si>
  <si>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</si>
  <si>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</si>
  <si>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</si>
  <si>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</si>
  <si>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</si>
  <si>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</si>
  <si>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</si>
  <si>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</si>
  <si>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</si>
  <si>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</si>
  <si>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</si>
  <si>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</si>
  <si>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</si>
  <si>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</si>
  <si>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</si>
  <si>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</si>
  <si>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</si>
  <si>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</si>
  <si>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</si>
  <si>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</si>
  <si>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</si>
  <si>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</si>
  <si>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</si>
  <si>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</si>
  <si>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</si>
  <si>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</si>
  <si>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</si>
  <si>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</si>
  <si>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</si>
  <si>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</si>
  <si>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</si>
  <si>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</si>
  <si>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</si>
  <si>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</si>
  <si>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</si>
  <si>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</si>
  <si>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</si>
  <si>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</si>
  <si>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</si>
  <si>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</si>
  <si>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</si>
  <si>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</si>
  <si>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</si>
  <si>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</si>
  <si>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</si>
  <si>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</si>
  <si>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</si>
  <si>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</si>
  <si>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</si>
  <si>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</si>
  <si>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</si>
  <si>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</si>
  <si>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</si>
  <si>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</si>
  <si>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</si>
  <si>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</si>
  <si>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</si>
  <si>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</si>
  <si>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</si>
  <si>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</si>
  <si>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</si>
  <si>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</si>
  <si>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</si>
  <si>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</si>
  <si>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</si>
  <si>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</si>
  <si>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</si>
  <si>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</si>
  <si>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</si>
  <si>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</si>
  <si>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</si>
  <si>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</si>
  <si>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</si>
  <si>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</si>
  <si>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</si>
  <si>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</si>
  <si>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</si>
  <si>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</si>
  <si>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</si>
  <si>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</si>
  <si>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</si>
  <si>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</si>
  <si>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</si>
  <si>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</si>
  <si>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</si>
  <si>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</si>
  <si>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</si>
  <si>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</si>
  <si>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</si>
  <si>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</si>
  <si>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</si>
  <si>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</si>
  <si>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</si>
  <si>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</si>
  <si>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</si>
  <si>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</si>
  <si>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</si>
  <si>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</si>
  <si>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</si>
  <si>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</si>
  <si>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</si>
  <si>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</si>
  <si>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</si>
  <si>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</si>
  <si>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</si>
  <si>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</si>
  <si>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</si>
  <si>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</si>
  <si>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</si>
  <si>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</si>
  <si>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</si>
  <si>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</si>
  <si>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</si>
  <si>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</si>
  <si>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</si>
  <si>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</si>
  <si>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</si>
  <si>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</si>
  <si>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</si>
  <si>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</si>
  <si>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</si>
  <si>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</si>
  <si>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</si>
  <si>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</si>
  <si>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</si>
  <si>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</si>
  <si>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</si>
  <si>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</si>
  <si>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</si>
  <si>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</si>
  <si>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</si>
  <si>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</si>
  <si>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</si>
  <si>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</si>
  <si>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</si>
  <si>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</si>
  <si>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</si>
  <si>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</si>
  <si>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</si>
  <si>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</si>
  <si>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</si>
  <si>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</si>
  <si>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</si>
  <si>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</si>
  <si>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</si>
  <si>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</si>
  <si>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</si>
  <si>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</si>
  <si>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</si>
  <si>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</si>
  <si>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</si>
  <si>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</si>
  <si>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</si>
  <si>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</si>
  <si>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</si>
  <si>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</si>
  <si>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</si>
  <si>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</si>
  <si>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</si>
  <si>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</si>
  <si>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</si>
  <si>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</si>
  <si>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</si>
  <si>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</si>
  <si>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</si>
  <si>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</si>
  <si>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</si>
  <si>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</si>
  <si>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</si>
  <si>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</si>
  <si>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</si>
  <si>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</si>
  <si>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</si>
  <si>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</si>
  <si>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</si>
  <si>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</si>
  <si>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</si>
  <si>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</si>
  <si>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</si>
  <si>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</si>
  <si>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</si>
  <si>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</si>
  <si>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</si>
  <si>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</si>
  <si>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</si>
  <si>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</si>
  <si>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</si>
  <si>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</si>
  <si>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</si>
  <si>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</si>
  <si>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</si>
  <si>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</si>
  <si>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</si>
  <si>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</si>
  <si>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</si>
  <si>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</si>
  <si>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</si>
  <si>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</si>
  <si>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</si>
  <si>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</si>
  <si>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</si>
  <si>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</si>
  <si>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</si>
  <si>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</si>
  <si>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</si>
  <si>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</si>
  <si>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</si>
  <si>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</si>
  <si>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</si>
  <si>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</si>
  <si>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</si>
  <si>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</si>
  <si>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</si>
  <si>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</si>
  <si>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</si>
  <si>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</si>
  <si>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</si>
  <si>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</si>
  <si>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</si>
  <si>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</si>
  <si>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</si>
  <si>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</si>
  <si>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</si>
  <si>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</si>
  <si>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</si>
  <si>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</si>
  <si>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</si>
  <si>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</si>
  <si>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</si>
  <si>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</si>
  <si>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</si>
  <si>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</si>
  <si>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</si>
  <si>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</si>
  <si>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</si>
  <si>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</si>
  <si>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</si>
  <si>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</si>
  <si>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</si>
  <si>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</si>
  <si>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</si>
  <si>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</si>
  <si>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</si>
  <si>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</si>
  <si>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</si>
  <si>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</si>
  <si>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</si>
  <si>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</si>
  <si>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</si>
  <si>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</si>
  <si>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</si>
  <si>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</si>
  <si>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</si>
  <si>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</si>
  <si>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</si>
  <si>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</si>
  <si>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</si>
  <si>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</si>
  <si>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</si>
  <si>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</si>
  <si>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</si>
  <si>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</si>
  <si>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</si>
  <si>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</si>
  <si>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</si>
  <si>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</si>
  <si>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</si>
  <si>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</si>
  <si>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</si>
  <si>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</si>
  <si>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</si>
  <si>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</si>
  <si>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</si>
  <si>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</si>
  <si>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</si>
  <si>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</si>
  <si>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</si>
  <si>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</si>
  <si>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</si>
  <si>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</si>
  <si>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</si>
  <si>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</si>
  <si>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</si>
  <si>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</si>
  <si>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</si>
  <si>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</si>
  <si>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</si>
  <si>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</si>
  <si>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</si>
  <si>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</si>
  <si>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</si>
  <si>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</si>
  <si>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</si>
  <si>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</si>
  <si>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</si>
  <si>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</si>
  <si>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</si>
  <si>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</si>
  <si>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</si>
  <si>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</si>
  <si>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</si>
  <si>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</si>
  <si>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</si>
  <si>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</si>
  <si>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</si>
  <si>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</si>
  <si>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</si>
  <si>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</si>
  <si>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</si>
  <si>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</si>
  <si>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</si>
  <si>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</si>
  <si>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</si>
  <si>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</si>
  <si>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</si>
  <si>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</si>
  <si>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</si>
  <si>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</si>
  <si>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</si>
  <si>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</si>
  <si>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</si>
  <si>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</si>
  <si>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</si>
  <si>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</si>
  <si>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</si>
  <si>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</si>
  <si>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</si>
  <si>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</si>
  <si>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</si>
  <si>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</si>
  <si>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</si>
  <si>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</si>
  <si>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</si>
  <si>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</si>
  <si>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</si>
  <si>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</si>
  <si>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</si>
  <si>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</si>
  <si>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</si>
  <si>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</si>
  <si>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</si>
  <si>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</si>
  <si>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</si>
  <si>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</si>
  <si>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</si>
  <si>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</si>
  <si>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</si>
  <si>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</si>
  <si>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</si>
  <si>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</si>
  <si>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</si>
  <si>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</si>
  <si>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</si>
  <si>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</si>
  <si>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</si>
  <si>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</si>
  <si>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</si>
  <si>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</si>
  <si>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</si>
  <si>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</si>
  <si>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</si>
  <si>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</si>
  <si>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</si>
  <si>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</si>
  <si>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</si>
  <si>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</si>
  <si>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</si>
  <si>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</si>
  <si>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</si>
  <si>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</si>
  <si>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</si>
  <si>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</si>
  <si>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</si>
  <si>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</si>
  <si>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</si>
  <si>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</si>
  <si>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</si>
  <si>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</si>
  <si>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</si>
  <si>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</si>
  <si>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</si>
  <si>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</si>
  <si>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</si>
  <si>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</si>
  <si>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</si>
  <si>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</si>
  <si>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</si>
  <si>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</si>
  <si>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</si>
  <si>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</si>
  <si>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</si>
  <si>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</si>
  <si>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</si>
  <si>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</si>
  <si>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</si>
  <si>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</si>
  <si>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</si>
  <si>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</si>
  <si>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</si>
  <si>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</si>
  <si>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</si>
  <si>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</si>
  <si>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</si>
  <si>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</si>
  <si>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</si>
  <si>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</si>
  <si>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</si>
  <si>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</si>
  <si>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</si>
  <si>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</si>
  <si>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</si>
  <si>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</si>
  <si>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</si>
  <si>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</si>
  <si>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</si>
  <si>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</si>
  <si>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</si>
  <si>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</si>
  <si>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</si>
  <si>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</si>
  <si>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</si>
  <si>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</si>
  <si>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</si>
  <si>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</si>
  <si>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</si>
  <si>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</si>
  <si>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</si>
  <si>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</si>
  <si>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</si>
  <si>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</si>
  <si>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</si>
  <si>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</si>
  <si>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</si>
  <si>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</si>
  <si>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</si>
  <si>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</si>
  <si>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</si>
  <si>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</si>
  <si>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</si>
  <si>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</si>
  <si>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</si>
  <si>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</si>
  <si>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</si>
  <si>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</si>
  <si>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</si>
  <si>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</si>
  <si>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</si>
  <si>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</si>
  <si>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</si>
  <si>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</si>
  <si>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</si>
  <si>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</si>
  <si>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</si>
  <si>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</si>
  <si>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</si>
  <si>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</si>
  <si>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</si>
  <si>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</si>
  <si>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</si>
  <si>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</si>
  <si>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</si>
  <si>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</si>
  <si>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</si>
  <si>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</si>
  <si>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</si>
  <si>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</si>
  <si>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</si>
  <si>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</si>
  <si>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</si>
  <si>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</si>
  <si>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</si>
  <si>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</si>
  <si>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</si>
  <si>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</si>
  <si>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</si>
  <si>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</si>
  <si>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</si>
  <si>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</si>
  <si>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</si>
  <si>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</si>
  <si>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</si>
  <si>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</si>
  <si>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</si>
  <si>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</si>
  <si>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</si>
  <si>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</si>
  <si>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</si>
  <si>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</si>
  <si>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</si>
  <si>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</si>
  <si>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</si>
  <si>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</si>
  <si>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</si>
  <si>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</si>
  <si>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</si>
  <si>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</si>
  <si>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</si>
  <si>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</si>
  <si>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</si>
  <si>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</si>
  <si>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</si>
  <si>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</si>
  <si>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</si>
  <si>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</si>
  <si>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</si>
  <si>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</si>
  <si>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</si>
  <si>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</si>
  <si>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</si>
  <si>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</si>
  <si>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</si>
  <si>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</si>
  <si>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</si>
  <si>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</si>
  <si>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</si>
  <si>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</si>
  <si>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</si>
  <si>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</si>
  <si>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</si>
  <si>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</si>
  <si>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</si>
  <si>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</si>
  <si>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</si>
  <si>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</si>
  <si>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</si>
  <si>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</si>
  <si>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</si>
  <si>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</si>
  <si>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</si>
  <si>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</si>
  <si>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</si>
  <si>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</si>
  <si>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</si>
  <si>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</si>
  <si>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</si>
  <si>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</si>
  <si>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</si>
  <si>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</si>
  <si>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</si>
  <si>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</si>
  <si>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</si>
  <si>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</si>
  <si>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</si>
  <si>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</si>
  <si>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</si>
  <si>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</si>
  <si>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</si>
  <si>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</si>
  <si>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</si>
  <si>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</si>
  <si>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</si>
  <si>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</si>
  <si>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</si>
  <si>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</si>
  <si>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</si>
  <si>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</si>
  <si>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</si>
  <si>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</si>
  <si>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</si>
  <si>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</si>
  <si>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</si>
  <si>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</si>
  <si>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</si>
  <si>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</si>
  <si>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</si>
  <si>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</si>
  <si>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</si>
  <si>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</si>
  <si>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</si>
  <si>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</si>
  <si>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</si>
  <si>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</si>
  <si>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</si>
  <si>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</si>
  <si>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</si>
  <si>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</si>
  <si>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</si>
  <si>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</si>
  <si>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</si>
  <si>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</si>
  <si>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</si>
  <si>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</si>
  <si>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</si>
  <si>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</si>
  <si>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</si>
  <si>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</si>
  <si>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</si>
  <si>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</si>
  <si>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</si>
  <si>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</si>
  <si>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</si>
  <si>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</si>
  <si>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</si>
  <si>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</si>
  <si>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</si>
  <si>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</si>
  <si>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</si>
  <si>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</si>
  <si>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</si>
  <si>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</si>
  <si>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</si>
  <si>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</si>
  <si>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</si>
  <si>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</si>
  <si>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</si>
  <si>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</si>
  <si>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</si>
  <si>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</si>
  <si>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</si>
  <si>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</si>
  <si>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</si>
  <si>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</si>
  <si>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</si>
  <si>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</si>
  <si>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</si>
  <si>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</si>
  <si>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</si>
  <si>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</si>
  <si>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</si>
  <si>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</si>
  <si>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</si>
  <si>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</si>
  <si>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</si>
  <si>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</si>
  <si>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</si>
  <si>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</si>
  <si>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</si>
  <si>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</si>
  <si>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</si>
  <si>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</si>
  <si>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</si>
  <si>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</si>
  <si>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</si>
  <si>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</si>
  <si>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</si>
  <si>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</si>
  <si>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</si>
  <si>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</si>
  <si>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</si>
  <si>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</si>
  <si>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</si>
  <si>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</si>
  <si>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</si>
  <si>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</si>
  <si>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</si>
  <si>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</si>
  <si>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</si>
  <si>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</si>
  <si>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</si>
  <si>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</si>
  <si>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</si>
  <si>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</si>
  <si>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</si>
  <si>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</si>
  <si>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</si>
  <si>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</si>
  <si>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</si>
  <si>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</si>
  <si>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</si>
  <si>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</si>
  <si>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</si>
  <si>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</si>
  <si>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</si>
  <si>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</si>
  <si>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</si>
  <si>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</si>
  <si>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</si>
  <si>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</si>
  <si>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</si>
  <si>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</si>
  <si>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</si>
  <si>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</si>
  <si>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</si>
  <si>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</si>
  <si>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</si>
  <si>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</si>
  <si>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</si>
  <si>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</si>
  <si>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</si>
  <si>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</si>
  <si>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</si>
  <si>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</si>
  <si>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</si>
  <si>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</si>
  <si>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</si>
  <si>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</si>
  <si>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</si>
  <si>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</si>
  <si>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</si>
  <si>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</si>
  <si>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</si>
  <si>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</si>
  <si>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</si>
  <si>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</si>
  <si>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</si>
  <si>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</si>
  <si>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</si>
  <si>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</si>
  <si>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</si>
  <si>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</si>
  <si>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</si>
  <si>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</si>
  <si>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</si>
  <si>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</si>
  <si>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</si>
  <si>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</si>
  <si>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</si>
  <si>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</si>
  <si>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</si>
  <si>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</si>
  <si>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</si>
  <si>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</si>
  <si>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</si>
  <si>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</si>
  <si>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</si>
  <si>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</si>
  <si>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</si>
  <si>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</si>
  <si>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</si>
  <si>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</si>
  <si>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</si>
  <si>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</si>
  <si>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</si>
  <si>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</si>
  <si>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</si>
  <si>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</si>
  <si>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</si>
  <si>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</si>
  <si>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</si>
  <si>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</si>
  <si>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</si>
  <si>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</si>
  <si>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</si>
  <si>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</si>
  <si>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</si>
  <si>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</si>
  <si>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</si>
  <si>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</si>
  <si>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</si>
  <si>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</si>
  <si>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</si>
  <si>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</si>
  <si>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</si>
  <si>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</si>
  <si>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</si>
  <si>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</si>
  <si>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</si>
  <si>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</si>
  <si>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</si>
  <si>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</si>
  <si>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</si>
  <si>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</si>
  <si>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</si>
  <si>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</si>
  <si>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</si>
  <si>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</si>
  <si>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</si>
  <si>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</si>
  <si>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</si>
  <si>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</si>
  <si>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</si>
  <si>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</si>
  <si>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</si>
  <si>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</si>
  <si>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</si>
  <si>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</si>
  <si>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</si>
  <si>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</si>
  <si>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</si>
  <si>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</si>
  <si>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</si>
  <si>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</si>
  <si>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</si>
  <si>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</si>
  <si>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</si>
  <si>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</si>
  <si>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</si>
  <si>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</si>
  <si>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</si>
  <si>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</si>
  <si>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</si>
  <si>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</si>
  <si>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</si>
  <si>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</si>
  <si>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</si>
  <si>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</si>
  <si>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</si>
  <si>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</si>
  <si>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</si>
  <si>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</si>
  <si>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</si>
  <si>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</si>
  <si>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</si>
  <si>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</si>
  <si>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</si>
  <si>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</si>
  <si>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</si>
  <si>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</si>
  <si>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</si>
  <si>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</si>
  <si>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</si>
  <si>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</si>
  <si>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</si>
  <si>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</si>
  <si>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</si>
  <si>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</si>
  <si>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</si>
  <si>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</si>
  <si>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</si>
  <si>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</si>
  <si>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</si>
  <si>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</si>
  <si>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</si>
  <si>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</si>
  <si>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</si>
  <si>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</si>
  <si>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</si>
  <si>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</si>
  <si>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</si>
  <si>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</si>
  <si>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</si>
  <si>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</si>
  <si>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</si>
  <si>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</si>
  <si>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</si>
  <si>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</si>
  <si>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</si>
  <si>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</si>
  <si>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</si>
  <si>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</si>
  <si>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</si>
  <si>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</si>
  <si>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</si>
  <si>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</si>
  <si>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</si>
  <si>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</si>
  <si>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</si>
  <si>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</si>
  <si>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</si>
  <si>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</si>
  <si>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</si>
  <si>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</si>
  <si>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</si>
  <si>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</si>
  <si>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</si>
  <si>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</si>
  <si>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</si>
  <si>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</si>
  <si>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</si>
  <si>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</si>
  <si>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</si>
  <si>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</si>
  <si>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</si>
  <si>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</si>
  <si>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</si>
  <si>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</si>
  <si>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</si>
  <si>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</si>
  <si>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</si>
  <si>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</si>
  <si>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</si>
  <si>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</si>
  <si>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</si>
  <si>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</si>
  <si>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</si>
  <si>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</si>
  <si>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</si>
  <si>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</si>
  <si>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</si>
  <si>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</si>
  <si>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</si>
  <si>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</si>
  <si>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</si>
  <si>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</si>
  <si>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</si>
  <si>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</si>
  <si>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</si>
  <si>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</si>
  <si>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</si>
  <si>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</si>
  <si>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</si>
  <si>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</si>
  <si>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</si>
  <si>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</si>
  <si>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</si>
  <si>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</si>
  <si>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</si>
  <si>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</si>
  <si>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</si>
  <si>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</si>
  <si>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</si>
  <si>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</si>
  <si>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</si>
  <si>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</si>
  <si>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</si>
  <si>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</si>
  <si>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</si>
  <si>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</si>
  <si>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</si>
  <si>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</si>
  <si>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</si>
  <si>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</si>
  <si>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</si>
  <si>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</si>
  <si>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</si>
  <si>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</si>
  <si>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</si>
  <si>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</si>
  <si>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</si>
  <si>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</si>
  <si>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</si>
  <si>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</si>
  <si>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</si>
  <si>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</si>
  <si>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</si>
  <si>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</si>
  <si>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</si>
  <si>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</si>
  <si>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</si>
  <si>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</si>
  <si>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</si>
  <si>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</si>
  <si>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</si>
  <si>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</si>
  <si>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</si>
  <si>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</si>
  <si>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</si>
  <si>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</si>
  <si>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</si>
  <si>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</si>
  <si>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</si>
  <si>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</si>
  <si>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</si>
  <si>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</si>
  <si>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</si>
  <si>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</si>
  <si>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</si>
  <si>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</si>
  <si>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</si>
  <si>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</si>
  <si>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</si>
  <si>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</si>
  <si>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</si>
  <si>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</si>
  <si>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</si>
  <si>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</si>
  <si>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</si>
  <si>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</si>
  <si>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</si>
  <si>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</si>
  <si>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</si>
  <si>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</si>
  <si>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</si>
  <si>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</si>
  <si>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</si>
  <si>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</si>
  <si>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</si>
  <si>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</si>
  <si>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</si>
  <si>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</si>
  <si>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</si>
  <si>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</si>
  <si>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</si>
  <si>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</si>
  <si>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</si>
  <si>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</si>
  <si>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</si>
  <si>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</si>
  <si>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</si>
  <si>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</si>
  <si>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</si>
  <si>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</si>
  <si>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</si>
  <si>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</si>
  <si>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</si>
  <si>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</si>
  <si>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</si>
  <si>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</si>
  <si>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</si>
  <si>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</si>
  <si>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</si>
  <si>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</si>
  <si>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</si>
  <si>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</si>
  <si>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</si>
  <si>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</si>
  <si>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</si>
  <si>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</si>
  <si>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</si>
  <si>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</si>
  <si>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</si>
  <si>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</si>
  <si>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</si>
  <si>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</si>
  <si>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</si>
  <si>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</si>
  <si>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</si>
  <si>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</si>
  <si>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</si>
  <si>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</si>
  <si>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</si>
  <si>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</si>
  <si>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</si>
  <si>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</si>
  <si>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</si>
  <si>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</si>
  <si>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</si>
  <si>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</si>
  <si>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</si>
  <si>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</si>
  <si>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</si>
  <si>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</si>
  <si>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</si>
  <si>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</si>
  <si>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</si>
  <si>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</si>
  <si>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</si>
  <si>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</si>
  <si>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</si>
  <si>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</si>
  <si>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</si>
  <si>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</si>
  <si>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</si>
  <si>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</si>
  <si>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</si>
  <si>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</si>
  <si>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</si>
  <si>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</si>
  <si>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</si>
  <si>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</si>
  <si>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</si>
  <si>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</si>
  <si>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</si>
  <si>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</si>
  <si>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</si>
  <si>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</si>
  <si>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</si>
  <si>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</si>
  <si>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</si>
  <si>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</si>
  <si>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</si>
  <si>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</si>
  <si>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</si>
  <si>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</si>
  <si>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</si>
  <si>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</si>
  <si>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</si>
  <si>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</si>
  <si>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</si>
  <si>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</si>
  <si>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</si>
  <si>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</si>
  <si>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</si>
  <si>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</si>
  <si>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</si>
  <si>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</si>
  <si>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</si>
  <si>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</si>
  <si>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</si>
  <si>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</si>
  <si>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</si>
  <si>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</si>
  <si>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</si>
  <si>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</si>
  <si>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</si>
  <si>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</si>
  <si>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</si>
  <si>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</si>
  <si>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</si>
  <si>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</si>
  <si>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</si>
  <si>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</si>
  <si>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</si>
  <si>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</si>
  <si>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</si>
  <si>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</si>
  <si>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</si>
  <si>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</si>
  <si>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</si>
  <si>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</si>
  <si>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</si>
  <si>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</si>
  <si>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</si>
  <si>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</si>
  <si>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</si>
  <si>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</si>
  <si>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</si>
  <si>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</si>
  <si>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</si>
  <si>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</si>
  <si>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</si>
  <si>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</si>
  <si>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</si>
  <si>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</si>
  <si>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</si>
  <si>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</si>
  <si>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</si>
  <si>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</si>
  <si>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</si>
  <si>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</si>
  <si>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</si>
  <si>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</si>
  <si>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</si>
  <si>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</si>
  <si>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</si>
  <si>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</si>
  <si>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</si>
  <si>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</si>
  <si>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</si>
  <si>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</si>
  <si>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</si>
  <si>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</si>
  <si>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</si>
  <si>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</si>
  <si>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</si>
  <si>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</si>
  <si>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</si>
  <si>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</si>
  <si>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</si>
  <si>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</si>
  <si>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</si>
  <si>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</si>
  <si>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</si>
  <si>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</si>
  <si>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</si>
  <si>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</si>
  <si>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</si>
  <si>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</si>
  <si>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</si>
  <si>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</si>
  <si>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</si>
  <si>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</si>
  <si>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</si>
  <si>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</si>
  <si>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</si>
  <si>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</si>
  <si>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</si>
  <si>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</si>
  <si>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</si>
  <si>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</si>
  <si>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</si>
  <si>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</si>
  <si>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</si>
  <si>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</si>
  <si>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</si>
  <si>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</si>
  <si>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</si>
  <si>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</si>
  <si>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</si>
  <si>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</si>
  <si>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</si>
  <si>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</si>
  <si>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</si>
  <si>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</si>
  <si>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</si>
  <si>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</si>
  <si>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</si>
  <si>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</si>
  <si>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</si>
  <si>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</si>
  <si>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</si>
  <si>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</si>
  <si>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</si>
  <si>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</si>
  <si>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</si>
  <si>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</si>
  <si>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</si>
  <si>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</si>
  <si>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</si>
  <si>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</si>
  <si>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</si>
  <si>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</si>
  <si>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</si>
  <si>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</si>
  <si>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</si>
  <si>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</si>
  <si>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</si>
  <si>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</si>
  <si>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</si>
  <si>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</si>
  <si>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</si>
  <si>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</si>
  <si>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</si>
  <si>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</si>
  <si>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</si>
  <si>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</si>
  <si>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</si>
  <si>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</si>
  <si>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</si>
  <si>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</si>
  <si>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</si>
  <si>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</si>
  <si>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</si>
  <si>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</si>
  <si>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</si>
  <si>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</si>
  <si>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</si>
  <si>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</si>
  <si>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</si>
  <si>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</si>
  <si>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</si>
  <si>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</si>
  <si>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</si>
  <si>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</si>
  <si>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</si>
  <si>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</si>
  <si>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</si>
  <si>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</si>
  <si>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</si>
  <si>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</si>
  <si>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</si>
  <si>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</si>
  <si>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</si>
  <si>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</si>
  <si>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</si>
  <si>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</si>
  <si>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</si>
  <si>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</si>
  <si>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</si>
  <si>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</si>
  <si>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</si>
  <si>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</si>
  <si>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</si>
  <si>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</si>
  <si>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</si>
  <si>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</si>
  <si>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</si>
  <si>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</si>
  <si>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</si>
  <si>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</si>
  <si>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</si>
  <si>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</si>
  <si>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</si>
  <si>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</si>
  <si>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</si>
  <si>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</si>
  <si>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</si>
  <si>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</si>
  <si>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</si>
  <si>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</si>
  <si>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</si>
  <si>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</si>
  <si>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</si>
  <si>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</si>
  <si>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</si>
  <si>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</si>
  <si>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</si>
  <si>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</si>
  <si>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</si>
  <si>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</si>
  <si>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</si>
  <si>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</si>
  <si>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</si>
  <si>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</si>
  <si>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</si>
  <si>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</si>
  <si>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</si>
  <si>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</si>
  <si>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</si>
  <si>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</si>
  <si>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</si>
  <si>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</si>
  <si>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</si>
  <si>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</si>
  <si>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</si>
  <si>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</si>
  <si>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</si>
  <si>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</si>
  <si>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</si>
  <si>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</si>
  <si>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</si>
  <si>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</si>
  <si>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</si>
  <si>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</si>
  <si>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</si>
  <si>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</si>
  <si>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</si>
  <si>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</si>
  <si>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</si>
  <si>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</si>
  <si>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</si>
  <si>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</si>
  <si>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</si>
  <si>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</si>
  <si>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</si>
  <si>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</si>
  <si>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</si>
  <si>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</si>
  <si>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</si>
  <si>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</si>
  <si>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</si>
  <si>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</si>
  <si>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</si>
  <si>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</si>
  <si>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</si>
  <si>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</si>
  <si>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</si>
  <si>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</si>
  <si>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</si>
  <si>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</si>
  <si>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</si>
  <si>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</si>
  <si>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</si>
  <si>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</si>
  <si>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</si>
  <si>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</si>
  <si>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</si>
  <si>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</si>
  <si>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</si>
  <si>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</si>
  <si>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</si>
  <si>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</si>
  <si>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</si>
  <si>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</si>
  <si>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</si>
  <si>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</si>
  <si>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</si>
  <si>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</si>
  <si>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</si>
  <si>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</si>
  <si>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</si>
  <si>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</si>
  <si>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</si>
  <si>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</si>
  <si>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</si>
  <si>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</si>
  <si>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</si>
  <si>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</si>
  <si>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</si>
  <si>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</si>
  <si>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</si>
  <si>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</si>
  <si>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</si>
  <si>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</si>
  <si>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</si>
  <si>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</si>
  <si>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</si>
  <si>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</si>
  <si>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</si>
  <si>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</si>
  <si>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</si>
  <si>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</si>
  <si>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</si>
  <si>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</si>
  <si>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</si>
  <si>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</si>
  <si>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</si>
  <si>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</si>
  <si>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</si>
  <si>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</si>
  <si>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</si>
  <si>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</si>
  <si>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</si>
  <si>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</si>
  <si>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</si>
  <si>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</si>
  <si>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</si>
  <si>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</si>
  <si>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</si>
  <si>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</si>
  <si>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</si>
  <si>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</si>
  <si>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</si>
  <si>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</si>
  <si>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</si>
  <si>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</si>
  <si>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</si>
  <si>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</si>
  <si>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</si>
  <si>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</si>
  <si>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</si>
  <si>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</si>
  <si>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</si>
  <si>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</si>
  <si>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</si>
  <si>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</si>
  <si>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</si>
  <si>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</si>
  <si>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</si>
  <si>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</si>
  <si>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</si>
  <si>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</si>
  <si>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</si>
  <si>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</si>
  <si>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</si>
  <si>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</si>
  <si>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</si>
  <si>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</si>
  <si>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</si>
  <si>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</si>
  <si>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</si>
  <si>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</si>
  <si>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</si>
  <si>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</si>
  <si>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</si>
  <si>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</si>
  <si>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</si>
  <si>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</si>
  <si>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</si>
  <si>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</si>
  <si>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</si>
  <si>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</si>
  <si>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</si>
  <si>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</si>
  <si>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</si>
  <si>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</si>
  <si>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</si>
  <si>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</si>
  <si>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</si>
  <si>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</si>
  <si>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</si>
  <si>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</si>
  <si>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</si>
  <si>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</si>
  <si>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</si>
  <si>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</si>
  <si>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</si>
  <si>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</si>
  <si>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</si>
  <si>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</si>
  <si>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</si>
  <si>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</si>
  <si>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</si>
  <si>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</si>
  <si>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</si>
  <si>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</si>
  <si>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</si>
  <si>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</si>
  <si>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</si>
  <si>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</si>
  <si>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</si>
  <si>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</si>
  <si>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</si>
  <si>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</si>
  <si>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</si>
  <si>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</si>
  <si>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</si>
  <si>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</si>
  <si>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</si>
  <si>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</si>
  <si>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</si>
  <si>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</si>
  <si>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</si>
  <si>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</si>
  <si>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</si>
  <si>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</si>
  <si>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</si>
  <si>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</si>
  <si>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</si>
  <si>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</si>
  <si>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</si>
  <si>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</si>
  <si>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</si>
  <si>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</si>
  <si>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</si>
  <si>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</si>
  <si>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</si>
  <si>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</si>
  <si>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</si>
  <si>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</si>
  <si>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</si>
  <si>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</si>
  <si>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</si>
  <si>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</si>
  <si>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</si>
  <si>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</si>
  <si>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</si>
  <si>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</si>
  <si>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</si>
  <si>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</si>
  <si>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</si>
  <si>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</si>
  <si>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</si>
  <si>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</si>
  <si>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</si>
  <si>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</si>
  <si>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</si>
  <si>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</si>
  <si>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</si>
  <si>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</si>
  <si>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</si>
  <si>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</si>
  <si>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</si>
  <si>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</si>
  <si>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</si>
  <si>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</si>
  <si>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</si>
  <si>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</si>
  <si>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</si>
  <si>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</si>
  <si>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</si>
  <si>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</si>
  <si>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</si>
  <si>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</si>
  <si>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</si>
  <si>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</si>
  <si>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</si>
  <si>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</si>
  <si>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</si>
  <si>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</si>
  <si>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</si>
  <si>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</si>
  <si>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</si>
  <si>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</si>
  <si>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</si>
  <si>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</si>
  <si>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</si>
  <si>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</si>
  <si>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</si>
  <si>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</si>
  <si>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</si>
  <si>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</si>
  <si>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</si>
  <si>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</si>
  <si>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</si>
  <si>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</si>
  <si>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</si>
  <si>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</si>
  <si>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</si>
  <si>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</si>
  <si>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</si>
  <si>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</si>
  <si>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</si>
  <si>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</si>
  <si>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</si>
  <si>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</si>
  <si>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</si>
  <si>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</si>
  <si>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</si>
  <si>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</si>
  <si>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</si>
  <si>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</si>
  <si>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</si>
  <si>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</si>
  <si>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</si>
  <si>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</si>
  <si>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</si>
  <si>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</si>
  <si>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</si>
  <si>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</si>
  <si>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</si>
  <si>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</si>
  <si>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</si>
  <si>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</si>
  <si>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</si>
  <si>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</si>
  <si>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</si>
  <si>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</si>
  <si>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</si>
  <si>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</si>
  <si>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</si>
  <si>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</si>
  <si>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</si>
  <si>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</si>
  <si>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</si>
  <si>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</si>
  <si>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</si>
  <si>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</si>
  <si>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</si>
  <si>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</si>
  <si>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</si>
  <si>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</si>
  <si>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</si>
  <si>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</si>
  <si>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</si>
  <si>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</si>
  <si>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</si>
  <si>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</si>
  <si>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</si>
  <si>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</si>
  <si>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</si>
  <si>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</si>
  <si>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</si>
  <si>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</si>
  <si>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</si>
  <si>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</si>
  <si>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</si>
  <si>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</si>
  <si>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</si>
  <si>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</si>
  <si>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</si>
  <si>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</si>
  <si>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</si>
  <si>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</si>
  <si>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</si>
  <si>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</si>
  <si>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</si>
  <si>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</si>
  <si>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</si>
  <si>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</si>
  <si>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</si>
  <si>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</si>
  <si>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</si>
  <si>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</si>
  <si>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</si>
  <si>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</si>
  <si>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</si>
  <si>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</si>
  <si>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</si>
  <si>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</si>
  <si>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</si>
  <si>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</si>
  <si>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</si>
  <si>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</si>
  <si>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</si>
  <si>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</si>
  <si>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</si>
  <si>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</si>
  <si>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</si>
  <si>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</si>
  <si>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</si>
  <si>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</si>
  <si>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</si>
  <si>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</si>
  <si>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</si>
  <si>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</si>
  <si>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</si>
  <si>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</si>
  <si>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</si>
  <si>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</si>
  <si>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</si>
  <si>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</si>
  <si>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</si>
  <si>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</si>
  <si>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</si>
  <si>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</si>
  <si>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</si>
  <si>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</si>
  <si>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</si>
  <si>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</si>
  <si>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</si>
  <si>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</si>
  <si>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</si>
  <si>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</si>
  <si>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</si>
  <si>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</si>
  <si>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</si>
  <si>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</si>
  <si>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</si>
  <si>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</si>
  <si>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</si>
  <si>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</si>
  <si>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其他：</t>
  </si>
  <si>
    <t>河北省</t>
    <phoneticPr fontId="6" type="noConversion"/>
  </si>
  <si>
    <t>企业</t>
  </si>
  <si>
    <t>抵押</t>
  </si>
  <si>
    <t>房地产抵押价值</t>
  </si>
  <si>
    <r>
      <t>1#</t>
    </r>
    <r>
      <rPr>
        <sz val="10"/>
        <color indexed="8"/>
        <rFont val="宋体"/>
        <family val="3"/>
        <charset val="134"/>
      </rPr>
      <t>传达室</t>
    </r>
    <phoneticPr fontId="3" type="noConversion"/>
  </si>
  <si>
    <r>
      <t>2#</t>
    </r>
    <r>
      <rPr>
        <sz val="10"/>
        <color indexed="8"/>
        <rFont val="宋体"/>
        <family val="3"/>
        <charset val="134"/>
      </rPr>
      <t>办公楼</t>
    </r>
    <phoneticPr fontId="3" type="noConversion"/>
  </si>
  <si>
    <r>
      <t>3#</t>
    </r>
    <r>
      <rPr>
        <sz val="10"/>
        <color indexed="8"/>
        <rFont val="宋体"/>
        <family val="3"/>
        <charset val="134"/>
      </rPr>
      <t>车间</t>
    </r>
    <phoneticPr fontId="3" type="noConversion"/>
  </si>
  <si>
    <t>是</t>
  </si>
  <si>
    <r>
      <t>1</t>
    </r>
    <r>
      <rPr>
        <sz val="10"/>
        <color indexed="8"/>
        <rFont val="宋体"/>
        <family val="3"/>
        <charset val="134"/>
      </rPr>
      <t>层</t>
    </r>
    <phoneticPr fontId="3" type="noConversion"/>
  </si>
  <si>
    <r>
      <t>1-2</t>
    </r>
    <r>
      <rPr>
        <sz val="10"/>
        <color indexed="8"/>
        <rFont val="宋体"/>
        <family val="3"/>
        <charset val="134"/>
      </rPr>
      <t>层</t>
    </r>
    <phoneticPr fontId="3" type="noConversion"/>
  </si>
  <si>
    <t>地上</t>
  </si>
  <si>
    <t>办公楼</t>
  </si>
  <si>
    <t>工业</t>
    <phoneticPr fontId="7" type="noConversion"/>
  </si>
  <si>
    <t>钢结构</t>
    <phoneticPr fontId="3" type="noConversion"/>
  </si>
  <si>
    <t>成新度</t>
  </si>
  <si>
    <t>收益法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</si>
  <si>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</si>
  <si>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</si>
  <si>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</si>
  <si>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</si>
  <si>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</si>
  <si>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</si>
  <si>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</si>
  <si>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</si>
  <si>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</si>
  <si>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</si>
  <si>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</si>
  <si>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</si>
  <si>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</si>
  <si>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</si>
  <si>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</si>
  <si>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</si>
  <si>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李旗庄一街北侧,工园路东侧</t>
  </si>
  <si>
    <t>GK2023-03</t>
  </si>
  <si>
    <t xml:space="preserve"> 三河市  </t>
  </si>
  <si>
    <t xml:space="preserve"> 已成交  </t>
  </si>
  <si>
    <t xml:space="preserve"> 大于或等于1.2并且小于或等于2  </t>
  </si>
  <si>
    <t xml:space="preserve"> 工业用地  </t>
  </si>
  <si>
    <t>2023-02-20</t>
  </si>
  <si>
    <t xml:space="preserve"> 三河市星威科技有限公司  </t>
  </si>
  <si>
    <t>李旗庄三街南侧,工园路东侧</t>
  </si>
  <si>
    <t>GK2023-01</t>
  </si>
  <si>
    <t xml:space="preserve"> 三河市钦恩博琦智能科技发展有限公司  </t>
  </si>
  <si>
    <t>蒋谭线南侧、密三路西侧</t>
  </si>
  <si>
    <t>GK2022-17</t>
  </si>
  <si>
    <t xml:space="preserve"> 大于或等于1并且小于或等于2  </t>
  </si>
  <si>
    <t>2022-12-21</t>
  </si>
  <si>
    <t xml:space="preserve"> 三河市桂宇星体育用品有限公司  </t>
  </si>
  <si>
    <t>永宁街北侧、杜官屯路西侧</t>
  </si>
  <si>
    <t>GK2022-20</t>
  </si>
  <si>
    <t xml:space="preserve"> 廊坊上元数智产业园有限公司  </t>
  </si>
  <si>
    <t>科萃街南侧、杜官屯路东侧</t>
  </si>
  <si>
    <t>GK2022-23</t>
  </si>
  <si>
    <t xml:space="preserve"> 三河市岩峰高新技术产业园有限公司  </t>
  </si>
  <si>
    <t>永宁街南侧、李中路东侧</t>
  </si>
  <si>
    <t>GK2022-22</t>
  </si>
  <si>
    <t xml:space="preserve"> 三河市宏健科技有限公司  </t>
  </si>
  <si>
    <t>永宁街北侧、李中路东侧</t>
  </si>
  <si>
    <t>GK2022-21</t>
  </si>
  <si>
    <t xml:space="preserve"> 河北宏科庆能环保设备有限公司  </t>
  </si>
  <si>
    <t>科萃街南侧、李中路东侧</t>
  </si>
  <si>
    <t>GK2022-19</t>
  </si>
  <si>
    <t xml:space="preserve"> 三河泰恩智能制造有限公司  </t>
  </si>
  <si>
    <t>贤人街南侧、神农街北侧、工园路西侧</t>
  </si>
  <si>
    <t>GK2022-06</t>
  </si>
  <si>
    <t>2022-12-05</t>
  </si>
  <si>
    <t xml:space="preserve"> 河北硅丰科技有限公司  </t>
  </si>
  <si>
    <t>京哈公路南侧、李翟路东侧</t>
  </si>
  <si>
    <t>GK2022-14</t>
  </si>
  <si>
    <t xml:space="preserve"> 大于或等于1并且小于或等于3  </t>
  </si>
  <si>
    <t xml:space="preserve"> 仓储用地  </t>
  </si>
  <si>
    <t>2022-09-23</t>
  </si>
  <si>
    <t xml:space="preserve"> 三河晟磊仓储有限公司  </t>
  </si>
  <si>
    <t>京哈公路南侧、李翟路西侧、平三铁路北侧</t>
  </si>
  <si>
    <t>GK2022-15</t>
  </si>
  <si>
    <t>北陈庄南街北侧、团结北路东侧</t>
  </si>
  <si>
    <t>GK2022-12</t>
  </si>
  <si>
    <t>2022-06-24</t>
  </si>
  <si>
    <t xml:space="preserve"> 三河同飞制冷股份有限公司  </t>
  </si>
  <si>
    <t>福源街北侧、杜官屯路西侧</t>
  </si>
  <si>
    <t>GK2022-13</t>
  </si>
  <si>
    <t xml:space="preserve"> 三河市博奥环保科技有限公司  </t>
  </si>
  <si>
    <t>新园街北侧、李中路西侧</t>
  </si>
  <si>
    <t>GK2022-11</t>
  </si>
  <si>
    <t xml:space="preserve"> 三河市天龙新型建材有限公司  </t>
  </si>
  <si>
    <t>新园街北侧、李中路东侧</t>
  </si>
  <si>
    <t>GK2022-10</t>
  </si>
  <si>
    <t xml:space="preserve"> 三河市精益机械制造有限公司  </t>
  </si>
  <si>
    <t>单位面积地价</t>
  </si>
  <si>
    <t>工业</t>
    <phoneticPr fontId="32" type="noConversion"/>
  </si>
  <si>
    <t>正常</t>
  </si>
  <si>
    <t>未包含在土地购买价格中</t>
  </si>
  <si>
    <t>部分缴纳</t>
  </si>
  <si>
    <t>已包含在土地取得成本中</t>
  </si>
  <si>
    <t>生产用房</t>
  </si>
  <si>
    <t>钢</t>
  </si>
  <si>
    <t>否</t>
  </si>
  <si>
    <t>押一</t>
  </si>
  <si>
    <t>成本法</t>
  </si>
  <si>
    <t>4#</t>
    <phoneticPr fontId="3" type="noConversion"/>
  </si>
  <si>
    <t>总价</t>
  </si>
  <si>
    <t>成本比率</t>
  </si>
  <si>
    <t>三河市燕郊开发区北外环南侧、韩国工业园小区路西侧工业项目</t>
    <phoneticPr fontId="6" type="noConversion"/>
  </si>
  <si>
    <t>较好</t>
  </si>
  <si>
    <t>一般</t>
  </si>
  <si>
    <t>七通</t>
  </si>
  <si>
    <t>规则</t>
  </si>
  <si>
    <t>规则</t>
    <phoneticPr fontId="32" type="noConversion"/>
  </si>
  <si>
    <t>五通</t>
  </si>
  <si>
    <t>五通</t>
    <phoneticPr fontId="32" type="noConversion"/>
  </si>
  <si>
    <t>较好</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</si>
</sst>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176" fontId="47" fillId="0" borderId="1" xfId="0" applyNumberFormat="1"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0" fontId="0" fillId="0" borderId="0" xfId="0" applyNumberFormat="1" applyAlignment="1"/>
    <xf numFmtId="0" fontId="0" fillId="5" borderId="0" xfId="0" applyNumberFormat="1" applyFill="1" applyAlignment="1"/>
    <xf numFmtId="14" fontId="0" fillId="5" borderId="0" xfId="0" applyNumberFormat="1" applyFill="1" applyAlignment="1"/>
    <xf numFmtId="14" fontId="0" fillId="0" borderId="0" xfId="0" applyNumberFormat="1" applyAlignment="1"/>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河北省三河市燕郊开发区北外环南侧、韩国工业园小区路西侧工业项目房地产抵押价值预评估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受贵公司委托，我公司对河北省三河市燕郊开发区北外环南侧、韩国工业园小区路西侧工业项目房地产抵押价值进行了预评估。</v>
      </c>
    </row>
    <row r="7" spans="1:2" s="1203" customFormat="1">
      <c r="A7" s="1201" t="s">
        <v>566</v>
      </c>
      <c r="B7" s="1202" t="str">
        <f>'预评函-1'!A7</f>
        <v>估价对象为河北省三河市燕郊开发区北外环南侧、韩国工业园小区路西侧工业项目房地产，为所有。根据《国有土地使用证》[]，估价对象（分摊）出让国有建设用地使用权面积为23060平方米，建筑面积为10674.21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河北省三河市燕郊开发区北外环南侧、韩国工业园小区路西侧工业项目房地产,属开发建设的，该项目尚在开发建设中。根据《国有土地使用证》[]，估价对象（分摊）出让国有建设用地使用权面积为23060平方米，规划建筑面积为10674.21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河北省三河市燕郊开发区北外环南侧、韩国工业园小区路西侧工业项目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2023年7月17日（评估专业人员实地查勘之日）</v>
      </c>
    </row>
    <row r="13" spans="1:2" s="1203" customFormat="1">
      <c r="A13" s="1201" t="s">
        <v>529</v>
      </c>
      <c r="B13" s="1202"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4919</v>
      </c>
    </row>
    <row r="21" spans="1:2" s="1203" customFormat="1">
      <c r="A21" s="1201" t="s">
        <v>537</v>
      </c>
      <c r="B21" s="1202">
        <f ca="1">'预评函-2'!D7</f>
        <v>4608</v>
      </c>
    </row>
    <row r="22" spans="1:2" s="1203" customFormat="1">
      <c r="A22" s="1201" t="s">
        <v>538</v>
      </c>
      <c r="B22" s="1202" t="str">
        <f ca="1">'预评函-2'!D6</f>
        <v>肆仟玖佰壹拾玖万元整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4919</v>
      </c>
    </row>
    <row r="31" spans="1:2" s="1203" customFormat="1">
      <c r="A31" s="1201" t="s">
        <v>576</v>
      </c>
      <c r="B31" s="1202">
        <f ca="1">'预评函-2'!D15</f>
        <v>4608</v>
      </c>
    </row>
    <row r="32" spans="1:2" s="1203" customFormat="1">
      <c r="A32" s="1201" t="s">
        <v>543</v>
      </c>
      <c r="B32" s="1202" t="str">
        <f ca="1">'预评函-2'!D14</f>
        <v>肆仟玖佰壹拾玖万元整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2081</v>
      </c>
    </row>
    <row r="39" spans="1:2" s="1203" customFormat="1">
      <c r="A39" s="1201" t="s">
        <v>545</v>
      </c>
      <c r="B39" s="1202">
        <f ca="1">'预评函-2'!D21</f>
        <v>1950</v>
      </c>
    </row>
    <row r="40" spans="1:2" s="1203" customFormat="1">
      <c r="A40" s="1201" t="s">
        <v>546</v>
      </c>
      <c r="B40" s="1202" t="str">
        <f ca="1">'预评函-2'!D20</f>
        <v>贰仟零捌拾壹万元整</v>
      </c>
    </row>
    <row r="41" spans="1:2" s="1203" customFormat="1">
      <c r="A41" s="1201" t="s">
        <v>592</v>
      </c>
      <c r="B41" s="1202" t="str">
        <f>'预评函-3'!A4</f>
        <v>河北省三河市燕郊开发区北外环南侧、韩国工业园小区路西侧工业项目房地产</v>
      </c>
    </row>
    <row r="42" spans="1:2" s="1203" customFormat="1">
      <c r="A42" s="1201" t="s">
        <v>590</v>
      </c>
      <c r="B42" s="1202" t="str">
        <f>'预评函-3'!B2</f>
        <v>建筑面积</v>
      </c>
    </row>
    <row r="43" spans="1:2" s="1203" customFormat="1">
      <c r="A43" s="1201" t="s">
        <v>591</v>
      </c>
      <c r="B43" s="1202">
        <f>'预评函-3'!B4</f>
        <v>10674.210000000001</v>
      </c>
    </row>
    <row r="44" spans="1:2" s="1203" customFormat="1">
      <c r="A44" s="1201" t="s">
        <v>575</v>
      </c>
      <c r="B44" s="1202" t="str">
        <f>'预评函-3'!C2</f>
        <v>(分摊)土地面积</v>
      </c>
    </row>
    <row r="45" spans="1:2" s="1203" customFormat="1">
      <c r="A45" s="1201" t="s">
        <v>547</v>
      </c>
      <c r="B45" s="1202">
        <f>'预评函-3'!C4</f>
        <v>23060</v>
      </c>
    </row>
    <row r="46" spans="1:2" s="1203" customFormat="1">
      <c r="A46" s="1201" t="s">
        <v>573</v>
      </c>
      <c r="B46" s="1202" t="str">
        <f>'预评函-3'!D2</f>
        <v>出让国有建设用地使用权价值</v>
      </c>
    </row>
    <row r="47" spans="1:2" s="1203" customFormat="1">
      <c r="A47" s="1201" t="s">
        <v>548</v>
      </c>
      <c r="B47" s="1202">
        <f ca="1">'预评函-3'!D4</f>
        <v>2174</v>
      </c>
    </row>
    <row r="48" spans="1:2" s="1203" customFormat="1">
      <c r="A48" s="1201" t="s">
        <v>549</v>
      </c>
      <c r="B48" s="1202">
        <f ca="1">'预评函-3'!E4</f>
        <v>2036</v>
      </c>
    </row>
    <row r="49" spans="1:2" s="1203" customFormat="1">
      <c r="A49" s="1201" t="s">
        <v>550</v>
      </c>
      <c r="B49" s="1202" t="str">
        <f ca="1">'预评函-3'!D5</f>
        <v>贰仟壹佰柒拾肆万元整</v>
      </c>
    </row>
    <row r="50" spans="1:2" s="1203" customFormat="1">
      <c r="A50" s="1201" t="s">
        <v>574</v>
      </c>
      <c r="B50" s="1202" t="str">
        <f>'预评函-3'!F2</f>
        <v>在建建筑物价值</v>
      </c>
    </row>
    <row r="51" spans="1:2" s="1203" customFormat="1">
      <c r="A51" s="1201" t="s">
        <v>551</v>
      </c>
      <c r="B51" s="1202">
        <f ca="1">'预评函-3'!F4</f>
        <v>2745</v>
      </c>
    </row>
    <row r="52" spans="1:2" s="1203" customFormat="1">
      <c r="A52" s="1201" t="s">
        <v>552</v>
      </c>
      <c r="B52" s="1202">
        <f ca="1">'预评函-3'!G4</f>
        <v>2572</v>
      </c>
    </row>
    <row r="53" spans="1:2" s="1203" customFormat="1">
      <c r="A53" s="1201" t="s">
        <v>580</v>
      </c>
      <c r="B53" s="1202" t="str">
        <f ca="1">'预评函-3'!F5</f>
        <v>贰仟柒佰肆拾伍万元整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三河市燕郊开发区北外环南侧、韩国工业园小区路西侧工业项目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9" t="s">
        <v>2583</v>
      </c>
      <c r="J2" s="3499"/>
      <c r="K2" s="3499"/>
      <c r="L2" s="3499"/>
      <c r="M2" s="3499"/>
      <c r="N2" s="3499"/>
      <c r="O2" s="3499"/>
      <c r="P2" s="3499"/>
      <c r="Q2" s="3499"/>
      <c r="R2" s="3499"/>
    </row>
    <row r="3" spans="1:18">
      <c r="A3" s="3018" t="s">
        <v>2504</v>
      </c>
      <c r="B3" s="3019">
        <f>项目基本情况!D3</f>
        <v>45124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3.42</v>
      </c>
      <c r="D5" s="3023">
        <f>IF(ISERROR(ROUND(POWER(1+E5,A5-C5)*(POWER(1+E5,C5)-1)/(POWER(1+E5,A5)-1),3)),0,ROUND(POWER(1+E5,A5-C5)*(POWER(1+E5,C5)-1)/(POWER(1+E5,A5)-1),4))</f>
        <v>0.15859999999999999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13.43</v>
      </c>
      <c r="D6" s="3023">
        <f>IF(ISERROR(ROUND(POWER(1+E6,A6-C6)*(POWER(1+E6,C6)-1)/(POWER(1+E6,A6)-1),3)),0,ROUND(POWER(1+E6,A6-C6)*(POWER(1+E6,C6)-1)/(POWER(1+E6,A6)-1),4))</f>
        <v>0.47649999999999998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33.44</v>
      </c>
      <c r="D7" s="3023">
        <f>IF(ISERROR(ROUND(POWER(1+E7,A7-C7)*(POWER(1+E7,C7)-1)/(POWER(1+E7,A7)-1),3)),0,ROUND(POWER(1+E7,A7-C7)*(POWER(1+E7,C7)-1)/(POWER(1+E7,A7)-1),4))</f>
        <v>0.78069999999999995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2" sqref="G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0" t="str">
        <f>IF(B10="北京市","北京市",C10)&amp;F10&amp;IF(结果表!G1="在建","出让国有建设用地使用权及在建建筑物",IF(结果表!G1="土地","出让国有建设用地使用权",))&amp;B9&amp;"预评估"</f>
        <v>河北省三河市燕郊开发区北外环南侧、韩国工业园小区路西侧工业项目房地产抵押价值预评估</v>
      </c>
      <c r="C1" s="3501"/>
      <c r="D1" s="3501"/>
      <c r="E1" s="3501"/>
      <c r="F1" s="3501"/>
      <c r="G1" s="3501"/>
      <c r="H1" s="3501"/>
      <c r="I1" s="350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河北省三河市燕郊开发区北外环南侧、韩国工业园小区路西侧工业项目房地产抵押价值</v>
      </c>
      <c r="T1" s="1745"/>
      <c r="U1" s="1745"/>
      <c r="V1" s="1745"/>
      <c r="W1" s="1745"/>
      <c r="X1" s="1745"/>
      <c r="Y1" s="1745"/>
      <c r="Z1" s="1745"/>
      <c r="AA1" s="1745"/>
      <c r="AB1" s="1745"/>
    </row>
    <row r="2" spans="1:30">
      <c r="A2" s="2367" t="s">
        <v>2168</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河北省三河市燕郊开发区北外环南侧、韩国工业园小区路西侧工业项目房地产</v>
      </c>
      <c r="T2" s="1745"/>
      <c r="U2" s="1745"/>
      <c r="V2" s="1745"/>
      <c r="W2" s="1745"/>
      <c r="X2" s="1745"/>
      <c r="Y2" s="1745"/>
      <c r="Z2" s="1745"/>
      <c r="AA2" s="1745"/>
      <c r="AB2" s="1745"/>
    </row>
    <row r="3" spans="1:30">
      <c r="A3" s="302" t="s">
        <v>2169</v>
      </c>
      <c r="B3" s="2373">
        <v>45124</v>
      </c>
      <c r="C3" s="2374" t="s">
        <v>2170</v>
      </c>
      <c r="D3" s="2373">
        <v>45124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3382</v>
      </c>
      <c r="C8" s="2390"/>
      <c r="D8" s="3503" t="s">
        <v>2176</v>
      </c>
      <c r="E8" s="2391" t="s">
        <v>3383</v>
      </c>
      <c r="F8" s="2392"/>
      <c r="G8" s="2662"/>
      <c r="H8" s="2662"/>
      <c r="I8" s="2662"/>
      <c r="J8" s="2438"/>
      <c r="K8" s="2613"/>
      <c r="L8" s="2612"/>
      <c r="M8" s="2612"/>
      <c r="N8" s="2438"/>
      <c r="O8" s="2449"/>
      <c r="P8" s="2438"/>
      <c r="Q8" s="2438"/>
      <c r="R8" s="2438"/>
    </row>
    <row r="9" spans="1:30" ht="13.5" thickBot="1">
      <c r="A9" s="2393" t="s">
        <v>2177</v>
      </c>
      <c r="B9" s="2394" t="s">
        <v>3383</v>
      </c>
      <c r="C9" s="2395"/>
      <c r="D9" s="3504"/>
      <c r="E9" s="2394" t="s">
        <v>587</v>
      </c>
      <c r="F9" s="2396"/>
      <c r="G9" s="2664"/>
      <c r="H9" s="2664"/>
      <c r="I9" s="2664"/>
      <c r="J9" s="2438"/>
      <c r="K9" s="2615"/>
      <c r="L9" s="2612"/>
      <c r="M9" s="2612"/>
      <c r="N9" s="2438"/>
      <c r="O9" s="2449"/>
      <c r="P9" s="2438"/>
      <c r="Q9" s="2438"/>
      <c r="R9" s="2438"/>
    </row>
    <row r="10" spans="1:30" ht="13.5" thickTop="1">
      <c r="A10" s="2397" t="s">
        <v>2178</v>
      </c>
      <c r="B10" s="2398" t="s">
        <v>3379</v>
      </c>
      <c r="C10" s="3448" t="s">
        <v>3380</v>
      </c>
      <c r="D10" s="2382"/>
      <c r="E10" s="2399" t="s">
        <v>2179</v>
      </c>
      <c r="F10" s="3449" t="s">
        <v>3482</v>
      </c>
      <c r="G10" s="2665"/>
      <c r="H10" s="2666"/>
      <c r="I10" s="2667"/>
      <c r="J10" s="2438"/>
      <c r="K10" s="2615"/>
      <c r="L10" s="2612"/>
      <c r="M10" s="2612"/>
      <c r="N10" s="2438"/>
      <c r="O10" s="2449"/>
      <c r="P10" s="2438"/>
      <c r="Q10" s="2438"/>
      <c r="R10" s="2438"/>
    </row>
    <row r="11" spans="1:30">
      <c r="A11" s="2400" t="s">
        <v>2180</v>
      </c>
      <c r="B11" s="2401" t="s">
        <v>3381</v>
      </c>
      <c r="C11" s="2402"/>
      <c r="D11" s="2403"/>
      <c r="E11" s="2370"/>
      <c r="F11" s="2370"/>
      <c r="G11" s="2370"/>
      <c r="H11" s="2370"/>
      <c r="I11" s="2370"/>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2579</v>
      </c>
      <c r="J12" s="3060"/>
      <c r="K12" s="2612"/>
      <c r="L12" s="2612"/>
      <c r="M12" s="2438"/>
      <c r="N12" s="2449"/>
      <c r="O12" s="2438"/>
      <c r="P12" s="2438"/>
      <c r="Q12" s="2438"/>
      <c r="AD12" s="1745"/>
    </row>
    <row r="13" spans="1:30">
      <c r="A13" s="3421" t="s">
        <v>3337</v>
      </c>
      <c r="B13" s="2406" t="s">
        <v>2189</v>
      </c>
      <c r="C13" s="856"/>
      <c r="D13" s="856"/>
      <c r="E13" s="856"/>
      <c r="F13" s="856"/>
      <c r="G13" s="856"/>
      <c r="H13" s="856">
        <v>57409</v>
      </c>
      <c r="I13" s="856"/>
      <c r="J13" s="3060"/>
      <c r="K13" s="2612"/>
      <c r="L13" s="2612"/>
      <c r="M13" s="2438"/>
      <c r="N13" s="2449"/>
      <c r="O13" s="2438"/>
      <c r="P13" s="2438"/>
      <c r="Q13" s="2438"/>
      <c r="AD13" s="1745"/>
    </row>
    <row r="14" spans="1:30">
      <c r="A14" s="1081"/>
      <c r="B14" s="2406" t="s">
        <v>2190</v>
      </c>
      <c r="C14" s="2407"/>
      <c r="D14" s="2407"/>
      <c r="E14" s="2407"/>
      <c r="F14" s="2407"/>
      <c r="G14" s="2407"/>
      <c r="H14" s="2407">
        <v>50</v>
      </c>
      <c r="I14" s="2407"/>
      <c r="J14" s="3061"/>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33.65</v>
      </c>
      <c r="I15" s="2409" t="str">
        <f>IF(A13="出让",IF(I13="","",ROUNDDOWN(MIN((I13-$D$3)/365,I14),2)),I14)</f>
        <v/>
      </c>
      <c r="J15" s="3062"/>
      <c r="K15" s="2450"/>
      <c r="L15" s="2450"/>
      <c r="M15" s="2508"/>
      <c r="N15" s="2450"/>
      <c r="O15" s="2508"/>
      <c r="P15" s="2438"/>
      <c r="Q15" s="2438"/>
      <c r="AD15" s="1745"/>
    </row>
    <row r="16" spans="1:30">
      <c r="A16" s="2399" t="s">
        <v>2192</v>
      </c>
      <c r="B16" s="3510"/>
      <c r="C16" s="3511"/>
      <c r="D16" s="3512"/>
      <c r="E16" s="2412" t="s">
        <v>2193</v>
      </c>
      <c r="F16" s="3513"/>
      <c r="G16" s="3514"/>
      <c r="H16" s="3514"/>
      <c r="I16" s="3515"/>
      <c r="J16" s="2438"/>
      <c r="K16" s="2616"/>
      <c r="L16" s="2450"/>
      <c r="M16" s="2450"/>
      <c r="N16" s="2508"/>
      <c r="O16" s="2450"/>
      <c r="P16" s="2508"/>
      <c r="Q16" s="2438"/>
      <c r="R16" s="2438"/>
    </row>
    <row r="17" spans="1:28">
      <c r="A17" s="313" t="s">
        <v>2194</v>
      </c>
      <c r="B17" s="302" t="s">
        <v>2195</v>
      </c>
      <c r="C17" s="8">
        <f>'数据-汇总表'!E3</f>
        <v>10674.210000000001</v>
      </c>
      <c r="D17" s="2322" t="s">
        <v>2196</v>
      </c>
      <c r="E17" s="3516" t="s">
        <v>2197</v>
      </c>
      <c r="F17" s="3517"/>
      <c r="G17" s="3517"/>
      <c r="H17" s="3517"/>
      <c r="I17" s="3518"/>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23060</v>
      </c>
      <c r="D18" s="1092" t="s">
        <v>2200</v>
      </c>
      <c r="E18" s="3519" t="s">
        <v>2201</v>
      </c>
      <c r="F18" s="3520"/>
      <c r="G18" s="3520"/>
      <c r="H18" s="3520"/>
      <c r="I18" s="3521"/>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06" t="s">
        <v>2205</v>
      </c>
      <c r="C20" s="3507"/>
      <c r="D20" s="3508" t="s">
        <v>2206</v>
      </c>
      <c r="E20" s="3509"/>
      <c r="F20" s="2646" t="s">
        <v>1056</v>
      </c>
      <c r="G20" s="2663"/>
      <c r="H20" s="2663"/>
      <c r="I20" s="2663"/>
      <c r="J20" s="2438"/>
      <c r="K20" s="350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3"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4"/>
      <c r="B30" s="302" t="s">
        <v>2217</v>
      </c>
      <c r="C30" s="3525"/>
      <c r="D30" s="3526"/>
      <c r="E30" s="2663"/>
      <c r="F30" s="2663"/>
      <c r="G30" s="2663"/>
      <c r="H30" s="2663"/>
      <c r="I30" s="2663"/>
      <c r="J30" s="2438"/>
      <c r="K30" s="2615"/>
      <c r="L30" s="2612"/>
      <c r="M30" s="2612"/>
      <c r="N30" s="2438"/>
      <c r="O30" s="2449"/>
      <c r="P30" s="2438"/>
      <c r="Q30" s="2438"/>
      <c r="R30" s="2438"/>
      <c r="S30" s="2438"/>
      <c r="T30" s="2438"/>
      <c r="U30" s="2438"/>
      <c r="V30" s="2438"/>
    </row>
    <row r="31" spans="1:28">
      <c r="A31" s="3527"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22" t="s">
        <v>2227</v>
      </c>
      <c r="T34" s="2427" t="str">
        <f>NUMBERSTRING(7-K34,1)&amp;"通"</f>
        <v>七通</v>
      </c>
      <c r="U34" s="2438"/>
      <c r="V34" s="2438"/>
    </row>
    <row r="35" spans="1:30">
      <c r="A35" s="2428"/>
      <c r="B35" s="3529" t="s">
        <v>2228</v>
      </c>
      <c r="C35" s="3529"/>
      <c r="D35" s="3529"/>
      <c r="E35" s="3529"/>
      <c r="F35" s="664" t="str">
        <f>C10</f>
        <v>河北省</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5" sqref="C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23060</v>
      </c>
      <c r="B3" s="11">
        <f>IF(C3="否",G5-AT5,G5)</f>
        <v>10674.210000000001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10674.210000000001</v>
      </c>
      <c r="H5" s="13">
        <f t="shared" ref="H5:AT5" si="0">SUM(H13:H656)</f>
        <v>10674.210000000001</v>
      </c>
      <c r="I5" s="13">
        <f t="shared" si="0"/>
        <v>10674.210000000001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10674.210000000001</v>
      </c>
      <c r="BA5" s="15">
        <f t="shared" si="1"/>
        <v>10674.210000000001</v>
      </c>
      <c r="BB5" s="15">
        <f t="shared" si="1"/>
        <v>10674.210000000001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23060</v>
      </c>
      <c r="F6" s="13" t="s">
        <v>0</v>
      </c>
      <c r="G6" s="13" t="s">
        <v>1</v>
      </c>
      <c r="H6" s="17">
        <f>SUMIF(I$12:AB$12,"总值",I6:AB6)</f>
        <v>23060</v>
      </c>
      <c r="I6" s="13">
        <f t="shared" ref="I6:AB6" si="2">ROUND($A$3*I5/$B$3,2)</f>
        <v>23060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23060</v>
      </c>
      <c r="AZ6" s="13" t="s">
        <v>2</v>
      </c>
      <c r="BA6" s="13">
        <f>ROUND($AY$6*BA5/$AZ$5,2)</f>
        <v>23060</v>
      </c>
      <c r="BB6" s="13">
        <f>ROUND($AY$6*BB5/$AZ$5,2)</f>
        <v>23060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3388</v>
      </c>
      <c r="C13" s="3450" t="s">
        <v>3384</v>
      </c>
      <c r="D13" s="1625" t="s">
        <v>3387</v>
      </c>
      <c r="E13" s="13">
        <f>IF($C$3="是",ROUND($A$3*G13/$B$3,2),ROUND($A$3*(G13-AT13)/$B$3,2))</f>
        <v>41.82</v>
      </c>
      <c r="F13" s="29"/>
      <c r="G13" s="30">
        <f>H13+AC13+AT13</f>
        <v>19.36</v>
      </c>
      <c r="H13" s="17">
        <f>SUMIF(I$12:AB$12,"总值",I13:AB13)</f>
        <v>19.36</v>
      </c>
      <c r="I13" s="3451">
        <v>19.36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1层</v>
      </c>
      <c r="AX13" s="8" t="str">
        <f t="shared" si="6"/>
        <v>1#传达室</v>
      </c>
      <c r="AY13" s="1349">
        <f>ROUND($AY$6*AZ13/$AZ$5,2)</f>
        <v>41.82</v>
      </c>
      <c r="AZ13" s="13">
        <f>BA13+BL13</f>
        <v>19.36</v>
      </c>
      <c r="BA13" s="13">
        <f>SUM(BB13:BK13)</f>
        <v>19.36</v>
      </c>
      <c r="BB13" s="13">
        <f>IF($D13="是",I13-J13,0)</f>
        <v>19.36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3389</v>
      </c>
      <c r="C14" s="3450" t="s">
        <v>3385</v>
      </c>
      <c r="D14" s="1625" t="s">
        <v>3387</v>
      </c>
      <c r="E14" s="13">
        <f>IF($C$3="是",ROUND($A$3*G14/$B$3,2),ROUND($A$3*(G14-AT14)/$B$3,2))</f>
        <v>3089.17</v>
      </c>
      <c r="F14" s="29"/>
      <c r="G14" s="30">
        <f>H14+AC14+AT14</f>
        <v>1429.94</v>
      </c>
      <c r="H14" s="17">
        <f>SUMIF(I$12:AB$12,"总值",I14:AB14)</f>
        <v>1429.94</v>
      </c>
      <c r="I14" s="3451">
        <v>1429.94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1-2层</v>
      </c>
      <c r="AX14" s="8" t="str">
        <f t="shared" si="6"/>
        <v>2#办公楼</v>
      </c>
      <c r="AY14" s="1349">
        <f>ROUND($AY$6*AZ14/$AZ$5,2)</f>
        <v>3089.17</v>
      </c>
      <c r="AZ14" s="13">
        <f>BA14+BL14</f>
        <v>1429.94</v>
      </c>
      <c r="BA14" s="13">
        <f>SUM(BB14:BK14)</f>
        <v>1429.94</v>
      </c>
      <c r="BB14" s="13">
        <f>IF($D14="是",I14-J14,0)</f>
        <v>1429.94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t="s">
        <v>3389</v>
      </c>
      <c r="C15" s="3450" t="s">
        <v>3386</v>
      </c>
      <c r="D15" s="1625" t="s">
        <v>3387</v>
      </c>
      <c r="E15" s="13">
        <f>IF($C$3="是",ROUND($A$3*G15/$B$3,2),ROUND($A$3*(G15-AT15)/$B$3,2))</f>
        <v>11245.17</v>
      </c>
      <c r="F15" s="29"/>
      <c r="G15" s="30">
        <f>H15+AC15+AT15</f>
        <v>5205.26</v>
      </c>
      <c r="H15" s="17">
        <f>SUMIF(I$12:AB$12,"总值",I15:AB15)</f>
        <v>5205.26</v>
      </c>
      <c r="I15" s="3451">
        <v>5205.26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1-2层</v>
      </c>
      <c r="AX15" s="8" t="str">
        <f t="shared" si="6"/>
        <v>3#车间</v>
      </c>
      <c r="AY15" s="1349">
        <f>ROUND($AY$6*AZ15/$AZ$5,2)</f>
        <v>11245.17</v>
      </c>
      <c r="AZ15" s="13">
        <f>BA15+BL15</f>
        <v>5205.26</v>
      </c>
      <c r="BA15" s="13">
        <f>SUM(BB15:BK15)</f>
        <v>5205.26</v>
      </c>
      <c r="BB15" s="13">
        <f>IF($D15="是",I15-J15,0)</f>
        <v>5205.26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3479</v>
      </c>
      <c r="D16" s="1625" t="s">
        <v>3387</v>
      </c>
      <c r="E16" s="13">
        <f>IF($C$3="是",ROUND($A$3*G16/$B$3,2),ROUND($A$3*(G16-AT16)/$B$3,2))</f>
        <v>8683.84</v>
      </c>
      <c r="F16" s="29"/>
      <c r="G16" s="30">
        <f>H16+AC16+AT16</f>
        <v>4019.65</v>
      </c>
      <c r="H16" s="17">
        <f>SUMIF(I$12:AB$12,"总值",I16:AB16)</f>
        <v>4019.65</v>
      </c>
      <c r="I16" s="1626">
        <v>4019.65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v>
      </c>
      <c r="AY16" s="1349">
        <f>ROUND($AY$6*AZ16/$AZ$5,2)</f>
        <v>8683.84</v>
      </c>
      <c r="AZ16" s="13">
        <f>BA16+BL16</f>
        <v>4019.65</v>
      </c>
      <c r="BA16" s="13">
        <f>SUM(BB16:BK16)</f>
        <v>4019.65</v>
      </c>
      <c r="BB16" s="13">
        <f>IF($D16="是",I16-J16,0)</f>
        <v>4019.65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2" sqref="H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8"/>
      <c r="G2" s="2649"/>
      <c r="H2" s="2650"/>
      <c r="I2" s="2325" t="s">
        <v>1132</v>
      </c>
      <c r="J2" s="2658"/>
      <c r="K2" s="2658"/>
      <c r="L2" s="2658"/>
      <c r="M2" s="2658"/>
      <c r="N2" s="2660"/>
      <c r="O2" s="2658"/>
      <c r="P2" s="2658"/>
    </row>
    <row r="3" spans="1:16" ht="15.75" thickBot="1">
      <c r="A3" s="3540" t="s">
        <v>1105</v>
      </c>
      <c r="B3" s="3540"/>
      <c r="C3" s="3540"/>
      <c r="D3" s="43">
        <f>'数据-基础表'!AY6</f>
        <v>23060</v>
      </c>
      <c r="E3" s="43">
        <f>'数据-基础表'!AZ5</f>
        <v>10674.210000000001</v>
      </c>
      <c r="F3" s="2658"/>
      <c r="G3" s="1145"/>
      <c r="H3" s="1026" t="s">
        <v>1106</v>
      </c>
      <c r="I3" s="855">
        <f>ROUND('数据-基础表'!B3/'数据-基础表'!A3,2)</f>
        <v>0.46</v>
      </c>
      <c r="J3" s="2658"/>
      <c r="K3" s="2658"/>
      <c r="L3" s="2658"/>
      <c r="M3" s="2658"/>
      <c r="N3" s="2660"/>
      <c r="O3" s="2658"/>
      <c r="P3" s="2658"/>
    </row>
    <row r="4" spans="1:16" ht="15">
      <c r="A4" s="3541"/>
      <c r="B4" s="3542"/>
      <c r="C4" s="3543"/>
      <c r="D4" s="1641" t="s">
        <v>1107</v>
      </c>
      <c r="E4" s="1642" t="s">
        <v>1108</v>
      </c>
      <c r="F4" s="2658"/>
      <c r="G4" s="2651" t="s">
        <v>1133</v>
      </c>
      <c r="H4" s="1026" t="s">
        <v>1113</v>
      </c>
      <c r="I4" s="855">
        <f>ROUND(SUMIF('数据-基础表'!I9:AS9,"地上",'数据-基础表'!I5:AS5)/'数据-基础表'!A3,2)</f>
        <v>0.46</v>
      </c>
      <c r="J4" s="2658"/>
      <c r="K4" s="2658"/>
      <c r="L4" s="2658"/>
      <c r="M4" s="2658"/>
      <c r="N4" s="2660"/>
      <c r="O4" s="2658"/>
      <c r="P4" s="2658"/>
    </row>
    <row r="5" spans="1:16">
      <c r="A5" s="44" t="s">
        <v>1109</v>
      </c>
      <c r="B5" s="3544" t="s">
        <v>1110</v>
      </c>
      <c r="C5" s="3544"/>
      <c r="D5" s="45">
        <f>ROUND($D$3*E5/$E$3,2)</f>
        <v>0</v>
      </c>
      <c r="E5" s="46">
        <f>SUMIF('数据-基础表'!$11:$11,"住宅",'数据-基础表'!$5:$5)</f>
        <v>0</v>
      </c>
      <c r="F5" s="2658"/>
      <c r="G5" s="1145"/>
      <c r="H5" s="1026" t="s">
        <v>1106</v>
      </c>
      <c r="I5" s="855">
        <f>ROUND(E31/D31,2)</f>
        <v>0.46</v>
      </c>
      <c r="J5" s="2658"/>
      <c r="K5" s="2658"/>
      <c r="L5" s="2658"/>
      <c r="M5" s="2658"/>
      <c r="N5" s="2658"/>
      <c r="O5" s="2658"/>
      <c r="P5" s="2658"/>
    </row>
    <row r="6" spans="1:16" ht="15" thickBot="1">
      <c r="A6" s="1644"/>
      <c r="B6" s="3544" t="s">
        <v>1111</v>
      </c>
      <c r="C6" s="3544"/>
      <c r="D6" s="45">
        <f>ROUND($D$3*E6/$E$3,2)</f>
        <v>23060</v>
      </c>
      <c r="E6" s="46">
        <f>E3-E5</f>
        <v>10674.210000000001</v>
      </c>
      <c r="F6" s="2658"/>
      <c r="G6" s="2652" t="s">
        <v>1112</v>
      </c>
      <c r="H6" s="1146" t="s">
        <v>1113</v>
      </c>
      <c r="I6" s="2653">
        <f>ROUND(F31/D31,2)</f>
        <v>0.46</v>
      </c>
      <c r="J6" s="2658"/>
      <c r="K6" s="2658"/>
      <c r="L6" s="2658"/>
      <c r="M6" s="2658"/>
      <c r="N6" s="2658"/>
      <c r="O6" s="2658"/>
      <c r="P6" s="2658"/>
    </row>
    <row r="7" spans="1:16" ht="15.75" thickBot="1">
      <c r="A7" s="3536"/>
      <c r="B7" s="3537"/>
      <c r="C7" s="3538"/>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23060</v>
      </c>
      <c r="E8" s="48">
        <f>SUMIF('数据-基础表'!BB10:BK10,"地上",'数据-基础表'!BB5:BK5)</f>
        <v>10674.210000000001</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23060</v>
      </c>
      <c r="E16" s="50">
        <f>SUM(E8:E15)</f>
        <v>10674.210000000001</v>
      </c>
      <c r="F16" s="2658"/>
      <c r="G16" s="2659"/>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3392</v>
      </c>
      <c r="D19" s="45">
        <f>ROUND($D$3*E19/$E$3,2)</f>
        <v>23060</v>
      </c>
      <c r="E19" s="53">
        <f t="shared" ref="E19:E26" si="1">SUM(F19:G19)</f>
        <v>10674.21</v>
      </c>
      <c r="F19" s="2793">
        <v>10674.21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23060</v>
      </c>
      <c r="S19" s="1027">
        <f t="shared" si="5"/>
        <v>10674.21</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23060</v>
      </c>
      <c r="E27" s="1141">
        <f>IF(SUM(E19:E26)='数据-基础表'!BA5,SUM(E19:E26),IF(F27="地上面积有误","面积有误","地下面积有误"))</f>
        <v>10674.21</v>
      </c>
      <c r="F27" s="1140">
        <f>IF(SUM(F19:F26)=E8,SUM(F19:F26),"地上面积有误")</f>
        <v>10674.21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23060</v>
      </c>
      <c r="S27" s="1026">
        <f>IF(SUM(S19:S26)=$E$3,SUM(S19:S26),SUM(S19:S26)&amp;"误差"&amp;ROUND(SUM(S19:S26)-E3,2))</f>
        <v>10674.21</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23060</v>
      </c>
      <c r="E31" s="676">
        <f>E27+E30</f>
        <v>10674.21</v>
      </c>
      <c r="F31" s="677">
        <f>F27+F30</f>
        <v>10674.21</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57409</v>
      </c>
      <c r="F6" s="64">
        <f>SUMIF(项目基本情况!C$12:I$12,C6,项目基本情况!C$15:I$15)</f>
        <v>33.65</v>
      </c>
      <c r="G6" s="65">
        <f>IF(ISERROR(ROUND(POWER(1+H6,D6-F6)*(POWER(1+H6,F6)-1)/(POWER(1+H6,D6)-1),3)),0,ROUND(POWER(1+H6,D6-F6)*(POWER(1+H6,F6)-1)/(POWER(1+H6,D6)-1),3))</f>
        <v>0.86899999999999999</v>
      </c>
      <c r="H6" s="732">
        <v>4.4999999999999998E-2</v>
      </c>
      <c r="I6" s="732">
        <v>0.05</v>
      </c>
      <c r="J6" s="66">
        <v>7.0000000000000007E-2</v>
      </c>
      <c r="K6" s="1030">
        <f>SUMIF('数据-汇总表'!C$19:C$33,A6,'数据-汇总表'!E$19:E$33)</f>
        <v>10674.21</v>
      </c>
      <c r="L6" s="733">
        <v>2600</v>
      </c>
      <c r="M6" s="67">
        <f t="shared" ref="M6:M14" si="0">ROUND(K6*L6/10000,0)</f>
        <v>2775</v>
      </c>
      <c r="N6" s="731">
        <f>N19</f>
        <v>0.74</v>
      </c>
      <c r="O6" s="67" t="str">
        <f>IF($N$5="成新度","——",ROUND(M6*N6,0))</f>
        <v>——</v>
      </c>
      <c r="P6" s="68" t="str">
        <f>IF($N$5="成新度","——",M6-O6)</f>
        <v>——</v>
      </c>
      <c r="Q6" s="734">
        <v>0.05</v>
      </c>
      <c r="R6" s="69">
        <f ca="1">SUMIF('数据-汇总表'!C$19:C$33,A6,'数据-汇总表'!R$19:R$27)</f>
        <v>23060</v>
      </c>
      <c r="S6" s="51">
        <f>IF('数据-汇总表'!$I$17="按面积比例",SUMIF('数据-汇总表'!C$19:C$33,A6,'数据-汇总表'!K$19:K$33),SUMIF('数据-汇总表'!C$19:C$33,A6,'数据-汇总表'!N$19:N$33))</f>
        <v>0</v>
      </c>
      <c r="T6" s="1172">
        <f>ROUND($L$14*S6/10000,0)</f>
        <v>0</v>
      </c>
      <c r="U6" s="3426">
        <v>1</v>
      </c>
      <c r="V6" s="70">
        <v>0.02</v>
      </c>
      <c r="W6" s="70">
        <v>0.1</v>
      </c>
      <c r="X6" s="1040"/>
      <c r="Y6" s="71">
        <f>N6</f>
        <v>0.74</v>
      </c>
      <c r="Z6" s="72"/>
      <c r="AA6" s="66"/>
      <c r="AB6" s="66"/>
      <c r="AC6" s="1040"/>
      <c r="AD6" s="73"/>
      <c r="AE6" s="1041">
        <f ca="1">IF(AN6="",0,SUMIF(INDIRECT("'"&amp;AN6&amp;"'"&amp;"!E:E"),$AE$5,INDIRECT("'"&amp;AN6&amp;"'"&amp;"!F:F")))</f>
        <v>33.65</v>
      </c>
      <c r="AF6" s="1348"/>
      <c r="AG6" s="138">
        <f>IF(AF6="",0,AE6-AF6)</f>
        <v>0</v>
      </c>
      <c r="AH6" s="74"/>
      <c r="AI6" s="76">
        <v>365</v>
      </c>
      <c r="AJ6" s="77"/>
      <c r="AK6" s="78">
        <v>0.01</v>
      </c>
      <c r="AL6" s="79">
        <v>1.5E-3</v>
      </c>
      <c r="AM6" s="80">
        <v>0.01</v>
      </c>
      <c r="AN6" s="1715" t="s">
        <v>3395</v>
      </c>
      <c r="AO6" s="52">
        <f ca="1">SUMIF(INDIRECT("'"&amp;AN6&amp;"'"&amp;"!A:A"),"总价",INDIRECT("'"&amp;AN6&amp;"'"&amp;"!B:B"))</f>
        <v>4987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0.86899999999999999</v>
      </c>
      <c r="H16" s="90">
        <f>ROUND(SUMPRODUCT(H6:H13,K6:K13)/SUMPRODUCT((H6:H13&gt;0)*(K6:K13)),3)</f>
        <v>4.4999999999999998E-2</v>
      </c>
      <c r="I16" s="91"/>
      <c r="J16" s="91"/>
      <c r="K16" s="92">
        <f>SUM(K6:K15)</f>
        <v>10674.21</v>
      </c>
      <c r="L16" s="93">
        <f>ROUND(M16*10000/SUM(K6:K14),0)</f>
        <v>2600</v>
      </c>
      <c r="M16" s="93">
        <f>SUM(M6:M14)</f>
        <v>2775</v>
      </c>
      <c r="N16" s="94">
        <f>ROUND(SUMPRODUCT(M6:M14,N6:N14)/M16,3)</f>
        <v>0.74</v>
      </c>
      <c r="O16" s="93">
        <f>SUM(O6:O14)</f>
        <v>0</v>
      </c>
      <c r="P16" s="93">
        <f>SUM(P6:P14)</f>
        <v>0</v>
      </c>
      <c r="Q16" s="95">
        <f>ROUND(SUMPRODUCT(Q6:Q13,K6:K13)/SUMPRODUCT((Q6:Q13&gt;0)*(K6:K13)),2)</f>
        <v>0.05</v>
      </c>
      <c r="R16" s="1034">
        <f ca="1">SUM(R6:R13)</f>
        <v>23060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2007</v>
      </c>
      <c r="O18" s="3452" t="s">
        <v>3393</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2304</v>
      </c>
      <c r="D19" s="2674"/>
      <c r="E19" s="2671"/>
      <c r="F19" s="2671"/>
      <c r="G19" s="2671"/>
      <c r="H19" s="2671"/>
      <c r="I19" s="2671"/>
      <c r="J19" s="2671"/>
      <c r="K19" s="2670"/>
      <c r="L19" s="2670"/>
      <c r="M19" s="2669"/>
      <c r="N19" s="2669">
        <f>ROUND(1-((1-2%)*(2023-N18)/60),2)</f>
        <v>0.74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1</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2306</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110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117</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2296</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8">
        <f ca="1">IF(A40="利息：取LPR",存贷款利率!G1,存贷款利率!G1+C40)</f>
        <v>3.5499999999999997E-2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6</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110</v>
      </c>
      <c r="C53" s="2660"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v>6</v>
      </c>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5" t="s">
        <v>2285</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18" sqref="N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10674.210000000001</v>
      </c>
      <c r="C1" s="2684"/>
      <c r="D1" s="2684"/>
      <c r="E1" s="2684"/>
      <c r="F1" s="2684"/>
      <c r="G1" s="2685"/>
      <c r="H1" s="2686"/>
      <c r="I1" s="2686"/>
      <c r="J1" s="2686"/>
      <c r="K1" s="2686"/>
    </row>
    <row r="2" spans="1:11" ht="16.5">
      <c r="A2" s="2511" t="s">
        <v>653</v>
      </c>
      <c r="B2" s="2511">
        <f>SUM(C14:C23)</f>
        <v>23060</v>
      </c>
      <c r="C2" s="2684"/>
      <c r="D2" s="2684"/>
      <c r="E2" s="2684"/>
      <c r="F2" s="2684"/>
      <c r="G2" s="2685"/>
      <c r="H2" s="2686"/>
      <c r="I2" s="2686"/>
      <c r="J2" s="2686"/>
      <c r="K2" s="2686"/>
    </row>
    <row r="3" spans="1:11" ht="16.5">
      <c r="A3" s="2511" t="s">
        <v>662</v>
      </c>
      <c r="B3" s="2513">
        <f>项目基本情况!D3</f>
        <v>45124</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4919</v>
      </c>
      <c r="C5" s="2511">
        <f ca="1">IF(B5=D14,结果表!H102,ROUND(B5*10000/$B$1,0))</f>
        <v>4608</v>
      </c>
      <c r="D5" s="2511">
        <f ca="1">ROUND(B5*10000/$B$2,0)</f>
        <v>2133</v>
      </c>
      <c r="E5" s="2684"/>
      <c r="F5" s="2685"/>
      <c r="G5" s="2685"/>
      <c r="H5" s="2686"/>
      <c r="I5" s="2686"/>
      <c r="J5" s="2686"/>
      <c r="K5" s="2686"/>
    </row>
    <row r="6" spans="1:11" ht="16.5">
      <c r="A6" s="2511" t="s">
        <v>656</v>
      </c>
      <c r="B6" s="2511">
        <f ca="1">SUM(G14:G23)</f>
        <v>4919</v>
      </c>
      <c r="C6" s="2511">
        <f ca="1">IF(B6=G14,结果表!H108,ROUND(B6*10000/$B$1,0))</f>
        <v>4608</v>
      </c>
      <c r="D6" s="2511">
        <f ca="1">ROUND(B6*10000/$B$2,0)</f>
        <v>2133</v>
      </c>
      <c r="E6" s="2684"/>
      <c r="F6" s="2685"/>
      <c r="G6" s="2685"/>
      <c r="H6" s="2686"/>
      <c r="I6" s="2686"/>
      <c r="J6" s="2686"/>
      <c r="K6" s="2686"/>
    </row>
    <row r="7" spans="1:11" ht="16.5">
      <c r="A7" s="2511" t="s">
        <v>664</v>
      </c>
      <c r="B7" s="2511">
        <f>SUM(H14:H23)</f>
        <v>0</v>
      </c>
      <c r="C7" s="2511" t="str">
        <f>IF(B7=H14,结果表!H110,ROUND(B7*10000/$B$1,0))</f>
        <v>——</v>
      </c>
      <c r="D7" s="2511">
        <f>ROUND(B7*10000/$B$2,0)</f>
        <v>0</v>
      </c>
      <c r="E7" s="2684"/>
      <c r="F7" s="2685"/>
      <c r="G7" s="2685"/>
      <c r="H7" s="2686"/>
      <c r="I7" s="2686"/>
      <c r="J7" s="2686"/>
      <c r="K7" s="2686"/>
    </row>
    <row r="8" spans="1:11" ht="16.5">
      <c r="A8" s="2511" t="s">
        <v>587</v>
      </c>
      <c r="B8" s="2511">
        <f>SUM(I14:I23)</f>
        <v>0</v>
      </c>
      <c r="C8" s="2511">
        <f ca="1">IF(B8=I14,结果表!H112,ROUND(B8*10000/$B$1,0))</f>
        <v>1950</v>
      </c>
      <c r="D8" s="2511">
        <f>ROUND(B8*10000/$B$2,0)</f>
        <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3361</v>
      </c>
      <c r="D10" s="2511" t="s">
        <v>3362</v>
      </c>
      <c r="E10" s="3439"/>
      <c r="F10" s="3443" t="s">
        <v>3363</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10674.210000000001</v>
      </c>
      <c r="C14" s="2517">
        <f>结果表!C118</f>
        <v>23060</v>
      </c>
      <c r="D14" s="2517">
        <f ca="1">结果表!H118</f>
        <v>4919</v>
      </c>
      <c r="E14" s="2517">
        <f ca="1">ROUND(D14*10000/B14,0)</f>
        <v>4608</v>
      </c>
      <c r="F14" s="2517">
        <f ca="1">ROUND(D14*10000/C14,0)</f>
        <v>2133</v>
      </c>
      <c r="G14" s="2517">
        <f ca="1">D14</f>
        <v>4919</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H41" sqref="H4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河北省三河市燕郊开发区北外环南侧、韩国工业园小区路西侧工业项目房地产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3478</v>
      </c>
      <c r="D4" s="1756" t="s">
        <v>3395</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5</v>
      </c>
      <c r="D14" s="3608">
        <v>5</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9" t="s">
        <v>2130</v>
      </c>
      <c r="F18" s="3640"/>
      <c r="G18" s="3640"/>
      <c r="H18" s="3640"/>
      <c r="I18" s="3640"/>
      <c r="K18" s="302" t="s">
        <v>1289</v>
      </c>
      <c r="L18" s="302">
        <f>IF(C1="",'数据-汇总表'!E3,SUMIF(项目类型,C1,'数据-汇总表'!E17:E26)+SUMIF(项目类型,C1,'数据-汇总表'!I17:I26))</f>
        <v>10674.210000000001</v>
      </c>
      <c r="M18" s="302">
        <f>IF(C1="",'数据-汇总表'!E3,SUMIF(项目类型,C1,'数据-汇总表'!E17:E26))</f>
        <v>10674.210000000001</v>
      </c>
    </row>
    <row r="19" spans="1:36" ht="15">
      <c r="A19" s="1761" t="s">
        <v>1290</v>
      </c>
      <c r="B19" s="1762" t="s">
        <v>1291</v>
      </c>
      <c r="C19" s="134">
        <f ca="1">SUMIF(INDIRECT("'"&amp;C4&amp;"'"&amp;"!A:A"),结果表!B19,INDIRECT("'"&amp;C4&amp;"'"&amp;"!B:B"))</f>
        <v>4851</v>
      </c>
      <c r="D19" s="135">
        <f ca="1">SUMIF(INDIRECT("'"&amp;D4&amp;"'"&amp;"!A:A"),结果表!B19,INDIRECT("'"&amp;D4&amp;"'"&amp;"!B:B"))</f>
        <v>4987</v>
      </c>
      <c r="E19" s="1761" t="s">
        <v>1292</v>
      </c>
      <c r="F19" s="1762" t="s">
        <v>1291</v>
      </c>
      <c r="G19" s="136">
        <f ca="1">ROUND(C19*$C$18+D19*$D$18,0)</f>
        <v>4919</v>
      </c>
      <c r="H19" s="1763" t="s">
        <v>1293</v>
      </c>
      <c r="I19" s="129"/>
      <c r="K19" s="302" t="s">
        <v>1294</v>
      </c>
      <c r="L19" s="302">
        <f>IF(C1="",'数据-汇总表'!D3,SUMIF(项目类型,C1,'数据-汇总表'!D17:D26)+SUMIF(项目类型,C1,'数据-汇总表'!H17:H27))</f>
        <v>23060</v>
      </c>
      <c r="M19" s="302">
        <f>IF(C1="",'数据-汇总表'!D3,SUMIF(项目类型,C1,'数据-汇总表'!D17:D26))</f>
        <v>23060</v>
      </c>
    </row>
    <row r="20" spans="1:36" ht="15">
      <c r="A20" s="1764"/>
      <c r="B20" s="1026" t="s">
        <v>1295</v>
      </c>
      <c r="C20" s="137">
        <f ca="1">SUMIF(INDIRECT("'"&amp;C4&amp;"'"&amp;"!A:A"),结果表!B20,INDIRECT("'"&amp;C4&amp;"'"&amp;"!B:B"))</f>
        <v>4545</v>
      </c>
      <c r="D20" s="138">
        <f ca="1">SUMIF(INDIRECT("'"&amp;D4&amp;"'"&amp;"!A:A"),结果表!B20,INDIRECT("'"&amp;D4&amp;"'"&amp;"!B:B"))</f>
        <v>4672</v>
      </c>
      <c r="E20" s="1764"/>
      <c r="F20" s="1026" t="s">
        <v>1295</v>
      </c>
      <c r="G20" s="139">
        <f ca="1">ROUND(C20*$C$18+D20*$D$18,0)</f>
        <v>4609</v>
      </c>
      <c r="H20" s="808" t="s">
        <v>1296</v>
      </c>
      <c r="I20" s="129"/>
    </row>
    <row r="21" spans="1:36" ht="15" customHeight="1" thickBot="1">
      <c r="A21" s="828"/>
      <c r="B21" s="1765" t="s">
        <v>1297</v>
      </c>
      <c r="C21" s="719">
        <f ca="1">ROUND(C19*10000/L19,0)</f>
        <v>2104</v>
      </c>
      <c r="D21" s="720">
        <f ca="1">ROUND(D19*10000/L19,0)</f>
        <v>2163</v>
      </c>
      <c r="E21" s="828"/>
      <c r="F21" s="1765" t="s">
        <v>1297</v>
      </c>
      <c r="G21" s="140">
        <f ca="1">ROUND(G19*10000/L19,0)</f>
        <v>2133</v>
      </c>
      <c r="H21" s="1766" t="s">
        <v>1296</v>
      </c>
      <c r="I21" s="129"/>
    </row>
    <row r="22" spans="1:36" ht="15" thickBot="1">
      <c r="A22" s="1688" t="s">
        <v>1298</v>
      </c>
      <c r="B22" s="1767"/>
      <c r="C22" s="1768"/>
      <c r="D22" s="721">
        <f ca="1">IF(C19&lt;D19,D19/C19-1,C19/D19-1)</f>
        <v>2.8035456606885223E-2</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4919</v>
      </c>
      <c r="D32" s="1775" t="s">
        <v>3480</v>
      </c>
      <c r="E32" s="129"/>
      <c r="F32" s="129"/>
      <c r="G32" s="129"/>
      <c r="H32" s="129"/>
      <c r="I32" s="129"/>
    </row>
    <row r="33" spans="1:15" ht="15">
      <c r="A33" s="786" t="s">
        <v>1306</v>
      </c>
      <c r="B33" s="1776"/>
      <c r="C33" s="1777" t="s">
        <v>3481</v>
      </c>
      <c r="D33" s="1778" t="s">
        <v>3478</v>
      </c>
      <c r="E33" s="1779" t="s">
        <v>1307</v>
      </c>
      <c r="F33" s="1780" t="str">
        <f>IF(D32="楼面单价","取值（单价）","取值（总价）")</f>
        <v>取值（总价）</v>
      </c>
      <c r="G33" s="129"/>
      <c r="H33" s="129"/>
      <c r="I33" s="129"/>
    </row>
    <row r="34" spans="1:15" ht="15">
      <c r="A34" s="1781"/>
      <c r="B34" s="1782" t="s">
        <v>1308</v>
      </c>
      <c r="C34" s="148">
        <f ca="1">IF(C33="自定义",F34,C32-C35)</f>
        <v>2174</v>
      </c>
      <c r="D34" s="861">
        <f ca="1">IF(C33="自定义",ROUND(C34/C32,3),IF(C33="收益比率",SUMIF(INDIRECT("'"&amp;D33&amp;"'"&amp;"!b:b"),"土地收益比率",INDIRECT("'"&amp;D33&amp;"'"&amp;"!c:c")),SUMIF(INDIRECT("'"&amp;D33&amp;"'"&amp;"!b:b"),"土地成本比率",INDIRECT("'"&amp;D33&amp;"'"&amp;"!c:c"))))</f>
        <v>0.44199999999999995</v>
      </c>
      <c r="E34" s="1783" t="s">
        <v>1309</v>
      </c>
      <c r="F34" s="1330"/>
      <c r="G34" s="129"/>
      <c r="H34" s="129"/>
      <c r="I34" s="129"/>
    </row>
    <row r="35" spans="1:15" ht="15.75" thickBot="1">
      <c r="A35" s="1784"/>
      <c r="B35" s="1785" t="s">
        <v>1310</v>
      </c>
      <c r="C35" s="1170">
        <f ca="1">IF(C33="自定义",F35,ROUND(C32*D35,0))</f>
        <v>2745</v>
      </c>
      <c r="D35" s="1171">
        <f ca="1">IF(C33="自定义",ROUND(C35/C32,3),IF(C33="收益比率",SUMIF(INDIRECT("'"&amp;D33&amp;"'"&amp;"!b:b"),"建筑物收益比率",INDIRECT("'"&amp;D33&amp;"'"&amp;"!c:c")),SUMIF(INDIRECT("'"&amp;D33&amp;"'"&amp;"!b:b"),"建筑物成本比率",INDIRECT("'"&amp;D33&amp;"'"&amp;"!c:c"))))</f>
        <v>0.55800000000000005</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4919</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2">
        <v>1</v>
      </c>
      <c r="K46" s="3550" t="s">
        <v>1331</v>
      </c>
      <c r="L46" s="3550"/>
      <c r="M46" s="3551"/>
      <c r="N46" s="3551"/>
      <c r="O46" s="3551"/>
    </row>
    <row r="47" spans="1:15" ht="12" customHeight="1">
      <c r="A47" s="160" t="s">
        <v>1332</v>
      </c>
      <c r="B47" s="161"/>
      <c r="C47" s="162"/>
      <c r="D47" s="1087" t="s">
        <v>1333</v>
      </c>
      <c r="E47" s="302" t="s">
        <v>1334</v>
      </c>
      <c r="F47" s="163" t="s">
        <v>1335</v>
      </c>
      <c r="G47" s="2545" t="s">
        <v>1336</v>
      </c>
      <c r="H47" s="2546"/>
      <c r="I47" s="159"/>
      <c r="J47" s="2522">
        <v>2</v>
      </c>
      <c r="K47" s="3550" t="s">
        <v>1337</v>
      </c>
      <c r="L47" s="3550"/>
      <c r="M47" s="3552">
        <f>'数据-取费表'!B2</f>
        <v>45124</v>
      </c>
      <c r="N47" s="3552"/>
      <c r="O47" s="3552"/>
    </row>
    <row r="48" spans="1:15" ht="25.5">
      <c r="A48" s="3612" t="s">
        <v>1338</v>
      </c>
      <c r="B48" s="3613"/>
      <c r="C48" s="3613"/>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50" t="s">
        <v>1340</v>
      </c>
      <c r="L48" s="3550"/>
      <c r="M48" s="3553">
        <f ca="1">H101</f>
        <v>4919</v>
      </c>
      <c r="N48" s="3553"/>
      <c r="O48" s="3553"/>
    </row>
    <row r="49" spans="1:35" ht="25.5" customHeight="1">
      <c r="A49" s="2333" t="s">
        <v>1341</v>
      </c>
      <c r="B49" s="3598" t="s">
        <v>1342</v>
      </c>
      <c r="C49" s="3598"/>
      <c r="D49" s="1590">
        <v>0</v>
      </c>
      <c r="E49" s="324" t="s">
        <v>1343</v>
      </c>
      <c r="F49" s="2423" t="s">
        <v>28</v>
      </c>
      <c r="G49" s="3581"/>
      <c r="H49" s="2310" t="s">
        <v>2133</v>
      </c>
      <c r="I49" s="2311"/>
      <c r="J49" s="2522">
        <v>4</v>
      </c>
      <c r="K49" s="3550" t="str">
        <f>IF(项目基本情况!E8="房地产抵押价值","房地产抵押价值","抵押担保权已注销时的房地产抵押价值")</f>
        <v>房地产抵押价值</v>
      </c>
      <c r="L49" s="3550"/>
      <c r="M49" s="3553">
        <f ca="1">IF(项目基本情况!E8="房地产抵押价值",H107,H109)</f>
        <v>4919</v>
      </c>
      <c r="N49" s="3553"/>
      <c r="O49" s="3553"/>
    </row>
    <row r="50" spans="1:35" ht="25.5" customHeight="1">
      <c r="A50" s="2550"/>
      <c r="B50" s="3598" t="s">
        <v>1344</v>
      </c>
      <c r="C50" s="3598"/>
      <c r="D50" s="2551"/>
      <c r="E50" s="332"/>
      <c r="F50" s="2423"/>
      <c r="G50" s="3582"/>
      <c r="H50" s="2312" t="s">
        <v>2134</v>
      </c>
      <c r="I50" s="2311"/>
      <c r="J50" s="3549" t="s">
        <v>1345</v>
      </c>
      <c r="K50" s="3549"/>
      <c r="L50" s="3549"/>
      <c r="M50" s="3549"/>
      <c r="N50" s="3549"/>
      <c r="O50" s="3549"/>
    </row>
    <row r="51" spans="1:35" ht="20.45" customHeight="1">
      <c r="A51" s="2552"/>
      <c r="B51" s="3598" t="s">
        <v>1346</v>
      </c>
      <c r="C51" s="3598"/>
      <c r="D51" s="1087"/>
      <c r="E51" s="327"/>
      <c r="F51" s="2423"/>
      <c r="G51" s="3583"/>
      <c r="H51" s="2312" t="s">
        <v>2135</v>
      </c>
      <c r="I51" s="2311"/>
      <c r="J51" s="2523" t="s">
        <v>1347</v>
      </c>
      <c r="K51" s="3550" t="s">
        <v>1348</v>
      </c>
      <c r="L51" s="3550"/>
      <c r="M51" s="2523" t="s">
        <v>1349</v>
      </c>
      <c r="N51" s="2523" t="s">
        <v>1350</v>
      </c>
      <c r="O51" s="2523" t="s">
        <v>1351</v>
      </c>
    </row>
    <row r="52" spans="1:35" ht="24" customHeight="1">
      <c r="A52" s="2335" t="s">
        <v>1352</v>
      </c>
      <c r="B52" s="3598" t="s">
        <v>1353</v>
      </c>
      <c r="C52" s="3598"/>
      <c r="D52" s="1087">
        <f ca="1">ROUND(D45*'数据-取费表'!B41/(1+'数据-取费表'!C42),0)</f>
        <v>258</v>
      </c>
      <c r="E52" s="2334" t="s">
        <v>1354</v>
      </c>
      <c r="F52" s="2553">
        <f>'数据-取费表'!B41</f>
        <v>5.5000000000000007E-2</v>
      </c>
      <c r="G52" s="2554"/>
      <c r="H52" s="2543"/>
      <c r="I52" s="1807"/>
      <c r="J52" s="2522">
        <v>1</v>
      </c>
      <c r="K52" s="3575" t="s">
        <v>1355</v>
      </c>
      <c r="L52" s="3575"/>
      <c r="M52" s="2524" t="b">
        <f>D48</f>
        <v>0</v>
      </c>
      <c r="N52" s="2522" t="str">
        <f>E48</f>
        <v>销售额×税（费）率</v>
      </c>
      <c r="O52" s="2525">
        <f>F48</f>
        <v>5.5000000000000007E-2</v>
      </c>
    </row>
    <row r="53" spans="1:35" ht="12" customHeight="1">
      <c r="A53" s="2335" t="s">
        <v>1356</v>
      </c>
      <c r="B53" s="3599" t="s">
        <v>2290</v>
      </c>
      <c r="C53" s="3600"/>
      <c r="D53" s="1087">
        <f ca="1">ROUND(D45*'数据-取费表'!B41/(1+'数据-取费表'!C42),0)</f>
        <v>258</v>
      </c>
      <c r="E53" s="2334" t="s">
        <v>1354</v>
      </c>
      <c r="F53" s="2553">
        <f>'数据-取费表'!B41</f>
        <v>5.5000000000000007E-2</v>
      </c>
      <c r="G53" s="2554"/>
      <c r="H53" s="2543"/>
      <c r="I53" s="1807"/>
      <c r="J53" s="2522">
        <v>2</v>
      </c>
      <c r="K53" s="3575" t="s">
        <v>1357</v>
      </c>
      <c r="L53" s="3575"/>
      <c r="M53" s="2524">
        <f t="shared" ref="M53:O54" ca="1" si="0">D55</f>
        <v>2</v>
      </c>
      <c r="N53" s="2522" t="str">
        <f t="shared" si="0"/>
        <v>销售额×税（费）率</v>
      </c>
      <c r="O53" s="2525" t="str">
        <f t="shared" si="0"/>
        <v>免征</v>
      </c>
    </row>
    <row r="54" spans="1:35" ht="12" customHeight="1">
      <c r="A54" s="2335" t="s">
        <v>1358</v>
      </c>
      <c r="B54" s="3599" t="s">
        <v>2291</v>
      </c>
      <c r="C54" s="3600"/>
      <c r="D54" s="1087">
        <f ca="1">C68</f>
        <v>258</v>
      </c>
      <c r="E54" s="327" t="s">
        <v>1359</v>
      </c>
      <c r="F54" s="2553">
        <f>'数据-取费表'!B41</f>
        <v>5.5000000000000007E-2</v>
      </c>
      <c r="G54" s="2554"/>
      <c r="H54" s="2555"/>
      <c r="I54" s="1807"/>
      <c r="J54" s="2522">
        <v>3</v>
      </c>
      <c r="K54" s="3575" t="s">
        <v>1360</v>
      </c>
      <c r="L54" s="3575"/>
      <c r="M54" s="2524">
        <f t="shared" ca="1" si="0"/>
        <v>2789</v>
      </c>
      <c r="N54" s="2522" t="str">
        <f t="shared" si="0"/>
        <v>增值额×税（费）率</v>
      </c>
      <c r="O54" s="2526" t="str">
        <f t="shared" si="0"/>
        <v>免征</v>
      </c>
    </row>
    <row r="55" spans="1:35" ht="24" customHeight="1">
      <c r="A55" s="3635" t="s">
        <v>1361</v>
      </c>
      <c r="B55" s="3613"/>
      <c r="C55" s="3613"/>
      <c r="D55" s="2324">
        <f ca="1">IF(H55="个人住宅",0,ROUND(D45*I55,0))</f>
        <v>2</v>
      </c>
      <c r="E55" s="2334" t="s">
        <v>1362</v>
      </c>
      <c r="F55" s="2553" t="str">
        <f>IF(H55="正常",I55,"免征")</f>
        <v>免征</v>
      </c>
      <c r="G55" s="2554"/>
      <c r="H55" s="2549"/>
      <c r="I55" s="165">
        <f>'数据-取费表'!B49</f>
        <v>5.0000000000000001E-4</v>
      </c>
      <c r="J55" s="2522">
        <f>IF(H59="非个人房产","",4)</f>
        <v>4</v>
      </c>
      <c r="K55" s="3575" t="str">
        <f>IF(H59="非个人房产","——","个人所得税")</f>
        <v>个人所得税</v>
      </c>
      <c r="L55" s="3575"/>
      <c r="M55" s="2527">
        <f ca="1">D59</f>
        <v>47</v>
      </c>
      <c r="N55" s="2040" t="str">
        <f>E59</f>
        <v>差额计税</v>
      </c>
      <c r="O55" s="2528">
        <f>F59</f>
        <v>0.01</v>
      </c>
    </row>
    <row r="56" spans="1:35" ht="24.75">
      <c r="A56" s="3635" t="s">
        <v>1363</v>
      </c>
      <c r="B56" s="3613"/>
      <c r="C56" s="3613"/>
      <c r="D56" s="2324">
        <f ca="1">IF(H56="个人住宅",D57,D58)</f>
        <v>2789</v>
      </c>
      <c r="E56" s="2334" t="s">
        <v>1364</v>
      </c>
      <c r="F56" s="2553" t="str">
        <f>IF(H56="正常",F58,"免征")</f>
        <v>免征</v>
      </c>
      <c r="G56" s="2556" t="s">
        <v>1365</v>
      </c>
      <c r="H56" s="2557"/>
      <c r="I56" s="1808"/>
      <c r="J56" s="2522" t="str">
        <f>IF(项目基本情况!K6="上海银行",IF(J55="",4,J55+1),"")</f>
        <v/>
      </c>
      <c r="K56" s="3556" t="str">
        <f>IF(项目基本情况!K6="上海银行","其他处置费用","")</f>
        <v/>
      </c>
      <c r="L56" s="3557"/>
      <c r="M56" s="2524"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4"/>
      <c r="H57" s="2558"/>
      <c r="I57" s="1808"/>
      <c r="J57" s="3575">
        <f>IF(AND(J55="",J56=""),4,IF(项目基本情况!K6="上海银行",结果表!J56+1,结果表!J55+1))</f>
        <v>5</v>
      </c>
      <c r="K57" s="3575" t="s">
        <v>1367</v>
      </c>
      <c r="L57" s="2529" t="s">
        <v>1368</v>
      </c>
      <c r="M57" s="2530"/>
      <c r="N57" s="2531">
        <f ca="1">SUMIF(M52:M56,"&lt;9e307")</f>
        <v>2838</v>
      </c>
      <c r="O57" s="2532"/>
      <c r="P57" s="2688">
        <f ca="1">N57/M49</f>
        <v>0.57694653384834316</v>
      </c>
    </row>
    <row r="58" spans="1:35" ht="24.75">
      <c r="A58" s="2335" t="s">
        <v>1352</v>
      </c>
      <c r="B58" s="3599" t="s">
        <v>1369</v>
      </c>
      <c r="C58" s="3598"/>
      <c r="D58" s="2324">
        <f ca="1">IF(H58="转让取得",C81,C97)</f>
        <v>2789</v>
      </c>
      <c r="E58" s="2334" t="s">
        <v>1364</v>
      </c>
      <c r="F58" s="302" t="s">
        <v>28</v>
      </c>
      <c r="G58" s="2554"/>
      <c r="H58" s="2557"/>
      <c r="I58" s="1808"/>
      <c r="J58" s="3575"/>
      <c r="K58" s="3575"/>
      <c r="L58" s="2529" t="s">
        <v>1370</v>
      </c>
      <c r="M58" s="2533"/>
      <c r="N58" s="2534" t="str">
        <f ca="1">NUMBERSTRING(INT(N57*10000),2)&amp;"元整"</f>
        <v>贰仟捌佰叁拾捌万元整</v>
      </c>
      <c r="O58" s="2535"/>
    </row>
    <row r="59" spans="1:35" ht="24.75" thickBot="1">
      <c r="A59" s="3579" t="s">
        <v>1371</v>
      </c>
      <c r="B59" s="3580"/>
      <c r="C59" s="3580"/>
      <c r="D59" s="2559">
        <f ca="1">IF(H59="非个人房产","——",IF(H59="个人住宅（满五唯一有凭证）",0,IF(H59="个人其他（无凭证）",ROUND(D45*F59,0),ROUND(C67*F59,0))))</f>
        <v>47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577">
        <f>J57+1</f>
        <v>6</v>
      </c>
      <c r="K59" s="3575" t="s">
        <v>1372</v>
      </c>
      <c r="L59" s="2522" t="s">
        <v>1368</v>
      </c>
      <c r="M59" s="2536"/>
      <c r="N59" s="2537">
        <f ca="1">M49-N57</f>
        <v>2081</v>
      </c>
      <c r="O59" s="2538"/>
    </row>
    <row r="60" spans="1:35" ht="12" customHeight="1">
      <c r="A60" s="1809"/>
      <c r="B60" s="1747"/>
      <c r="C60" s="1747"/>
      <c r="D60" s="1747"/>
      <c r="E60" s="1578"/>
      <c r="F60" s="1808"/>
      <c r="G60" s="1808"/>
      <c r="H60" s="1810"/>
      <c r="I60" s="129"/>
      <c r="J60" s="3578"/>
      <c r="K60" s="3575"/>
      <c r="L60" s="2529" t="s">
        <v>1370</v>
      </c>
      <c r="M60" s="2533"/>
      <c r="N60" s="2534" t="str">
        <f ca="1">NUMBERSTRING(INT(N59*10000),2)&amp;"元整"</f>
        <v>贰仟零捌拾壹万元整</v>
      </c>
      <c r="O60" s="2535"/>
    </row>
    <row r="61" spans="1:35" ht="13.5" thickBot="1">
      <c r="A61" s="3634" t="s">
        <v>1373</v>
      </c>
      <c r="B61" s="3634"/>
      <c r="C61" s="3634"/>
      <c r="D61" s="3634"/>
      <c r="E61" s="3634"/>
      <c r="F61" s="1808"/>
      <c r="G61" s="1808"/>
      <c r="H61" s="1810"/>
      <c r="I61" s="129"/>
      <c r="J61" s="2522">
        <f>J59+1</f>
        <v>7</v>
      </c>
      <c r="K61" s="3575" t="s">
        <v>1374</v>
      </c>
      <c r="L61" s="3575"/>
      <c r="M61" s="2539"/>
      <c r="N61" s="2540">
        <f ca="1">ROUND(N59*10000/'数据-汇总表'!E3,0)</f>
        <v>1950</v>
      </c>
      <c r="O61" s="2541"/>
    </row>
    <row r="62" spans="1:35" ht="12.75">
      <c r="A62" s="3594" t="s">
        <v>1375</v>
      </c>
      <c r="B62" s="3595"/>
      <c r="C62" s="2021"/>
      <c r="D62" s="2021" t="s">
        <v>1376</v>
      </c>
      <c r="E62" s="166" t="s">
        <v>1377</v>
      </c>
      <c r="F62" s="1808"/>
      <c r="G62" s="1808"/>
      <c r="H62" s="1810"/>
      <c r="I62" s="129"/>
    </row>
    <row r="63" spans="1:35" ht="12.75">
      <c r="A63" s="173" t="s">
        <v>330</v>
      </c>
      <c r="B63" s="167" t="s">
        <v>1378</v>
      </c>
      <c r="C63" s="2563">
        <f ca="1">ROUND((C64+C65)/(1+'数据-取费表'!C42),0)</f>
        <v>4685</v>
      </c>
      <c r="D63" s="167"/>
      <c r="E63" s="168"/>
      <c r="F63" s="1808"/>
      <c r="G63" s="1808"/>
      <c r="H63" s="1810"/>
      <c r="I63" s="129"/>
      <c r="J63" s="3558" t="s">
        <v>1379</v>
      </c>
      <c r="K63" s="1332" t="s">
        <v>1380</v>
      </c>
      <c r="L63" s="1332">
        <f ca="1">IF(M49&gt;10000,M49*0.5%,IF(AND(M49&gt;1000,M49&lt;=10000),M49*1%,IF(AND(M49&gt;100,M49&lt;=1000),M49*3%,IF(AND(M49&gt;10,M49&lt;=100),M49*5%,M49*8%))))</f>
        <v>49.19</v>
      </c>
      <c r="M63" s="302">
        <f ca="1">ROUND(L63,1)</f>
        <v>49.2</v>
      </c>
      <c r="N63" s="2542"/>
      <c r="Z63" s="1752"/>
      <c r="AI63" s="1753"/>
    </row>
    <row r="64" spans="1:35" ht="14.25" customHeight="1">
      <c r="A64" s="169" t="s">
        <v>325</v>
      </c>
      <c r="B64" s="170" t="s">
        <v>1381</v>
      </c>
      <c r="C64" s="2564">
        <f ca="1">D45</f>
        <v>4919</v>
      </c>
      <c r="D64" s="170" t="s">
        <v>26</v>
      </c>
      <c r="E64" s="172"/>
      <c r="F64" s="1808"/>
      <c r="G64" s="1808"/>
      <c r="H64" s="1810"/>
      <c r="I64" s="129"/>
      <c r="J64" s="3558"/>
      <c r="K64" s="1332" t="s">
        <v>1382</v>
      </c>
      <c r="L64" s="1332">
        <f ca="1">IF(M49&gt;2000,M49*0.5%,IF(AND(M49&gt;1000,M49&lt;=2000),M49*0.6%,IF(AND(M49&gt;500,M49&lt;=1000),M49*0.7%,IF(AND(M49&gt;200,M49&lt;=500),M49*0.8%,IF(AND(M49&gt;100,M49&lt;=200),M49*0.9%,IF(AND(M49&gt;50,M49&lt;=100),M49*1%,IF(AND(M49&gt;20,M49&lt;=50),M49*1.5%,IF(AND(M49&gt;10,M49&lt;=20),M49*2%,IF(AND(M49&gt;1,M49&lt;=10),M49*2.5%)))))))))</f>
        <v>24.594999999999999</v>
      </c>
      <c r="M64" s="302">
        <f t="shared" ref="M64:M65" ca="1" si="1">ROUND(L64,1)</f>
        <v>24.6</v>
      </c>
      <c r="N64" s="2543" t="s">
        <v>1383</v>
      </c>
      <c r="Z64" s="1752"/>
      <c r="AI64" s="1753"/>
    </row>
    <row r="65" spans="1:35" ht="14.25" customHeight="1">
      <c r="A65" s="169" t="s">
        <v>326</v>
      </c>
      <c r="B65" s="170" t="s">
        <v>1384</v>
      </c>
      <c r="C65" s="2565"/>
      <c r="D65" s="170"/>
      <c r="E65" s="172"/>
      <c r="F65" s="1808"/>
      <c r="G65" s="1808"/>
      <c r="H65" s="1810"/>
      <c r="I65" s="129"/>
      <c r="J65" s="3558"/>
      <c r="K65" s="1332" t="s">
        <v>1385</v>
      </c>
      <c r="L65" s="1332">
        <f ca="1">IF(M49&gt;1000,M49*0.1%,IF(AND(M49&gt;500,M49&lt;=1000),M49*0.5%,IF(AND(M49&gt;50,M49&lt;=500),M49*1%,IF(AND(M49&gt;1,M49&lt;=50),M49*1.5%))))</f>
        <v>4.9190000000000005</v>
      </c>
      <c r="M65" s="302">
        <f t="shared" ca="1" si="1"/>
        <v>4.9000000000000004</v>
      </c>
      <c r="N65" s="2543" t="s">
        <v>1383</v>
      </c>
      <c r="Z65" s="1752"/>
      <c r="AI65" s="1753"/>
    </row>
    <row r="66" spans="1:35" ht="14.25" customHeight="1">
      <c r="A66" s="173" t="s">
        <v>327</v>
      </c>
      <c r="B66" s="174" t="s">
        <v>1386</v>
      </c>
      <c r="C66" s="2566"/>
      <c r="D66" s="174" t="s">
        <v>26</v>
      </c>
      <c r="E66" s="1338" t="s">
        <v>671</v>
      </c>
      <c r="F66" s="1808"/>
      <c r="G66" s="1808"/>
      <c r="H66" s="1810"/>
      <c r="I66" s="129"/>
      <c r="J66" s="3558"/>
      <c r="K66" s="1332" t="s">
        <v>1387</v>
      </c>
      <c r="L66" s="1332">
        <f ca="1">M49*0.5%</f>
        <v>24.594999999999999</v>
      </c>
      <c r="M66" s="302">
        <f ca="1">IF(L66&gt;0.5,0.5,ROUND(L66,0))</f>
        <v>0.5</v>
      </c>
      <c r="N66" s="2543" t="s">
        <v>1388</v>
      </c>
      <c r="Z66" s="1752"/>
      <c r="AI66" s="1753"/>
    </row>
    <row r="67" spans="1:35" ht="14.25" customHeight="1">
      <c r="A67" s="173" t="s">
        <v>328</v>
      </c>
      <c r="B67" s="174" t="s">
        <v>1389</v>
      </c>
      <c r="C67" s="2567">
        <f ca="1">C63-C66</f>
        <v>4685</v>
      </c>
      <c r="D67" s="170" t="s">
        <v>26</v>
      </c>
      <c r="E67" s="172"/>
      <c r="F67" s="1808"/>
      <c r="G67" s="1808"/>
      <c r="H67" s="1810"/>
      <c r="I67" s="129"/>
      <c r="J67" s="355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258</v>
      </c>
      <c r="D68" s="2569">
        <f>'数据-取费表'!B41</f>
        <v>5.5000000000000007E-2</v>
      </c>
      <c r="E68" s="178"/>
      <c r="F68" s="1808"/>
      <c r="G68" s="1808"/>
      <c r="H68" s="1810"/>
      <c r="I68" s="129"/>
      <c r="J68" s="3558"/>
      <c r="K68" s="1332" t="s">
        <v>1392</v>
      </c>
      <c r="L68" s="1332">
        <f ca="1">IF(M49&gt;10000,M49*0.5%,IF(AND(M49&gt;5000,M49&lt;=10000),M49*1%,IF(AND(M49&gt;1000,M49&lt;=5000),M49*2%,IF(AND(M49&gt;200,M49&lt;=1000),M49*3%,M49*5%))))</f>
        <v>98.38</v>
      </c>
      <c r="M68" s="302">
        <f ca="1">ROUND(L68,1)</f>
        <v>98.4</v>
      </c>
      <c r="N68" s="2542"/>
      <c r="Z68" s="1752"/>
      <c r="AI68" s="1753"/>
    </row>
    <row r="69" spans="1:35" s="1772" customFormat="1" ht="16.5" customHeight="1">
      <c r="A69" s="1811"/>
      <c r="B69" s="1812"/>
      <c r="C69" s="1813"/>
      <c r="D69" s="1814"/>
      <c r="E69" s="1815"/>
      <c r="F69" s="1578"/>
      <c r="G69" s="1578"/>
      <c r="H69" s="1577"/>
      <c r="I69" s="1747"/>
      <c r="J69" s="3558"/>
      <c r="K69" s="1332" t="s">
        <v>1393</v>
      </c>
      <c r="L69" s="1332"/>
      <c r="M69" s="302">
        <f ca="1">ROUND(SUM(M63:M68),0)</f>
        <v>180</v>
      </c>
      <c r="N69" s="2544">
        <f ca="1">M69/M49</f>
        <v>3.659280341532832E-2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4685</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23</v>
      </c>
      <c r="D78" s="2576">
        <f>'数据-取费表'!B43</f>
        <v>5.000000000000001E-3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4662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202.69565217391303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2789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4685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0" t="s">
        <v>2128</v>
      </c>
      <c r="H90" s="3561"/>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1" t="s">
        <v>1422</v>
      </c>
      <c r="F92" s="3592"/>
      <c r="G92" s="3592"/>
      <c r="H92" s="3593"/>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23</v>
      </c>
      <c r="D93" s="2576">
        <f>'数据-取费表'!B43</f>
        <v>5.000000000000001E-3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4662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202.69565217391303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2789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4" t="str">
        <f>C4</f>
        <v>成本法</v>
      </c>
      <c r="D101" s="2585" t="str">
        <f>D4</f>
        <v>收益法</v>
      </c>
      <c r="E101" s="3554" t="s">
        <v>1431</v>
      </c>
      <c r="F101" s="3555"/>
      <c r="G101" s="1827" t="s">
        <v>1432</v>
      </c>
      <c r="H101" s="2594">
        <f ca="1">H118</f>
        <v>4919</v>
      </c>
      <c r="I101" s="129"/>
    </row>
    <row r="102" spans="1:35" ht="18.75" customHeight="1">
      <c r="A102" s="3586" t="s">
        <v>1433</v>
      </c>
      <c r="B102" s="2583" t="s">
        <v>1432</v>
      </c>
      <c r="C102" s="2584">
        <f ca="1">IF(D32="楼面单价",ROUND(C19,0),C19)</f>
        <v>4851</v>
      </c>
      <c r="D102" s="2585">
        <f ca="1">IF(D32="楼面单价",ROUND(D19,0),D19)</f>
        <v>4987</v>
      </c>
      <c r="E102" s="3554"/>
      <c r="F102" s="3555"/>
      <c r="G102" s="1827" t="s">
        <v>1434</v>
      </c>
      <c r="H102" s="2554">
        <f ca="1">I118</f>
        <v>4608</v>
      </c>
      <c r="I102" s="129"/>
    </row>
    <row r="103" spans="1:35" ht="42.75" customHeight="1">
      <c r="A103" s="3586"/>
      <c r="B103" s="2583" t="s">
        <v>1434</v>
      </c>
      <c r="C103" s="2586">
        <f ca="1">C20</f>
        <v>4545</v>
      </c>
      <c r="D103" s="2587">
        <f ca="1">D20</f>
        <v>4672</v>
      </c>
      <c r="E103" s="3547" t="s">
        <v>1435</v>
      </c>
      <c r="F103" s="3548"/>
      <c r="G103" s="1828" t="s">
        <v>1436</v>
      </c>
      <c r="H103" s="2594">
        <f>IF(D36="正常操作",H104+H105+H106,H105+H106)</f>
        <v>0</v>
      </c>
      <c r="I103" s="129"/>
    </row>
    <row r="104" spans="1:35" ht="18.75" customHeight="1">
      <c r="A104" s="3586" t="s">
        <v>1437</v>
      </c>
      <c r="B104" s="2588" t="s">
        <v>1432</v>
      </c>
      <c r="C104" s="2589">
        <f ca="1">H118</f>
        <v>4919</v>
      </c>
      <c r="D104" s="2590"/>
      <c r="E104" s="1674" t="s">
        <v>1438</v>
      </c>
      <c r="F104" s="1666"/>
      <c r="G104" s="1828" t="s">
        <v>1436</v>
      </c>
      <c r="H104" s="2595">
        <f>IF(D36="同一抵押权人同一抵押物续贷",C36&amp;"（续贷，未扣减，详见特别提示）",C36)</f>
        <v>0</v>
      </c>
      <c r="I104" s="129"/>
    </row>
    <row r="105" spans="1:35" ht="18.75" customHeight="1" thickBot="1">
      <c r="A105" s="3596"/>
      <c r="B105" s="2591" t="s">
        <v>1434</v>
      </c>
      <c r="C105" s="2592">
        <f ca="1">I118</f>
        <v>4608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7" t="str">
        <f>IF(项目基本情况!E8="已注销","——","3.房地产抵押价值")</f>
        <v>3.房地产抵押价值</v>
      </c>
      <c r="F107" s="3555"/>
      <c r="G107" s="1827" t="s">
        <v>1432</v>
      </c>
      <c r="H107" s="2594">
        <f ca="1">IF(E107="——","——",H101-H103)</f>
        <v>4919</v>
      </c>
      <c r="I107" s="129"/>
    </row>
    <row r="108" spans="1:35" ht="18.75" customHeight="1">
      <c r="A108" s="129"/>
      <c r="B108" s="129"/>
      <c r="C108" s="129"/>
      <c r="D108" s="129"/>
      <c r="E108" s="3587"/>
      <c r="F108" s="3555"/>
      <c r="G108" s="1827" t="s">
        <v>1434</v>
      </c>
      <c r="H108" s="2554">
        <f ca="1">IF(H107=H101,H102,ROUND(H107*10000/'数据-汇总表'!E3,0))</f>
        <v>4608</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7" t="str">
        <f>IF(E109="——","——",H101-H105-H106)</f>
        <v>——</v>
      </c>
      <c r="I109" s="129"/>
    </row>
    <row r="110" spans="1:35" ht="18.75" customHeight="1">
      <c r="A110" s="129"/>
      <c r="B110" s="129"/>
      <c r="C110" s="129"/>
      <c r="D110" s="129"/>
      <c r="E110" s="3587"/>
      <c r="F110" s="3555"/>
      <c r="G110" s="1827" t="s">
        <v>1434</v>
      </c>
      <c r="H110" s="2554"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4.抵押净值</v>
      </c>
      <c r="F111" s="3574"/>
      <c r="G111" s="1827" t="s">
        <v>1432</v>
      </c>
      <c r="H111" s="2594">
        <f ca="1">IF(E111="——","——",N59)</f>
        <v>2081</v>
      </c>
      <c r="I111" s="129"/>
    </row>
    <row r="112" spans="1:35" ht="18.75" customHeight="1" thickBot="1">
      <c r="A112" s="129"/>
      <c r="B112" s="129"/>
      <c r="C112" s="129"/>
      <c r="D112" s="129"/>
      <c r="E112" s="3589"/>
      <c r="F112" s="3590"/>
      <c r="G112" s="1830" t="s">
        <v>1434</v>
      </c>
      <c r="H112" s="2598">
        <f ca="1">IF(E111="——","——",N61)</f>
        <v>1950</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599" t="str">
        <f>项目基本情况!S2</f>
        <v>河北省三河市燕郊开发区北外环南侧、韩国工业园小区路西侧工业项目房地产</v>
      </c>
      <c r="B118" s="2329">
        <f>M18</f>
        <v>10674.210000000001</v>
      </c>
      <c r="C118" s="2329">
        <f>M19</f>
        <v>23060</v>
      </c>
      <c r="D118" s="2329">
        <f ca="1">ROUND(IF(D32="总价",C34,E118*B118/10000),0)</f>
        <v>2174</v>
      </c>
      <c r="E118" s="2329">
        <f ca="1">ROUND(IF(C33="自定义",IF(D32="楼面单价",C34,D118*10000/B118),I118-G118),0)</f>
        <v>2036</v>
      </c>
      <c r="F118" s="2329">
        <f ca="1">ROUND(IF(D32="总价",C35,G118*B118/10000),0)</f>
        <v>2745</v>
      </c>
      <c r="G118" s="2329">
        <f ca="1">ROUND(IF(D32="楼面单价",C35,F118*10000/B118),0)</f>
        <v>2572</v>
      </c>
      <c r="H118" s="2329">
        <f ca="1">ROUND(IF(D32="总价",C32,I118*B118/10000),0)</f>
        <v>4919</v>
      </c>
      <c r="I118" s="2329">
        <f ca="1">ROUND(IF(D32="楼面单价",C32,H118*10000/B118),0)</f>
        <v>4608</v>
      </c>
    </row>
    <row r="119" spans="1:27" ht="18.75" customHeight="1">
      <c r="A119" s="3562" t="s">
        <v>1452</v>
      </c>
      <c r="B119" s="3562"/>
      <c r="C119" s="3562"/>
      <c r="D119" s="3568" t="str">
        <f ca="1">NUMBERSTRING(INT(D118*10000),2)&amp;"元整"</f>
        <v>贰仟壹佰柒拾肆万元整</v>
      </c>
      <c r="E119" s="3569"/>
      <c r="F119" s="3568" t="str">
        <f ca="1">NUMBERSTRING(INT(F118*10000),2)&amp;"元整"</f>
        <v>贰仟柒佰肆拾伍万元整</v>
      </c>
      <c r="G119" s="3569"/>
      <c r="H119" s="3568" t="str">
        <f ca="1">NUMBERSTRING(INT(H118*10000),2)&amp;"元整"</f>
        <v>肆仟玖佰壹拾玖万元整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4919</v>
      </c>
      <c r="E122" s="3564"/>
      <c r="F122" s="3564"/>
      <c r="G122" s="3564"/>
      <c r="H122" s="3564"/>
      <c r="I122" s="3565"/>
      <c r="AA122" s="725"/>
    </row>
    <row r="123" spans="1:27" ht="18.75" customHeight="1">
      <c r="A123" s="3562" t="s">
        <v>1452</v>
      </c>
      <c r="B123" s="3562"/>
      <c r="C123" s="3562"/>
      <c r="D123" s="3568" t="str">
        <f ca="1">NUMBERSTRING(INT(D122*10000),2)&amp;"元整"</f>
        <v>肆仟玖佰壹拾玖万元整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抵押净值</v>
      </c>
      <c r="B126" s="3574"/>
      <c r="C126" s="3574"/>
      <c r="D126" s="3563">
        <f ca="1">H111</f>
        <v>2081</v>
      </c>
      <c r="E126" s="3564"/>
      <c r="F126" s="3564"/>
      <c r="G126" s="3564"/>
      <c r="H126" s="3564"/>
      <c r="I126" s="3565"/>
      <c r="AA126" s="725"/>
    </row>
    <row r="127" spans="1:27" ht="18.75" customHeight="1">
      <c r="A127" s="3562" t="s">
        <v>1452</v>
      </c>
      <c r="B127" s="3562"/>
      <c r="C127" s="3562"/>
      <c r="D127" s="3568" t="str">
        <f ca="1">NUMBERSTRING(INT(D126*10000),2)&amp;"元整"</f>
        <v>贰仟零捌拾壹万元整</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0" sqref="G6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4851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1793</v>
      </c>
      <c r="D5" s="211" t="s">
        <v>1469</v>
      </c>
      <c r="E5" s="212" t="s">
        <v>1470</v>
      </c>
      <c r="F5" s="212" t="s">
        <v>1471</v>
      </c>
      <c r="G5" s="213"/>
    </row>
    <row r="6" spans="1:9" s="214" customFormat="1" ht="13.5" customHeight="1">
      <c r="A6" s="778" t="s">
        <v>1472</v>
      </c>
      <c r="B6" s="215" t="s">
        <v>1473</v>
      </c>
      <c r="C6" s="216">
        <f>'土地比较法-工业'!B2</f>
        <v>1626</v>
      </c>
      <c r="D6" s="217"/>
      <c r="E6" s="218"/>
      <c r="F6" s="218"/>
      <c r="G6" s="219"/>
    </row>
    <row r="7" spans="1:9" s="214" customFormat="1" ht="13.5" customHeight="1">
      <c r="A7" s="778" t="s">
        <v>1474</v>
      </c>
      <c r="B7" s="215" t="s">
        <v>1475</v>
      </c>
      <c r="C7" s="220">
        <f>ROUND(C6*F7,0)</f>
        <v>50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117</v>
      </c>
      <c r="D8" s="222"/>
      <c r="E8" s="220"/>
      <c r="F8" s="221"/>
      <c r="G8" s="1856" t="s">
        <v>3471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3472</v>
      </c>
      <c r="H9" s="1137"/>
      <c r="I9" s="1858" t="s">
        <v>1479</v>
      </c>
    </row>
    <row r="10" spans="1:9" s="214" customFormat="1" ht="13.5" customHeight="1">
      <c r="A10" s="779" t="s">
        <v>356</v>
      </c>
      <c r="B10" s="224" t="s">
        <v>1480</v>
      </c>
      <c r="C10" s="225">
        <f ca="1">ROUND(D10*E10/10000,0)</f>
        <v>117</v>
      </c>
      <c r="D10" s="845">
        <f ca="1">IF(B1="",'数据-汇总表'!E6,IF(INDIRECT("'数据-取费表'!c"&amp;$G$1)="住宅",INDIRECT("'数据-取费表'!s"&amp;$G$1),INDIRECT("'数据-取费表'!k"&amp;$G$1)+INDIRECT("'数据-取费表'!s"&amp;$G$1)))</f>
        <v>10674.210000000001</v>
      </c>
      <c r="E10" s="225">
        <f>'数据-取费表'!B28</f>
        <v>110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10674.210000000001</v>
      </c>
      <c r="E19" s="211">
        <f>'数据-取费表'!B31</f>
        <v>200</v>
      </c>
      <c r="F19" s="231"/>
      <c r="G19" s="1856" t="s">
        <v>3473</v>
      </c>
    </row>
    <row r="20" spans="1:7" s="214" customFormat="1" ht="13.5" customHeight="1">
      <c r="A20" s="255" t="s">
        <v>1493</v>
      </c>
      <c r="B20" s="210" t="s">
        <v>1494</v>
      </c>
      <c r="C20" s="232">
        <f ca="1">ROUND((C5+C19)*F20,0)</f>
        <v>36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65</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91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91</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2775</v>
      </c>
      <c r="D34" s="217"/>
      <c r="E34" s="220"/>
      <c r="F34" s="257">
        <f ca="1">IF('数据-取费表'!B24=0,1,IF(B1="",'数据-取费表'!N16,INDIRECT("'数据-取费表'!n"&amp;$G$1)))</f>
        <v>1</v>
      </c>
      <c r="G34" s="219" t="s">
        <v>1526</v>
      </c>
    </row>
    <row r="35" spans="1:7" ht="13.5" customHeight="1">
      <c r="A35" s="780" t="s">
        <v>351</v>
      </c>
      <c r="B35" s="215" t="s">
        <v>1527</v>
      </c>
      <c r="C35" s="220">
        <f ca="1">ROUND(C34*F35,0)</f>
        <v>83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213</v>
      </c>
      <c r="D37" s="217">
        <f ca="1">D19</f>
        <v>10674.210000000001</v>
      </c>
      <c r="E37" s="249">
        <f>'数据-取费表'!B35</f>
        <v>200</v>
      </c>
      <c r="F37" s="259"/>
      <c r="G37" s="261" t="s">
        <v>1532</v>
      </c>
    </row>
    <row r="38" spans="1:7" ht="13.5" customHeight="1">
      <c r="A38" s="780" t="s">
        <v>354</v>
      </c>
      <c r="B38" s="215" t="s">
        <v>1533</v>
      </c>
      <c r="C38" s="220">
        <f ca="1">ROUND(C34*F38,0)</f>
        <v>42</v>
      </c>
      <c r="D38" s="220"/>
      <c r="E38" s="220"/>
      <c r="F38" s="259">
        <f>'数据-取费表'!B36</f>
        <v>1.4999999999999999E-2</v>
      </c>
      <c r="G38" s="219" t="s">
        <v>1528</v>
      </c>
    </row>
    <row r="39" spans="1:7" s="214" customFormat="1" ht="13.5" customHeight="1">
      <c r="A39" s="255" t="s">
        <v>1534</v>
      </c>
      <c r="B39" s="210" t="s">
        <v>1535</v>
      </c>
      <c r="C39" s="232">
        <f ca="1">ROUND(C33*F20,0)</f>
        <v>62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55</v>
      </c>
      <c r="D42" s="238"/>
      <c r="E42" s="238"/>
      <c r="F42" s="239"/>
      <c r="G42" s="3641" t="s">
        <v>1544</v>
      </c>
    </row>
    <row r="43" spans="1:7" ht="13.5" customHeight="1">
      <c r="A43" s="780" t="s">
        <v>347</v>
      </c>
      <c r="B43" s="215" t="s">
        <v>1545</v>
      </c>
      <c r="C43" s="238">
        <f ca="1">ROUND(IF('数据-取费表'!B22&lt;=1,C39*F22*'数据-取费表'!B21/2,C39*(POWER((1+F22),'数据-取费表'!B21/2)-1)),0)</f>
        <v>1</v>
      </c>
      <c r="D43" s="238"/>
      <c r="E43" s="238"/>
      <c r="F43" s="239"/>
      <c r="G43" s="3642"/>
    </row>
    <row r="44" spans="1:7" ht="13.5" customHeight="1">
      <c r="A44" s="780" t="s">
        <v>348</v>
      </c>
      <c r="B44" s="215" t="s">
        <v>1546</v>
      </c>
      <c r="C44" s="238">
        <f ca="1">ROUND(IF('数据-取费表'!B22&lt;=1,C40*F22*'数据-取费表'!B21/2,C40*(POWER((1+F22),'数据-取费表'!B21/2)-1)),4)</f>
        <v>4.0000000000000002E-4</v>
      </c>
      <c r="D44" s="238"/>
      <c r="E44" s="238"/>
      <c r="F44" s="239"/>
      <c r="G44" s="3643"/>
    </row>
    <row r="45" spans="1:7" s="214" customFormat="1" ht="13.5" customHeight="1">
      <c r="A45" s="255" t="s">
        <v>1547</v>
      </c>
      <c r="B45" s="244" t="s">
        <v>1513</v>
      </c>
      <c r="C45" s="245">
        <f ca="1">C46</f>
        <v>159</v>
      </c>
      <c r="D45" s="235">
        <f ca="1">C47</f>
        <v>1E-3</v>
      </c>
      <c r="E45" s="236" t="s">
        <v>1539</v>
      </c>
      <c r="F45" s="246">
        <f ca="1">F27</f>
        <v>0.05</v>
      </c>
      <c r="G45" s="247" t="s">
        <v>1548</v>
      </c>
    </row>
    <row r="46" spans="1:7" s="214" customFormat="1" ht="13.5" customHeight="1">
      <c r="A46" s="780" t="s">
        <v>346</v>
      </c>
      <c r="B46" s="248" t="s">
        <v>1549</v>
      </c>
      <c r="C46" s="249">
        <f ca="1">ROUND((C33+C39)*F27,0)</f>
        <v>159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3660</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2708</v>
      </c>
      <c r="D51" s="232"/>
      <c r="E51" s="232"/>
      <c r="F51" s="264"/>
      <c r="G51" s="234" t="s">
        <v>1560</v>
      </c>
    </row>
    <row r="52" spans="1:7" s="208" customFormat="1" ht="16.5" thickBot="1">
      <c r="A52" s="265" t="s">
        <v>1561</v>
      </c>
      <c r="B52" s="266"/>
      <c r="C52" s="267">
        <f ca="1">C31+C51</f>
        <v>4851</v>
      </c>
      <c r="D52" s="266"/>
      <c r="E52" s="266"/>
      <c r="F52" s="266"/>
      <c r="G52" s="268"/>
    </row>
    <row r="55" spans="1:7" ht="15">
      <c r="B55" s="270" t="s">
        <v>1562</v>
      </c>
      <c r="C55" s="271"/>
    </row>
    <row r="56" spans="1:7">
      <c r="B56" s="273" t="s">
        <v>802</v>
      </c>
      <c r="C56" s="275">
        <f ca="1">1-C57</f>
        <v>0.44199999999999995</v>
      </c>
    </row>
    <row r="57" spans="1:7">
      <c r="B57" s="273" t="s">
        <v>803</v>
      </c>
      <c r="C57" s="274">
        <f ca="1">ROUND(C51/C52,3)</f>
        <v>0.55800000000000005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河北省三河市燕郊开发区北外环南侧、韩国工业园小区路西侧工业项目房地产抵押价值预评估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3104.8159999999998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2909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1174163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1174163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1174163</v>
      </c>
      <c r="D10" s="845">
        <f ca="1">IF(B1="",'数据-汇总表'!E6,IF(INDIRECT("'数据-取费表'!c"&amp;$G$1)="住宅",INDIRECT("'数据-取费表'!s"&amp;$G$1),INDIRECT("'数据-取费表'!k"&amp;$G$1)+INDIRECT("'数据-取费表'!s"&amp;$G$1)))</f>
        <v>10674.210000000001</v>
      </c>
      <c r="E10" s="225">
        <f>'数据-取费表'!B28</f>
        <v>110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2134842</v>
      </c>
      <c r="D19" s="849">
        <f ca="1">D9+D10</f>
        <v>10674.210000000001</v>
      </c>
      <c r="E19" s="211">
        <f>'数据-取费表'!B31</f>
        <v>200</v>
      </c>
      <c r="F19" s="231"/>
      <c r="G19" s="1856"/>
    </row>
    <row r="20" spans="1:7" s="214" customFormat="1" ht="13.5" customHeight="1">
      <c r="A20" s="255" t="s">
        <v>1574</v>
      </c>
      <c r="B20" s="210" t="s">
        <v>1575</v>
      </c>
      <c r="C20" s="232">
        <f ca="1">ROUND((C5+C19)*F20,0)</f>
        <v>66180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118645</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41683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75787</v>
      </c>
      <c r="D24" s="238"/>
      <c r="E24" s="238"/>
      <c r="F24" s="239"/>
      <c r="G24" s="240" t="s">
        <v>1586</v>
      </c>
    </row>
    <row r="25" spans="1:7" s="214" customFormat="1" ht="24">
      <c r="A25" s="780" t="s">
        <v>1476</v>
      </c>
      <c r="B25" s="215" t="s">
        <v>1587</v>
      </c>
      <c r="C25" s="1128">
        <f ca="1">ROUND(IF('数据-取费表'!B22&lt;=1,C20*F22*'数据-取费表'!B22/2,C20*(POWER((1+F22),'数据-取费表'!B22/2)-1)),0)</f>
        <v>1175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168759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168759</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3954426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31136670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27752946</v>
      </c>
      <c r="D34" s="217"/>
      <c r="E34" s="220"/>
      <c r="F34" s="257"/>
      <c r="G34" s="219"/>
    </row>
    <row r="35" spans="1:7" ht="13.5" customHeight="1">
      <c r="A35" s="780" t="s">
        <v>351</v>
      </c>
      <c r="B35" s="215" t="s">
        <v>1527</v>
      </c>
      <c r="C35" s="220">
        <f ca="1">ROUND(C34*F35,0)</f>
        <v>832588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2134842</v>
      </c>
      <c r="D37" s="217">
        <f ca="1">D19</f>
        <v>10674.210000000001</v>
      </c>
      <c r="E37" s="249">
        <f>'数据-取费表'!B35</f>
        <v>200</v>
      </c>
      <c r="F37" s="259"/>
      <c r="G37" s="261"/>
    </row>
    <row r="38" spans="1:7" ht="13.5" customHeight="1">
      <c r="A38" s="780" t="s">
        <v>354</v>
      </c>
      <c r="B38" s="215" t="s">
        <v>1533</v>
      </c>
      <c r="C38" s="220">
        <f ca="1">ROUND(C34*F38,0)</f>
        <v>416294</v>
      </c>
      <c r="D38" s="220"/>
      <c r="E38" s="220"/>
      <c r="F38" s="259">
        <f>'数据-取费表'!B36</f>
        <v>1.4999999999999999E-2</v>
      </c>
      <c r="G38" s="219" t="s">
        <v>1528</v>
      </c>
    </row>
    <row r="39" spans="1:7" s="214" customFormat="1" ht="13.5" customHeight="1">
      <c r="A39" s="255" t="s">
        <v>1534</v>
      </c>
      <c r="B39" s="210" t="s">
        <v>1535</v>
      </c>
      <c r="C39" s="232">
        <f ca="1">ROUND(C33*F20,0)</f>
        <v>622733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563730</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552676</v>
      </c>
      <c r="D42" s="238"/>
      <c r="E42" s="238"/>
      <c r="F42" s="239"/>
      <c r="G42" s="3641" t="s">
        <v>1591</v>
      </c>
    </row>
    <row r="43" spans="1:7" ht="13.5" customHeight="1">
      <c r="A43" s="780" t="s">
        <v>347</v>
      </c>
      <c r="B43" s="215" t="s">
        <v>1545</v>
      </c>
      <c r="C43" s="238">
        <f ca="1">ROUND(IF('数据-取费表'!B22&lt;=1,C39*F22*'数据-取费表'!B20/2,C39*(POWER((1+F22),'数据-取费表'!B20/2)-1)),0)</f>
        <v>11054</v>
      </c>
      <c r="D43" s="238"/>
      <c r="E43" s="238"/>
      <c r="F43" s="239"/>
      <c r="G43" s="3642"/>
    </row>
    <row r="44" spans="1:7" ht="13.5" customHeight="1">
      <c r="A44" s="780" t="s">
        <v>348</v>
      </c>
      <c r="B44" s="215" t="s">
        <v>1546</v>
      </c>
      <c r="C44" s="238">
        <f ca="1">ROUND(IF('数据-取费表'!B22&lt;=1,C40*F22*'数据-取费表'!B20/2,C40*(POWER((1+F22),'数据-取费表'!B20/2)-1)),4)</f>
        <v>4.0000000000000002E-4</v>
      </c>
      <c r="D44" s="238"/>
      <c r="E44" s="238"/>
      <c r="F44" s="239"/>
      <c r="G44" s="3643"/>
    </row>
    <row r="45" spans="1:7" s="214" customFormat="1" ht="13.5" customHeight="1">
      <c r="A45" s="255" t="s">
        <v>1547</v>
      </c>
      <c r="B45" s="244" t="s">
        <v>1513</v>
      </c>
      <c r="C45" s="245">
        <f ca="1">C46</f>
        <v>1587970</v>
      </c>
      <c r="D45" s="235">
        <f ca="1">C47</f>
        <v>1E-3</v>
      </c>
      <c r="E45" s="236" t="s">
        <v>1539</v>
      </c>
      <c r="F45" s="246">
        <f ca="1">F27</f>
        <v>0.05</v>
      </c>
      <c r="G45" s="247" t="s">
        <v>1548</v>
      </c>
    </row>
    <row r="46" spans="1:7" s="214" customFormat="1" ht="13.5" customHeight="1">
      <c r="A46" s="780" t="s">
        <v>346</v>
      </c>
      <c r="B46" s="248" t="s">
        <v>1549</v>
      </c>
      <c r="C46" s="249">
        <f ca="1">ROUND((C33+C39)*F27,0)</f>
        <v>1587970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36613154</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27093734</v>
      </c>
      <c r="D51" s="232"/>
      <c r="E51" s="232"/>
      <c r="F51" s="264"/>
      <c r="G51" s="234" t="s">
        <v>1560</v>
      </c>
    </row>
    <row r="52" spans="1:7" s="208" customFormat="1" ht="16.5" thickBot="1">
      <c r="A52" s="265" t="s">
        <v>1561</v>
      </c>
      <c r="B52" s="266"/>
      <c r="C52" s="267">
        <f ca="1">C31+C51</f>
        <v>31048160</v>
      </c>
      <c r="D52" s="266"/>
      <c r="E52" s="266"/>
      <c r="F52" s="266"/>
      <c r="G52" s="268"/>
    </row>
    <row r="55" spans="1:7" ht="15">
      <c r="B55" s="270" t="s">
        <v>1562</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10674.210000000001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10674.210000000001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117</v>
      </c>
      <c r="D20" s="846">
        <f ca="1">IF(C1="",'数据-汇总表'!E6,IF(INDIRECT("'数据-取费表'!c"&amp;$K$1)="住宅",INDIRECT("'数据-取费表'!s"&amp;$K$1),INDIRECT("'数据-取费表'!k"&amp;$K$1)+INDIRECT("'数据-取费表'!s"&amp;$K$1)))</f>
        <v>10674.210000000001</v>
      </c>
      <c r="E20" s="21">
        <f>'数据-取费表'!B28</f>
        <v>110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33.65</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4987</v>
      </c>
      <c r="C2" s="1387" t="s">
        <v>805</v>
      </c>
      <c r="D2" s="1387"/>
      <c r="E2" s="1388"/>
      <c r="F2" s="1389"/>
      <c r="G2" s="2704"/>
      <c r="H2" s="2693"/>
      <c r="I2" s="2693"/>
      <c r="J2" s="2693"/>
      <c r="K2" s="2694"/>
      <c r="L2" s="2693"/>
      <c r="M2" s="2693"/>
    </row>
    <row r="3" spans="1:37" ht="18" customHeight="1" thickBot="1">
      <c r="A3" s="1390" t="s">
        <v>806</v>
      </c>
      <c r="B3" s="1391">
        <f ca="1">IF(ISERROR(B2*10000/F43),0,ROUND(B2*10000/F43,0))</f>
        <v>4672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351</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351</v>
      </c>
      <c r="D6" s="155" t="s">
        <v>2108</v>
      </c>
      <c r="E6" s="302" t="s">
        <v>696</v>
      </c>
      <c r="F6" s="303">
        <f ca="1">INDIRECT("'数据-取费表'!u"&amp;$G$1)</f>
        <v>1</v>
      </c>
      <c r="G6" s="1384"/>
      <c r="H6" s="1069" t="s">
        <v>398</v>
      </c>
      <c r="I6" s="3646" t="s">
        <v>694</v>
      </c>
      <c r="J6" s="301">
        <f ca="1">ROUND(M6*M8*M7*(1-M9)/10000,0)</f>
        <v>0</v>
      </c>
      <c r="K6" s="155"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10674.21</v>
      </c>
      <c r="G7" s="1384"/>
      <c r="H7" s="304"/>
      <c r="I7" s="3647"/>
      <c r="J7" s="306"/>
      <c r="K7" s="307"/>
      <c r="L7" s="302" t="s">
        <v>697</v>
      </c>
      <c r="M7" s="303">
        <f ca="1">F7</f>
        <v>10674.21</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3477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2708</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2775</v>
      </c>
      <c r="D14" s="1345" t="s">
        <v>708</v>
      </c>
      <c r="E14" s="1342"/>
      <c r="F14" s="319"/>
      <c r="G14" s="1384"/>
      <c r="H14" s="982" t="s">
        <v>398</v>
      </c>
      <c r="I14" s="302" t="s">
        <v>709</v>
      </c>
      <c r="J14" s="21">
        <f ca="1">C29</f>
        <v>3660</v>
      </c>
      <c r="K14" s="12"/>
      <c r="L14" s="807"/>
      <c r="M14" s="808"/>
    </row>
    <row r="15" spans="1:37" s="1397" customFormat="1" ht="18" customHeight="1" thickBot="1">
      <c r="A15" s="982" t="s">
        <v>399</v>
      </c>
      <c r="B15" s="302" t="s">
        <v>710</v>
      </c>
      <c r="C15" s="21">
        <f ca="1">ROUND(C14*F15,0)</f>
        <v>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50</v>
      </c>
      <c r="K16" s="1087" t="s">
        <v>715</v>
      </c>
      <c r="L16" s="1088"/>
      <c r="M16" s="1072"/>
    </row>
    <row r="17" spans="1:37" s="1397" customFormat="1" ht="18" customHeight="1">
      <c r="A17" s="982" t="s">
        <v>681</v>
      </c>
      <c r="B17" s="302" t="s">
        <v>716</v>
      </c>
      <c r="C17" s="21">
        <f ca="1">ROUND(F17*(F43+INDIRECT("'数据-取费表'!S"&amp;$G$1))/10000,0)</f>
        <v>213</v>
      </c>
      <c r="D17" s="302" t="s">
        <v>717</v>
      </c>
      <c r="E17" s="302" t="s">
        <v>718</v>
      </c>
      <c r="F17" s="23">
        <f>'数据-取费表'!B35</f>
        <v>200</v>
      </c>
      <c r="G17" s="1396"/>
      <c r="H17" s="982" t="s">
        <v>398</v>
      </c>
      <c r="I17" s="302" t="s">
        <v>719</v>
      </c>
      <c r="J17" s="2316">
        <f ca="1">ROUND(IF(AND(项目基本情况!B11="自然人",项目基本情况!B10="北京市"),J6*M17/(1+'数据-取费表'!C42),J18+J19+J20),2)</f>
        <v>13.84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3113</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62</v>
      </c>
      <c r="D20" s="323" t="s">
        <v>729</v>
      </c>
      <c r="E20" s="302" t="s">
        <v>712</v>
      </c>
      <c r="F20" s="322">
        <f>'数据-取费表'!B37</f>
        <v>0.02</v>
      </c>
      <c r="G20" s="1396"/>
      <c r="H20" s="982" t="s">
        <v>680</v>
      </c>
      <c r="I20" s="155" t="s">
        <v>730</v>
      </c>
      <c r="J20" s="22">
        <f ca="1">ROUND(M20*M21/10000,2)</f>
        <v>13.84</v>
      </c>
      <c r="K20" s="324" t="s">
        <v>731</v>
      </c>
      <c r="L20" s="302" t="s">
        <v>732</v>
      </c>
      <c r="M20" s="325">
        <f>'数据-取费表'!B52</f>
        <v>6</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23060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36.6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-50</v>
      </c>
      <c r="K25" s="1095" t="s">
        <v>753</v>
      </c>
      <c r="L25" s="1096"/>
      <c r="M25" s="1097"/>
    </row>
    <row r="26" spans="1:37">
      <c r="A26" s="982" t="s">
        <v>397</v>
      </c>
      <c r="B26" s="302" t="s">
        <v>754</v>
      </c>
      <c r="C26" s="21">
        <f ca="1">ROUND((C19+C20)*F26,0)</f>
        <v>159</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3660</v>
      </c>
      <c r="D29" s="1092"/>
      <c r="E29" s="1090"/>
      <c r="F29" s="1093"/>
      <c r="G29" s="1396"/>
      <c r="H29" s="334" t="s">
        <v>396</v>
      </c>
      <c r="I29" s="335" t="s">
        <v>768</v>
      </c>
      <c r="J29" s="336">
        <f ca="1">ROUND(J26/(1+F40)^F41,0)</f>
        <v>0</v>
      </c>
      <c r="K29" s="337" t="s">
        <v>769</v>
      </c>
      <c r="L29" s="338"/>
      <c r="M29" s="339">
        <f ca="1">INDIRECT("'数据-取费表'!k"&amp;$G$1)</f>
        <v>10674.21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117</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72.34</v>
      </c>
      <c r="D31" s="1345" t="s">
        <v>720</v>
      </c>
      <c r="E31" s="1344" t="s">
        <v>770</v>
      </c>
      <c r="F31" s="2315"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IF(项目基本情况!B11="自然人","——",ROUND(C6*F32/(1+'数据-取费表'!C42),2))</f>
        <v>18.39</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40.11</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13.84</v>
      </c>
      <c r="D34" s="324" t="s">
        <v>731</v>
      </c>
      <c r="E34" s="302" t="s">
        <v>732</v>
      </c>
      <c r="F34" s="325">
        <f>'数据-取费表'!B52</f>
        <v>6</v>
      </c>
      <c r="G34" s="1384"/>
      <c r="H34" s="2695"/>
      <c r="I34" s="1398"/>
      <c r="J34" s="1399"/>
      <c r="K34" s="2700"/>
      <c r="L34" s="2701"/>
      <c r="M34" s="2701"/>
    </row>
    <row r="35" spans="1:18" ht="18" customHeight="1">
      <c r="A35" s="1103"/>
      <c r="B35" s="1101"/>
      <c r="C35" s="26"/>
      <c r="D35" s="327"/>
      <c r="E35" s="302" t="s">
        <v>736</v>
      </c>
      <c r="F35" s="303">
        <f ca="1">INDIRECT("'数据-取费表'!r"&amp;$G$1)</f>
        <v>23060</v>
      </c>
      <c r="G35" s="1384"/>
      <c r="H35" s="2695"/>
      <c r="I35" s="1398"/>
      <c r="J35" s="1399"/>
      <c r="K35" s="2699"/>
      <c r="L35" s="2698"/>
      <c r="M35" s="2698"/>
    </row>
    <row r="36" spans="1:18" ht="18" customHeight="1">
      <c r="A36" s="1102" t="s">
        <v>402</v>
      </c>
      <c r="B36" s="302" t="s">
        <v>738</v>
      </c>
      <c r="C36" s="21">
        <f ca="1">ROUND(C29*F36,2)</f>
        <v>36.6</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4.0599999999999996</v>
      </c>
      <c r="D37" s="1344" t="s">
        <v>743</v>
      </c>
      <c r="E37" s="302" t="s">
        <v>744</v>
      </c>
      <c r="F37" s="330">
        <f ca="1">INDIRECT("'数据-取费表'!Al"&amp;$G$1)</f>
        <v>1.5E-3</v>
      </c>
      <c r="G37" s="1384"/>
      <c r="H37" s="2698"/>
      <c r="I37" s="1398"/>
      <c r="J37" s="1399"/>
      <c r="K37" s="2543"/>
      <c r="L37" s="2698"/>
      <c r="M37" s="2698"/>
    </row>
    <row r="38" spans="1:18" ht="18" customHeight="1" thickBot="1">
      <c r="A38" s="1089" t="s">
        <v>684</v>
      </c>
      <c r="B38" s="1090" t="s">
        <v>728</v>
      </c>
      <c r="C38" s="1091">
        <f ca="1">ROUND(C5*F38,2)</f>
        <v>3.51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234</v>
      </c>
      <c r="D39" s="1095" t="s">
        <v>773</v>
      </c>
      <c r="E39" s="1096"/>
      <c r="F39" s="1097"/>
      <c r="G39" s="1384"/>
      <c r="H39" s="2698"/>
      <c r="I39" s="1398"/>
      <c r="J39" s="1399"/>
      <c r="K39" s="2702"/>
      <c r="L39" s="2698"/>
      <c r="M39" s="2698"/>
    </row>
    <row r="40" spans="1:18" ht="18" customHeight="1">
      <c r="A40" s="299" t="s">
        <v>395</v>
      </c>
      <c r="B40" s="300" t="s">
        <v>774</v>
      </c>
      <c r="C40" s="301">
        <f ca="1">ROUND(C39*(1-((1+F42)/(1+F40))^F41)/(F40-F42),0)</f>
        <v>4859</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33.65</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4552</v>
      </c>
      <c r="D43" s="337" t="s">
        <v>777</v>
      </c>
      <c r="E43" s="338" t="s">
        <v>778</v>
      </c>
      <c r="F43" s="339">
        <f ca="1">INDIRECT("'数据-取费表'!k"&amp;$G$1)</f>
        <v>10674.21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-5746</v>
      </c>
      <c r="D46" s="1406" t="str">
        <f>C2</f>
        <v>万元</v>
      </c>
      <c r="E46" s="1400"/>
      <c r="F46" s="1400"/>
      <c r="I46" s="1407" t="s">
        <v>810</v>
      </c>
      <c r="J46" s="1408"/>
      <c r="K46" s="1409"/>
      <c r="L46" s="1410">
        <f ca="1">IF(M47="住宅",0,IF(L48&gt;J51,L60,J60))</f>
        <v>128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3475</v>
      </c>
      <c r="K47" s="1416" t="s">
        <v>816</v>
      </c>
      <c r="L47" s="1417">
        <f ca="1">INDIRECT("'数据-取费表'!d"&amp;$G$1)</f>
        <v>50</v>
      </c>
      <c r="M47" s="1380" t="str">
        <f>IF(ISNUMBER(FIND("住宅",C1)),"住宅","非住宅")</f>
        <v>非住宅</v>
      </c>
      <c r="O47" s="1418" t="s">
        <v>403</v>
      </c>
      <c r="P47" s="1419" t="s">
        <v>817</v>
      </c>
      <c r="Q47" s="1420">
        <f ca="1">C40+J29</f>
        <v>4859</v>
      </c>
      <c r="R47" s="1420" t="s">
        <v>818</v>
      </c>
    </row>
    <row r="48" spans="1:18" s="1384" customFormat="1" ht="28.5" thickBot="1">
      <c r="A48" s="1110" t="s">
        <v>438</v>
      </c>
      <c r="B48" s="300" t="s">
        <v>692</v>
      </c>
      <c r="C48" s="1359">
        <f ca="1">C49+C53+C55</f>
        <v>0</v>
      </c>
      <c r="D48" s="1112"/>
      <c r="E48" s="1113"/>
      <c r="F48" s="962"/>
      <c r="G48" s="722"/>
      <c r="H48" s="723"/>
      <c r="I48" s="1421" t="s">
        <v>819</v>
      </c>
      <c r="J48" s="1422" t="s">
        <v>3474</v>
      </c>
      <c r="K48" s="1423" t="s">
        <v>820</v>
      </c>
      <c r="L48" s="1424">
        <f ca="1">INDIRECT("'数据-取费表'!f"&amp;$G$1)</f>
        <v>33.65</v>
      </c>
      <c r="O48" s="1418" t="s">
        <v>404</v>
      </c>
      <c r="P48" s="1419" t="s">
        <v>821</v>
      </c>
      <c r="Q48" s="1420">
        <f ca="1">J60</f>
        <v>128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2007</v>
      </c>
      <c r="K49" s="1423" t="s">
        <v>824</v>
      </c>
      <c r="L49" s="1427"/>
      <c r="O49" s="1428" t="s">
        <v>405</v>
      </c>
      <c r="P49" s="1419" t="s">
        <v>825</v>
      </c>
      <c r="Q49" s="1420">
        <f ca="1">C29</f>
        <v>3660</v>
      </c>
      <c r="R49" s="1420" t="s">
        <v>818</v>
      </c>
    </row>
    <row r="50" spans="1:18" s="1384" customFormat="1" ht="13.5" thickBot="1">
      <c r="A50" s="976"/>
      <c r="B50" s="979"/>
      <c r="C50" s="1118"/>
      <c r="D50" s="953"/>
      <c r="E50" s="1056" t="s">
        <v>697</v>
      </c>
      <c r="F50" s="1057">
        <f ca="1">F7</f>
        <v>10674.21</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896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33.65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33.65</v>
      </c>
      <c r="K53" s="3644" t="s">
        <v>837</v>
      </c>
      <c r="L53" s="3645"/>
      <c r="O53" s="1418" t="s">
        <v>409</v>
      </c>
      <c r="P53" s="1419" t="s">
        <v>838</v>
      </c>
      <c r="Q53" s="1420">
        <f ca="1">Q47+Q48</f>
        <v>4987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0.30499999999999999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2708</v>
      </c>
      <c r="D56" s="1447"/>
      <c r="E56" s="1448"/>
      <c r="F56" s="1440"/>
      <c r="I56" s="1449" t="s">
        <v>842</v>
      </c>
      <c r="J56" s="1450" t="s">
        <v>3476</v>
      </c>
      <c r="K56" s="1421" t="s">
        <v>843</v>
      </c>
      <c r="L56" s="1424" t="str">
        <f ca="1">IF(L48&lt;J51,"——",L48-J53)</f>
        <v>——</v>
      </c>
      <c r="O56" s="1418" t="s">
        <v>403</v>
      </c>
      <c r="P56" s="1419" t="s">
        <v>817</v>
      </c>
      <c r="Q56" s="1420">
        <f ca="1">C40+J29</f>
        <v>4859</v>
      </c>
      <c r="R56" s="1420" t="s">
        <v>818</v>
      </c>
    </row>
    <row r="57" spans="1:18" s="1384" customFormat="1" ht="24.75" thickBot="1">
      <c r="A57" s="1451"/>
      <c r="B57" s="950" t="s">
        <v>767</v>
      </c>
      <c r="C57" s="238">
        <f ca="1">C29</f>
        <v>3660</v>
      </c>
      <c r="D57" s="1452"/>
      <c r="E57" s="1453"/>
      <c r="F57" s="1454"/>
      <c r="I57" s="1455" t="s">
        <v>844</v>
      </c>
      <c r="J57" s="1456">
        <f ca="1">IF(OR(M47="住宅",J51&lt;L48,J56="是"),"——",J51-L48)</f>
        <v>20.350000000000001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128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13.84</v>
      </c>
      <c r="D62" s="965" t="s">
        <v>786</v>
      </c>
      <c r="E62" s="950" t="s">
        <v>787</v>
      </c>
      <c r="F62" s="325">
        <f t="shared" si="0"/>
        <v>6</v>
      </c>
      <c r="I62" s="1462" t="s">
        <v>858</v>
      </c>
      <c r="J62" s="1463" t="s">
        <v>859</v>
      </c>
      <c r="K62" s="1463" t="s">
        <v>860</v>
      </c>
      <c r="L62" s="1463" t="s">
        <v>861</v>
      </c>
      <c r="M62" s="1464" t="s">
        <v>862</v>
      </c>
      <c r="O62" s="1418" t="s">
        <v>409</v>
      </c>
      <c r="P62" s="1419" t="s">
        <v>863</v>
      </c>
      <c r="Q62" s="1420">
        <f ca="1">Q56+Q57</f>
        <v>4859</v>
      </c>
      <c r="R62" s="1420" t="s">
        <v>410</v>
      </c>
    </row>
    <row r="63" spans="1:18" s="1384" customFormat="1" ht="13.5" thickBot="1">
      <c r="A63" s="326"/>
      <c r="B63" s="956"/>
      <c r="C63" s="26"/>
      <c r="D63" s="966"/>
      <c r="E63" s="950" t="s">
        <v>788</v>
      </c>
      <c r="F63" s="303">
        <f t="shared" ca="1" si="0"/>
        <v>23060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36.6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4.0599999999999996</v>
      </c>
      <c r="D65" s="964" t="s">
        <v>743</v>
      </c>
      <c r="E65" s="950" t="s">
        <v>744</v>
      </c>
      <c r="F65" s="330">
        <f t="shared" ca="1" si="0"/>
        <v>1.5E-3</v>
      </c>
      <c r="I65" s="1462" t="s">
        <v>867</v>
      </c>
      <c r="J65" s="1463">
        <v>40</v>
      </c>
      <c r="K65" s="1463">
        <v>30</v>
      </c>
      <c r="L65" s="1463">
        <v>50</v>
      </c>
      <c r="M65" s="1465">
        <v>0.02</v>
      </c>
      <c r="O65" s="1418" t="s">
        <v>403</v>
      </c>
      <c r="P65" s="1419" t="s">
        <v>868</v>
      </c>
      <c r="Q65" s="1420">
        <f ca="1">C40+J29</f>
        <v>4859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v>
      </c>
      <c r="D67" s="963" t="s">
        <v>753</v>
      </c>
      <c r="E67" s="968"/>
      <c r="F67" s="969"/>
      <c r="O67" s="1428" t="s">
        <v>405</v>
      </c>
      <c r="P67" s="1419" t="s">
        <v>850</v>
      </c>
      <c r="Q67" s="1466">
        <f ca="1">L51</f>
        <v>896</v>
      </c>
      <c r="R67" s="1420" t="s">
        <v>870</v>
      </c>
    </row>
    <row r="68" spans="1:18" s="1384" customFormat="1" ht="16.5" thickBot="1">
      <c r="A68" s="947" t="s">
        <v>395</v>
      </c>
      <c r="B68" s="948" t="s">
        <v>774</v>
      </c>
      <c r="C68" s="301">
        <f ca="1">ROUND(C67*(1-((1+F70)/(1+F68))^F69)/(F68-F70),0)</f>
        <v>-887</v>
      </c>
      <c r="D68" s="965" t="s">
        <v>758</v>
      </c>
      <c r="E68" s="950" t="s">
        <v>759</v>
      </c>
      <c r="F68" s="312">
        <f ca="1">F40</f>
        <v>0.05</v>
      </c>
      <c r="O68" s="1428" t="s">
        <v>406</v>
      </c>
      <c r="P68" s="1467" t="s">
        <v>871</v>
      </c>
      <c r="Q68" s="1420">
        <f ca="1">ROUND(Q69-Q70*Q71,0)</f>
        <v>44</v>
      </c>
      <c r="R68" s="1420" t="s">
        <v>414</v>
      </c>
    </row>
    <row r="69" spans="1:18" s="1384" customFormat="1" ht="13.5" thickBot="1">
      <c r="A69" s="951"/>
      <c r="B69" s="952"/>
      <c r="C69" s="306"/>
      <c r="D69" s="970" t="s">
        <v>762</v>
      </c>
      <c r="E69" s="950" t="s">
        <v>763</v>
      </c>
      <c r="F69" s="333">
        <f ca="1">F41</f>
        <v>33.65</v>
      </c>
      <c r="O69" s="1428" t="s">
        <v>411</v>
      </c>
      <c r="P69" s="1467" t="s">
        <v>872</v>
      </c>
      <c r="Q69" s="1420">
        <f ca="1">C39</f>
        <v>234</v>
      </c>
      <c r="R69" s="1420" t="s">
        <v>818</v>
      </c>
    </row>
    <row r="70" spans="1:18" s="1384" customFormat="1" ht="13.5" thickBot="1">
      <c r="A70" s="954"/>
      <c r="B70" s="955"/>
      <c r="C70" s="310"/>
      <c r="D70" s="966"/>
      <c r="E70" s="950" t="s">
        <v>766</v>
      </c>
      <c r="F70" s="1054"/>
      <c r="O70" s="1428" t="s">
        <v>412</v>
      </c>
      <c r="P70" s="1467" t="s">
        <v>873</v>
      </c>
      <c r="Q70" s="1420">
        <f ca="1">C13</f>
        <v>2708</v>
      </c>
      <c r="R70" s="1420" t="s">
        <v>818</v>
      </c>
    </row>
    <row r="71" spans="1:18" s="1384" customFormat="1" ht="13.5" thickBot="1">
      <c r="A71" s="971" t="s">
        <v>396</v>
      </c>
      <c r="B71" s="972" t="s">
        <v>776</v>
      </c>
      <c r="C71" s="336">
        <f ca="1">ROUND(C68*10000/F71,0)</f>
        <v>-831</v>
      </c>
      <c r="D71" s="973" t="s">
        <v>777</v>
      </c>
      <c r="E71" s="974" t="s">
        <v>778</v>
      </c>
      <c r="F71" s="339">
        <f ca="1">F43</f>
        <v>10674.21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190</v>
      </c>
      <c r="D75" s="1384"/>
      <c r="E75" s="1384"/>
      <c r="F75" s="1384"/>
      <c r="K75" s="1402"/>
      <c r="L75" s="1384"/>
      <c r="O75" s="1418" t="s">
        <v>409</v>
      </c>
      <c r="P75" s="1419" t="s">
        <v>838</v>
      </c>
      <c r="Q75" s="1420">
        <f ca="1">Q65+Q66</f>
        <v>4859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0.18799999999999994</v>
      </c>
    </row>
    <row r="80" spans="1:18">
      <c r="B80" s="340" t="s">
        <v>800</v>
      </c>
      <c r="C80" s="274">
        <f ca="1">ROUND(C75/C39,3)</f>
        <v>0.81200000000000006</v>
      </c>
    </row>
    <row r="81" spans="2:3">
      <c r="B81" s="270" t="s">
        <v>801</v>
      </c>
      <c r="C81" s="238"/>
    </row>
    <row r="82" spans="2:3">
      <c r="B82" s="273" t="s">
        <v>802</v>
      </c>
      <c r="C82" s="275">
        <f ca="1">1-C83</f>
        <v>0.44299999999999995</v>
      </c>
    </row>
    <row r="83" spans="2:3">
      <c r="B83" s="273" t="s">
        <v>803</v>
      </c>
      <c r="C83" s="274">
        <f ca="1">ROUND(C13/C40,3)</f>
        <v>0.55700000000000005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2105</v>
      </c>
      <c r="E6" s="302" t="s">
        <v>696</v>
      </c>
      <c r="F6" s="303">
        <f ca="1">INDIRECT("'数据-取费表'!u"&amp;$G$1)</f>
        <v>0</v>
      </c>
      <c r="G6" s="1384"/>
      <c r="H6" s="1069" t="s">
        <v>398</v>
      </c>
      <c r="I6" s="3646" t="s">
        <v>694</v>
      </c>
      <c r="J6" s="301">
        <f ca="1">ROUND(M6*M8*M7*(1-M9),0)</f>
        <v>0</v>
      </c>
      <c r="K6" s="1376" t="s">
        <v>2106</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6</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6</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t="e">
        <f ca="1">ROUND((C68-C40)/10000,4)</f>
        <v>#DIV/0!</v>
      </c>
      <c r="D45" s="3430"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6</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3364</v>
      </c>
      <c r="E2" s="3442"/>
      <c r="F2" s="2844"/>
      <c r="G2" s="2845"/>
      <c r="H2" s="2846"/>
      <c r="I2" s="2847"/>
      <c r="J2" s="3649" t="s">
        <v>2320</v>
      </c>
      <c r="K2" s="3650"/>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1" t="s">
        <v>2330</v>
      </c>
      <c r="K3" s="3652"/>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1" t="s">
        <v>2332</v>
      </c>
      <c r="K4" s="3652"/>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3" t="s">
        <v>2336</v>
      </c>
      <c r="B6" s="3654"/>
      <c r="C6" s="3655"/>
      <c r="D6" s="2868"/>
      <c r="E6" s="2869"/>
      <c r="F6" s="2870"/>
      <c r="G6" s="2871"/>
      <c r="H6" s="2846"/>
      <c r="I6" s="2847"/>
      <c r="J6" s="3656">
        <v>1</v>
      </c>
      <c r="K6" s="3657"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6"/>
      <c r="K7" s="3658"/>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0" t="s">
        <v>2350</v>
      </c>
      <c r="C8" s="3661"/>
      <c r="D8" s="2887" t="s">
        <v>2351</v>
      </c>
      <c r="E8" s="2888" t="s">
        <v>2352</v>
      </c>
      <c r="F8" s="2889" t="s">
        <v>2353</v>
      </c>
      <c r="G8" s="2890"/>
      <c r="H8" s="2846"/>
      <c r="I8" s="2847"/>
      <c r="J8" s="3656"/>
      <c r="K8" s="3658"/>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0" t="s">
        <v>2356</v>
      </c>
      <c r="C9" s="3661"/>
      <c r="D9" s="2887">
        <f>ROUND(D6*E9,0)</f>
        <v>0</v>
      </c>
      <c r="E9" s="2891"/>
      <c r="F9" s="2892" t="s">
        <v>2357</v>
      </c>
      <c r="G9" s="2871"/>
      <c r="H9" s="2846"/>
      <c r="I9" s="2847"/>
      <c r="J9" s="3656"/>
      <c r="K9" s="3658"/>
      <c r="L9" s="2881" t="s">
        <v>2358</v>
      </c>
      <c r="M9" s="2882"/>
      <c r="N9" s="2858"/>
      <c r="O9" s="2883"/>
      <c r="P9" s="2883"/>
      <c r="Q9" s="2884">
        <v>365</v>
      </c>
      <c r="R9" s="2885">
        <f t="shared" si="0"/>
        <v>0</v>
      </c>
      <c r="S9" s="2839"/>
      <c r="T9" s="2839"/>
      <c r="U9" s="2839"/>
      <c r="V9" s="2847"/>
    </row>
    <row r="10" spans="1:22" s="2851" customFormat="1" ht="13.15" customHeight="1">
      <c r="A10" s="2886">
        <v>2</v>
      </c>
      <c r="B10" s="3660" t="s">
        <v>2359</v>
      </c>
      <c r="C10" s="3661"/>
      <c r="D10" s="2887">
        <f>ROUND(D6*E10,0)</f>
        <v>0</v>
      </c>
      <c r="E10" s="2891"/>
      <c r="F10" s="2892" t="s">
        <v>2360</v>
      </c>
      <c r="G10" s="2871"/>
      <c r="H10" s="2846"/>
      <c r="I10" s="2847"/>
      <c r="J10" s="3656"/>
      <c r="K10" s="3658"/>
      <c r="L10" s="2881" t="s">
        <v>2361</v>
      </c>
      <c r="M10" s="2882"/>
      <c r="N10" s="2858"/>
      <c r="O10" s="2883"/>
      <c r="P10" s="2883"/>
      <c r="Q10" s="2884">
        <v>365</v>
      </c>
      <c r="R10" s="2885">
        <f t="shared" si="0"/>
        <v>0</v>
      </c>
      <c r="S10" s="2839"/>
      <c r="T10" s="2839"/>
      <c r="U10" s="2839"/>
      <c r="V10" s="2847"/>
    </row>
    <row r="11" spans="1:22" s="2851" customFormat="1" ht="13.15" customHeight="1">
      <c r="A11" s="2886">
        <v>3</v>
      </c>
      <c r="B11" s="3660" t="s">
        <v>2362</v>
      </c>
      <c r="C11" s="3661"/>
      <c r="D11" s="2887">
        <f>D12+D14+D15+D16</f>
        <v>0</v>
      </c>
      <c r="E11" s="2893" t="e">
        <f>D11/D6</f>
        <v>#DIV/0!</v>
      </c>
      <c r="F11" s="2889"/>
      <c r="G11" s="2890"/>
      <c r="H11" s="2846"/>
      <c r="I11" s="2847"/>
      <c r="J11" s="3656"/>
      <c r="K11" s="3658"/>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2" t="s">
        <v>2365</v>
      </c>
      <c r="C12" s="3663"/>
      <c r="D12" s="2895">
        <f>ROUND(D13*1.2%*(1-30%),0)</f>
        <v>0</v>
      </c>
      <c r="E12" s="2896">
        <v>1.2E-2</v>
      </c>
      <c r="F12" s="2889" t="s">
        <v>2366</v>
      </c>
      <c r="G12" s="2890"/>
      <c r="H12" s="2846"/>
      <c r="I12" s="2847"/>
      <c r="J12" s="3656"/>
      <c r="K12" s="3658"/>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6"/>
      <c r="K13" s="3658"/>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2" t="s">
        <v>2371</v>
      </c>
      <c r="C14" s="3663"/>
      <c r="D14" s="2895">
        <f>ROUND(E14*B5/10000,0)</f>
        <v>0</v>
      </c>
      <c r="E14" s="2884"/>
      <c r="F14" s="2889" t="s">
        <v>2372</v>
      </c>
      <c r="G14" s="2890"/>
      <c r="H14" s="2846"/>
      <c r="I14" s="2847"/>
      <c r="J14" s="3656"/>
      <c r="K14" s="3659"/>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2" t="s">
        <v>2375</v>
      </c>
      <c r="C15" s="3663"/>
      <c r="D15" s="2895">
        <f>ROUND(D6*E15,0)</f>
        <v>0</v>
      </c>
      <c r="E15" s="2896">
        <v>5.5E-2</v>
      </c>
      <c r="F15" s="2889" t="s">
        <v>2376</v>
      </c>
      <c r="G15" s="2871"/>
      <c r="H15" s="2846"/>
      <c r="I15" s="2847"/>
      <c r="J15" s="3656">
        <v>2</v>
      </c>
      <c r="K15" s="3657"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2" t="s">
        <v>2384</v>
      </c>
      <c r="C16" s="3663"/>
      <c r="D16" s="2906">
        <f>D6*E16</f>
        <v>0</v>
      </c>
      <c r="E16" s="2907"/>
      <c r="F16" s="2892" t="s">
        <v>2385</v>
      </c>
      <c r="G16" s="2871"/>
      <c r="H16" s="2846"/>
      <c r="I16" s="2847"/>
      <c r="J16" s="3656"/>
      <c r="K16" s="3658"/>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4" t="s">
        <v>2387</v>
      </c>
      <c r="C17" s="3665"/>
      <c r="D17" s="2909">
        <f>ROUND(D6*E17,0)</f>
        <v>0</v>
      </c>
      <c r="E17" s="2910"/>
      <c r="F17" s="2911" t="s">
        <v>2388</v>
      </c>
      <c r="G17" s="2871"/>
      <c r="H17" s="2846"/>
      <c r="I17" s="2847"/>
      <c r="J17" s="3656"/>
      <c r="K17" s="3658"/>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6"/>
      <c r="K18" s="3658"/>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6"/>
      <c r="K19" s="3659"/>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6">
        <v>3</v>
      </c>
      <c r="K20" s="3657"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6"/>
      <c r="K21" s="3658"/>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6"/>
      <c r="K22" s="3658"/>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6"/>
      <c r="K23" s="3658"/>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6"/>
      <c r="K24" s="3659"/>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9" t="s">
        <v>2320</v>
      </c>
      <c r="K32" s="3650"/>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1" t="s">
        <v>2330</v>
      </c>
      <c r="K33" s="3652"/>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1" t="s">
        <v>2332</v>
      </c>
      <c r="K34" s="365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6">
        <v>1</v>
      </c>
      <c r="K36" s="3657"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6"/>
      <c r="K37" s="3658"/>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6"/>
      <c r="K38" s="3658"/>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6"/>
      <c r="K39" s="3658"/>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6"/>
      <c r="K40" s="3659"/>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4987</v>
      </c>
      <c r="C2" s="1872" t="s">
        <v>1651</v>
      </c>
      <c r="D2" s="1873" t="s">
        <v>1652</v>
      </c>
      <c r="E2" s="2606">
        <f>SUM(E6:E13)</f>
        <v>10674.21</v>
      </c>
      <c r="F2" s="2705"/>
      <c r="G2" s="1489"/>
      <c r="H2" s="1489"/>
      <c r="I2" s="1489"/>
      <c r="J2" s="1489"/>
      <c r="K2" s="1489"/>
      <c r="L2" s="1489"/>
      <c r="M2" s="1489"/>
      <c r="N2" s="1489"/>
      <c r="O2" s="1489"/>
      <c r="P2" s="1489"/>
      <c r="Q2" s="1489"/>
      <c r="R2" s="1489"/>
      <c r="S2" s="1489"/>
    </row>
    <row r="3" spans="1:22" ht="15.75">
      <c r="A3" s="1870" t="s">
        <v>686</v>
      </c>
      <c r="B3" s="2600">
        <f ca="1">ROUND(B2*10000/E2,0)</f>
        <v>4672</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1653</v>
      </c>
      <c r="B5" s="3668" t="s">
        <v>1654</v>
      </c>
      <c r="C5" s="3669"/>
      <c r="D5" s="2706"/>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4987</v>
      </c>
      <c r="C6" s="1872" t="s">
        <v>1651</v>
      </c>
      <c r="D6" s="2707"/>
      <c r="E6" s="2605">
        <f>IF(OR(A6=0,F6="否"),0,'数据-取费表'!K6+'数据-取费表'!S6)</f>
        <v>10674.21</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7"/>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7"/>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7"/>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7"/>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7"/>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7"/>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8"/>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10674.210000000001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3"/>
      <c r="M4" s="2714"/>
      <c r="N4" s="2714"/>
      <c r="O4" s="2714"/>
      <c r="P4" s="3692" t="s">
        <v>1672</v>
      </c>
      <c r="Q4" s="3693"/>
      <c r="R4" s="3675" t="s">
        <v>1668</v>
      </c>
      <c r="S4" s="3676"/>
      <c r="T4" s="3675" t="s">
        <v>1669</v>
      </c>
      <c r="U4" s="3676"/>
      <c r="V4" s="3700" t="s">
        <v>1670</v>
      </c>
      <c r="W4" s="3700"/>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3"/>
      <c r="M5" s="2714"/>
      <c r="N5" s="2714"/>
      <c r="O5" s="27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1890" t="s">
        <v>1678</v>
      </c>
      <c r="L6" s="2713"/>
      <c r="M6" s="2714"/>
      <c r="N6" s="2714"/>
      <c r="O6" s="27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7"/>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7"/>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7"/>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7"/>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5"/>
      <c r="Q16" s="1352"/>
      <c r="R16" s="705"/>
      <c r="S16" s="706"/>
      <c r="T16" s="705"/>
      <c r="U16" s="706"/>
      <c r="V16" s="705"/>
      <c r="W16" s="706"/>
      <c r="X16" s="1355"/>
      <c r="Y16" s="370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5"/>
      <c r="Q18" s="1352"/>
      <c r="R18" s="705"/>
      <c r="S18" s="706"/>
      <c r="T18" s="705"/>
      <c r="U18" s="706"/>
      <c r="V18" s="705"/>
      <c r="W18" s="706"/>
      <c r="X18" s="1355"/>
      <c r="Y18" s="370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5"/>
      <c r="Q20" s="1352"/>
      <c r="R20" s="705"/>
      <c r="S20" s="706"/>
      <c r="T20" s="705"/>
      <c r="U20" s="706"/>
      <c r="V20" s="705"/>
      <c r="W20" s="706"/>
      <c r="X20" s="1355"/>
      <c r="Y20" s="370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5"/>
      <c r="Q22" s="1352"/>
      <c r="R22" s="705"/>
      <c r="S22" s="706"/>
      <c r="T22" s="705"/>
      <c r="U22" s="706"/>
      <c r="V22" s="705"/>
      <c r="W22" s="706"/>
      <c r="X22" s="1355"/>
      <c r="Y22" s="370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9" t="s">
        <v>1696</v>
      </c>
      <c r="Q32" s="1352" t="str">
        <f t="shared" si="11"/>
        <v>建筑类型</v>
      </c>
      <c r="R32" s="705" t="s">
        <v>18</v>
      </c>
      <c r="S32" s="706">
        <f t="shared" si="12"/>
        <v>100</v>
      </c>
      <c r="T32" s="705" t="s">
        <v>18</v>
      </c>
      <c r="U32" s="706">
        <f t="shared" si="13"/>
        <v>100</v>
      </c>
      <c r="V32" s="705" t="s">
        <v>18</v>
      </c>
      <c r="W32" s="706">
        <f t="shared" si="14"/>
        <v>100</v>
      </c>
      <c r="X32" s="1355"/>
      <c r="Y32" s="371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10674.210000000001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5"/>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5"/>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5"/>
      <c r="Y6" s="3698"/>
      <c r="Z6" s="3699"/>
      <c r="AA6" s="3672"/>
      <c r="AB6" s="3700"/>
      <c r="AC6" s="3672"/>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7"/>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5"/>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5"/>
      <c r="Q18" s="1352"/>
      <c r="R18" s="705"/>
      <c r="S18" s="706"/>
      <c r="T18" s="705"/>
      <c r="U18" s="706"/>
      <c r="V18" s="705"/>
      <c r="W18" s="706"/>
      <c r="X18" s="1355"/>
      <c r="Y18" s="370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5"/>
      <c r="Q20" s="1352"/>
      <c r="R20" s="705"/>
      <c r="S20" s="706"/>
      <c r="T20" s="705"/>
      <c r="U20" s="706"/>
      <c r="V20" s="705"/>
      <c r="W20" s="706"/>
      <c r="X20" s="1355"/>
      <c r="Y20" s="370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5"/>
      <c r="Q22" s="1352"/>
      <c r="R22" s="705"/>
      <c r="S22" s="706"/>
      <c r="T22" s="705"/>
      <c r="U22" s="706"/>
      <c r="V22" s="705"/>
      <c r="W22" s="706"/>
      <c r="X22" s="1355"/>
      <c r="Y22" s="370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5"/>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0"/>
      <c r="Q36" s="1352" t="str">
        <f t="shared" si="11"/>
        <v>成新度</v>
      </c>
      <c r="R36" s="705" t="s">
        <v>14</v>
      </c>
      <c r="S36" s="706" t="e">
        <f t="shared" si="12"/>
        <v>#N/A</v>
      </c>
      <c r="T36" s="705" t="s">
        <v>14</v>
      </c>
      <c r="U36" s="706" t="e">
        <f t="shared" si="13"/>
        <v>#N/A</v>
      </c>
      <c r="V36" s="705" t="s">
        <v>14</v>
      </c>
      <c r="W36" s="706" t="e">
        <f t="shared" si="14"/>
        <v>#N/A</v>
      </c>
      <c r="X36" s="1355"/>
      <c r="Y36" s="371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05" t="str">
        <f>A47</f>
        <v>成交单价（元/平方米）</v>
      </c>
      <c r="Q47" s="3705"/>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10674.210000000001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722" t="s">
        <v>1775</v>
      </c>
      <c r="Q4" s="3723"/>
      <c r="R4" s="3717" t="s">
        <v>1771</v>
      </c>
      <c r="S4" s="3718"/>
      <c r="T4" s="3717" t="s">
        <v>1772</v>
      </c>
      <c r="U4" s="3718"/>
      <c r="V4" s="3726" t="s">
        <v>1773</v>
      </c>
      <c r="W4" s="3726"/>
      <c r="X4" s="1958"/>
      <c r="Y4" s="3717" t="s">
        <v>1775</v>
      </c>
      <c r="Z4" s="3718"/>
      <c r="AA4" s="3716" t="s">
        <v>1771</v>
      </c>
      <c r="AB4" s="3716" t="s">
        <v>1772</v>
      </c>
      <c r="AC4" s="3719" t="s">
        <v>1773</v>
      </c>
    </row>
    <row r="5" spans="1:29" ht="15">
      <c r="A5" s="358"/>
      <c r="B5" s="359"/>
      <c r="C5" s="3681" t="s">
        <v>1673</v>
      </c>
      <c r="D5" s="3682"/>
      <c r="E5" s="3679" t="s">
        <v>1674</v>
      </c>
      <c r="F5" s="3680"/>
      <c r="G5" s="3681" t="s">
        <v>1675</v>
      </c>
      <c r="H5" s="3682"/>
      <c r="I5" s="3681" t="s">
        <v>1676</v>
      </c>
      <c r="J5" s="3682"/>
      <c r="K5" s="559"/>
      <c r="L5" s="2713"/>
      <c r="M5" s="2714"/>
      <c r="N5" s="2714"/>
      <c r="O5" s="2714"/>
      <c r="P5" s="3724"/>
      <c r="Q5" s="3695"/>
      <c r="R5" s="3677"/>
      <c r="S5" s="3678"/>
      <c r="T5" s="3677"/>
      <c r="U5" s="3678"/>
      <c r="V5" s="3700"/>
      <c r="W5" s="3700"/>
      <c r="X5" s="1355"/>
      <c r="Y5" s="3677"/>
      <c r="Z5" s="3678"/>
      <c r="AA5" s="3671"/>
      <c r="AB5" s="3671"/>
      <c r="AC5" s="3720"/>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725"/>
      <c r="Q6" s="3697"/>
      <c r="R6" s="3677"/>
      <c r="S6" s="3678"/>
      <c r="T6" s="3698"/>
      <c r="U6" s="3699"/>
      <c r="V6" s="3700"/>
      <c r="W6" s="3700"/>
      <c r="X6" s="1355"/>
      <c r="Y6" s="3698"/>
      <c r="Z6" s="3699"/>
      <c r="AA6" s="3672"/>
      <c r="AB6" s="3672"/>
      <c r="AC6" s="3721"/>
    </row>
    <row r="7" spans="1:29" s="108" customFormat="1" ht="15.75" thickBot="1">
      <c r="A7" s="362" t="s">
        <v>1679</v>
      </c>
      <c r="B7" s="363"/>
      <c r="C7" s="364">
        <f>'数据-取费表'!B2</f>
        <v>45124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7"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7"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5"/>
      <c r="Q16" s="1352"/>
      <c r="R16" s="705"/>
      <c r="S16" s="706"/>
      <c r="T16" s="705"/>
      <c r="U16" s="706"/>
      <c r="V16" s="705"/>
      <c r="W16" s="706"/>
      <c r="X16" s="1355"/>
      <c r="Y16" s="370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5"/>
      <c r="Q18" s="1352"/>
      <c r="R18" s="705"/>
      <c r="S18" s="706"/>
      <c r="T18" s="705"/>
      <c r="U18" s="706"/>
      <c r="V18" s="705"/>
      <c r="W18" s="706"/>
      <c r="X18" s="1355"/>
      <c r="Y18" s="370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5"/>
      <c r="Q20" s="1352"/>
      <c r="R20" s="705"/>
      <c r="S20" s="706"/>
      <c r="T20" s="705"/>
      <c r="U20" s="706"/>
      <c r="V20" s="705"/>
      <c r="W20" s="706"/>
      <c r="X20" s="1355"/>
      <c r="Y20" s="370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5"/>
      <c r="Q22" s="1352"/>
      <c r="R22" s="705"/>
      <c r="S22" s="706"/>
      <c r="T22" s="705"/>
      <c r="U22" s="706"/>
      <c r="V22" s="705"/>
      <c r="W22" s="706"/>
      <c r="X22" s="1355"/>
      <c r="Y22" s="370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5"/>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5"/>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7"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10674.210000000001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受贵公司委托，我公司对河北省三河市燕郊开发区北外环南侧、韩国工业园小区路西侧工业项目房地产抵押价值进行了预评估。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三河市燕郊开发区北外环南侧、韩国工业园小区路西侧工业项目房地产，为所有。根据《国有土地使用证》[]，估价对象（分摊）出让国有建设用地使用权面积为23060平方米，建筑面积为10674.21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三河市燕郊开发区北外环南侧、韩国工业园小区路西侧工业项目房地产,属开发建设的，该项目尚在开发建设中。根据《国有土地使用证》[]，估价对象（分摊）出让国有建设用地使用权面积为23060平方米，规划建筑面积为10674.21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河北省三河市燕郊开发区北外环南侧、韩国工业园小区路西侧工业项目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8"/>
      <c r="Q15" s="1352"/>
      <c r="R15" s="705"/>
      <c r="S15" s="706"/>
      <c r="T15" s="705"/>
      <c r="U15" s="706"/>
      <c r="V15" s="705"/>
      <c r="W15" s="706"/>
      <c r="X15" s="1355"/>
      <c r="Y15" s="370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8"/>
      <c r="Q17" s="1352"/>
      <c r="R17" s="705"/>
      <c r="S17" s="706"/>
      <c r="T17" s="705"/>
      <c r="U17" s="706"/>
      <c r="V17" s="705"/>
      <c r="W17" s="706"/>
      <c r="X17" s="1355"/>
      <c r="Y17" s="370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8"/>
      <c r="Q19" s="1352"/>
      <c r="R19" s="705"/>
      <c r="S19" s="706"/>
      <c r="T19" s="705"/>
      <c r="U19" s="706"/>
      <c r="V19" s="705"/>
      <c r="W19" s="706"/>
      <c r="X19" s="1355"/>
      <c r="Y19" s="370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2"/>
      <c r="M37" s="2723"/>
      <c r="N37" s="2714"/>
      <c r="O37" s="2723"/>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45124</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8"/>
      <c r="Q15" s="1352"/>
      <c r="R15" s="705"/>
      <c r="S15" s="706"/>
      <c r="T15" s="705"/>
      <c r="U15" s="706"/>
      <c r="V15" s="705"/>
      <c r="W15" s="706"/>
      <c r="X15" s="1355"/>
      <c r="Y15" s="370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8"/>
      <c r="Q17" s="1352"/>
      <c r="R17" s="705"/>
      <c r="S17" s="706"/>
      <c r="T17" s="705"/>
      <c r="U17" s="706"/>
      <c r="V17" s="705"/>
      <c r="W17" s="706"/>
      <c r="X17" s="1355"/>
      <c r="Y17" s="370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8"/>
      <c r="Q19" s="1352"/>
      <c r="R19" s="705"/>
      <c r="S19" s="706"/>
      <c r="T19" s="705"/>
      <c r="U19" s="706"/>
      <c r="V19" s="705"/>
      <c r="W19" s="706"/>
      <c r="X19" s="1355"/>
      <c r="Y19" s="370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3"/>
      <c r="M5" s="2714"/>
      <c r="N5" s="2714"/>
      <c r="O5" s="2714"/>
      <c r="P5" s="3694"/>
      <c r="Q5" s="3695"/>
      <c r="R5" s="3677"/>
      <c r="S5" s="3678"/>
      <c r="T5" s="3677"/>
      <c r="U5" s="3678"/>
      <c r="V5" s="3700"/>
      <c r="W5" s="3700"/>
      <c r="X5" s="1355"/>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3"/>
      <c r="M6" s="2714"/>
      <c r="N6" s="2714"/>
      <c r="O6" s="2714"/>
      <c r="P6" s="3696"/>
      <c r="Q6" s="3697"/>
      <c r="R6" s="3677"/>
      <c r="S6" s="3678"/>
      <c r="T6" s="3698"/>
      <c r="U6" s="3699"/>
      <c r="V6" s="3700"/>
      <c r="W6" s="3700"/>
      <c r="X6" s="1355"/>
      <c r="Y6" s="3698"/>
      <c r="Z6" s="3699"/>
      <c r="AA6" s="3672"/>
      <c r="AB6" s="3672"/>
      <c r="AC6" s="3672"/>
    </row>
    <row r="7" spans="1:30" s="108" customFormat="1" ht="15.75" thickBot="1">
      <c r="A7" s="362" t="s">
        <v>1679</v>
      </c>
      <c r="B7" s="363"/>
      <c r="C7" s="364">
        <f>'数据-取费表'!B2</f>
        <v>45124</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7"/>
      <c r="M10" s="2718"/>
      <c r="N10" s="2718"/>
      <c r="O10" s="2771"/>
      <c r="P10" s="3705"/>
      <c r="Q10" s="1343" t="str">
        <f t="shared" si="6"/>
        <v>土地使用年限（年）</v>
      </c>
      <c r="R10" s="701" t="s">
        <v>14</v>
      </c>
      <c r="S10" s="702">
        <f t="shared" si="0"/>
        <v>115</v>
      </c>
      <c r="T10" s="701" t="s">
        <v>14</v>
      </c>
      <c r="U10" s="702">
        <f t="shared" si="1"/>
        <v>115</v>
      </c>
      <c r="V10" s="701" t="s">
        <v>14</v>
      </c>
      <c r="W10" s="702">
        <f t="shared" si="2"/>
        <v>115</v>
      </c>
      <c r="X10" s="703"/>
      <c r="Y10" s="3617"/>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5"/>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8"/>
      <c r="Q16" s="1352"/>
      <c r="R16" s="705"/>
      <c r="S16" s="706"/>
      <c r="T16" s="705"/>
      <c r="U16" s="706"/>
      <c r="V16" s="705"/>
      <c r="W16" s="706"/>
      <c r="X16" s="1355"/>
      <c r="Y16" s="370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8"/>
      <c r="Q18" s="1352"/>
      <c r="R18" s="705"/>
      <c r="S18" s="706"/>
      <c r="T18" s="705"/>
      <c r="U18" s="706"/>
      <c r="V18" s="705"/>
      <c r="W18" s="706"/>
      <c r="X18" s="1355"/>
      <c r="Y18" s="370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8"/>
      <c r="Q20" s="1352"/>
      <c r="R20" s="705"/>
      <c r="S20" s="706"/>
      <c r="T20" s="705"/>
      <c r="U20" s="706"/>
      <c r="V20" s="705"/>
      <c r="W20" s="706"/>
      <c r="X20" s="1355"/>
      <c r="Y20" s="370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8"/>
      <c r="Q24" s="1352"/>
      <c r="R24" s="705"/>
      <c r="S24" s="706"/>
      <c r="T24" s="705"/>
      <c r="U24" s="706"/>
      <c r="V24" s="705"/>
      <c r="W24" s="706"/>
      <c r="X24" s="1355"/>
      <c r="Y24" s="370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8"/>
      <c r="Q26" s="1352"/>
      <c r="R26" s="705"/>
      <c r="S26" s="706"/>
      <c r="T26" s="705"/>
      <c r="U26" s="706"/>
      <c r="V26" s="705"/>
      <c r="W26" s="706"/>
      <c r="X26" s="1355"/>
      <c r="Y26" s="370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8"/>
      <c r="Q28" s="1343"/>
      <c r="R28" s="701"/>
      <c r="S28" s="702"/>
      <c r="T28" s="701"/>
      <c r="U28" s="702"/>
      <c r="V28" s="701"/>
      <c r="W28" s="702"/>
      <c r="X28" s="703"/>
      <c r="Y28" s="370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8"/>
      <c r="Q30" s="1343"/>
      <c r="R30" s="701"/>
      <c r="S30" s="702"/>
      <c r="T30" s="701"/>
      <c r="U30" s="702"/>
      <c r="V30" s="701"/>
      <c r="W30" s="702"/>
      <c r="X30" s="703"/>
      <c r="Y30" s="370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8"/>
      <c r="Q33" s="1352"/>
      <c r="R33" s="705"/>
      <c r="S33" s="706"/>
      <c r="T33" s="705"/>
      <c r="U33" s="706"/>
      <c r="V33" s="705"/>
      <c r="W33" s="706"/>
      <c r="X33" s="1355"/>
      <c r="Y33" s="370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1"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05" t="str">
        <f>A46</f>
        <v>成交单价</v>
      </c>
      <c r="Q46" s="3705"/>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05" t="str">
        <f>A47</f>
        <v>比较价值（元/平方米）</v>
      </c>
      <c r="Q47" s="3705"/>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02" t="str">
        <f>A48</f>
        <v>估价对象XX用房的比较价值（楼面单价，元/平方米）</v>
      </c>
      <c r="Q48" s="3703"/>
      <c r="R48" s="3734" t="e">
        <f>ROUND(IF(D47="简单平均",AVERAGE(R47:W47),R47*F47+T47*H47+V47*J47),0)</f>
        <v>#DIV/0!</v>
      </c>
      <c r="S48" s="3734"/>
      <c r="T48" s="3734"/>
      <c r="U48" s="3734"/>
      <c r="V48" s="3734"/>
      <c r="W48" s="373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8" t="s">
        <v>1887</v>
      </c>
      <c r="H55" s="3735"/>
      <c r="I55" s="135" t="s">
        <v>1888</v>
      </c>
      <c r="J55" s="1985" t="str">
        <f>项目基本情况!F35</f>
        <v>河北省</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10674.210000000001</v>
      </c>
      <c r="F56" s="886" t="e">
        <f t="shared" ref="F56:F64" si="15">ROUND(B56*E56/10000,0)</f>
        <v>#DIV/0!</v>
      </c>
      <c r="G56" s="3687"/>
      <c r="H56" s="370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10674.210000000001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8" zoomScale="60" zoomScaleNormal="60" workbookViewId="0">
      <selection activeCell="K41" sqref="K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8.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1626</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1523</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3"/>
      <c r="M4" s="2714"/>
      <c r="N4" s="2714"/>
      <c r="O4" s="27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tr">
        <f>土地案例!A2</f>
        <v>李旗庄一街北侧,工园路东侧</v>
      </c>
      <c r="F5" s="3680"/>
      <c r="G5" s="3681" t="str">
        <f>土地案例!A3</f>
        <v>李旗庄三街南侧,工园路东侧</v>
      </c>
      <c r="H5" s="3682"/>
      <c r="I5" s="3681" t="str">
        <f>土地案例!A4</f>
        <v>蒋谭线南侧、密三路西侧</v>
      </c>
      <c r="J5" s="3682"/>
      <c r="K5" s="559"/>
      <c r="L5" s="2713"/>
      <c r="M5" s="2714"/>
      <c r="N5" s="2714"/>
      <c r="O5" s="2714"/>
      <c r="P5" s="3694"/>
      <c r="Q5" s="3695"/>
      <c r="R5" s="3677"/>
      <c r="S5" s="3678"/>
      <c r="T5" s="3677"/>
      <c r="U5" s="3678"/>
      <c r="V5" s="3700"/>
      <c r="W5" s="3700"/>
      <c r="X5" s="1355"/>
      <c r="Y5" s="3677"/>
      <c r="Z5" s="3678"/>
      <c r="AA5" s="3671"/>
      <c r="AB5" s="3671"/>
      <c r="AC5" s="3671"/>
    </row>
    <row r="6" spans="1:29" ht="15.75" thickBot="1">
      <c r="A6" s="360"/>
      <c r="B6" s="361"/>
      <c r="C6" s="3736" t="s">
        <v>1919</v>
      </c>
      <c r="D6" s="3737"/>
      <c r="E6" s="3738" t="s">
        <v>1919</v>
      </c>
      <c r="F6" s="3739"/>
      <c r="G6" s="3736" t="s">
        <v>1919</v>
      </c>
      <c r="H6" s="3737"/>
      <c r="I6" s="3736" t="s">
        <v>1919</v>
      </c>
      <c r="J6" s="3737"/>
      <c r="K6" s="559" t="s">
        <v>1678</v>
      </c>
      <c r="L6" s="2713"/>
      <c r="M6" s="2714"/>
      <c r="N6" s="2714"/>
      <c r="O6" s="27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45124</v>
      </c>
      <c r="D7" s="365">
        <v>100</v>
      </c>
      <c r="E7" s="366">
        <f>土地案例!L2</f>
        <v>44977.000497685185</v>
      </c>
      <c r="F7" s="367">
        <f>SUMIF(65:65,YEAR(E7)&amp;"-"&amp;INT((MONTH(E7)+2)/3),66:66)</f>
        <v>100</v>
      </c>
      <c r="G7" s="1974">
        <f>土地案例!L3</f>
        <v>44977.000497685185</v>
      </c>
      <c r="H7" s="365">
        <f>SUMIF(65:65,YEAR(G7)&amp;"-"&amp;INT((MONTH(G7)+2)/3),66:66)</f>
        <v>100</v>
      </c>
      <c r="I7" s="1974">
        <f>土地案例!L4</f>
        <v>44916.000497685185</v>
      </c>
      <c r="J7" s="365">
        <f>SUMIF(65:65,YEAR(I7)&amp;"-"&amp;INT((MONTH(I7)+2)/3),66:66)</f>
        <v>100</v>
      </c>
      <c r="K7" s="560"/>
      <c r="L7" s="2715"/>
      <c r="M7" s="2716"/>
      <c r="N7" s="2716"/>
      <c r="O7" s="2716"/>
      <c r="P7" s="3673" t="s">
        <v>1680</v>
      </c>
      <c r="Q7" s="3701"/>
      <c r="R7" s="701" t="s">
        <v>14</v>
      </c>
      <c r="S7" s="702">
        <f t="shared" ref="S7:S15" si="0">F7</f>
        <v>100</v>
      </c>
      <c r="T7" s="701" t="s">
        <v>14</v>
      </c>
      <c r="U7" s="702">
        <f t="shared" ref="U7:U15" si="1">H7</f>
        <v>100</v>
      </c>
      <c r="V7" s="701" t="s">
        <v>14</v>
      </c>
      <c r="W7" s="702">
        <f t="shared" ref="W7:W15" si="2">J7</f>
        <v>100</v>
      </c>
      <c r="X7" s="703"/>
      <c r="Y7" s="3673" t="s">
        <v>1680</v>
      </c>
      <c r="Z7" s="3674"/>
      <c r="AA7" s="704">
        <f>D7/F7</f>
        <v>1</v>
      </c>
      <c r="AB7" s="704">
        <f>D7/H7</f>
        <v>1</v>
      </c>
      <c r="AC7" s="704">
        <f>D7/J7</f>
        <v>1</v>
      </c>
    </row>
    <row r="8" spans="1:29" s="108" customFormat="1" ht="15.75" thickBot="1">
      <c r="A8" s="362" t="s">
        <v>1681</v>
      </c>
      <c r="B8" s="363"/>
      <c r="C8" s="368" t="s">
        <v>1682</v>
      </c>
      <c r="D8" s="365">
        <v>100</v>
      </c>
      <c r="E8" s="368" t="s">
        <v>3470</v>
      </c>
      <c r="F8" s="367">
        <f>SUMIF(68:68,E8,69:69)-SUMIF(68:68,C8,69:69)+100</f>
        <v>100</v>
      </c>
      <c r="G8" s="368" t="s">
        <v>3470</v>
      </c>
      <c r="H8" s="365">
        <f>SUMIF(68:68,G8,69:69)-SUMIF(68:68,C8,69:69)+100</f>
        <v>100</v>
      </c>
      <c r="I8" s="368" t="s">
        <v>3470</v>
      </c>
      <c r="J8" s="365">
        <f>SUMIF(68:68,I8,69:69)-SUMIF(68:68,C8,69:69)+100</f>
        <v>100</v>
      </c>
      <c r="K8" s="560"/>
      <c r="L8" s="2715"/>
      <c r="M8" s="2716"/>
      <c r="N8" s="2716"/>
      <c r="O8" s="27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5"/>
      <c r="M9" s="2716"/>
      <c r="N9" s="2716"/>
      <c r="O9" s="2770"/>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f>项目基本情况!H15</f>
        <v>33.65</v>
      </c>
      <c r="D10" s="127">
        <v>100</v>
      </c>
      <c r="E10" s="383"/>
      <c r="F10" s="127">
        <f>ROUND(100/'数据-取费表'!G16,0)</f>
        <v>115</v>
      </c>
      <c r="G10" s="383"/>
      <c r="H10" s="127">
        <f>ROUND(100/'数据-取费表'!G16,0)</f>
        <v>115</v>
      </c>
      <c r="I10" s="383"/>
      <c r="J10" s="127">
        <f>ROUND(100/'数据-取费表'!G16,0)</f>
        <v>115</v>
      </c>
      <c r="K10" s="620"/>
      <c r="L10" s="2717"/>
      <c r="M10" s="2718"/>
      <c r="N10" s="2718"/>
      <c r="O10" s="2771"/>
      <c r="P10" s="3705"/>
      <c r="Q10" s="1343" t="str">
        <f t="shared" si="6"/>
        <v>土地使用年限（年）</v>
      </c>
      <c r="R10" s="701" t="s">
        <v>14</v>
      </c>
      <c r="S10" s="702">
        <f t="shared" si="0"/>
        <v>115</v>
      </c>
      <c r="T10" s="701" t="s">
        <v>14</v>
      </c>
      <c r="U10" s="702">
        <f t="shared" si="1"/>
        <v>115</v>
      </c>
      <c r="V10" s="701" t="s">
        <v>14</v>
      </c>
      <c r="W10" s="702">
        <f t="shared" si="2"/>
        <v>115</v>
      </c>
      <c r="X10" s="703"/>
      <c r="Y10" s="3617"/>
      <c r="Z10" s="52" t="str">
        <f t="shared" si="7"/>
        <v>土地使用年限（年）</v>
      </c>
      <c r="AA10" s="704">
        <f t="shared" si="3"/>
        <v>0.86956521739130432</v>
      </c>
      <c r="AB10" s="704">
        <f t="shared" si="4"/>
        <v>0.86956521739130432</v>
      </c>
      <c r="AC10" s="704">
        <f t="shared" si="5"/>
        <v>0.86956521739130432</v>
      </c>
    </row>
    <row r="11" spans="1:29" ht="15.75" thickBot="1">
      <c r="A11" s="379"/>
      <c r="B11" s="375" t="s">
        <v>1689</v>
      </c>
      <c r="C11" s="380">
        <f>'数据-汇总表'!I6</f>
        <v>0.46</v>
      </c>
      <c r="D11" s="127">
        <v>100</v>
      </c>
      <c r="E11" s="380">
        <v>2</v>
      </c>
      <c r="F11" s="127">
        <f>LOOKUP(E11,75:75,76:76)-LOOKUP(C11,75:75,76:76)+100</f>
        <v>106</v>
      </c>
      <c r="G11" s="381">
        <v>2</v>
      </c>
      <c r="H11" s="127">
        <f>LOOKUP(G11,75:75,76:76)-LOOKUP(C11,75:75,76:76)+100</f>
        <v>106</v>
      </c>
      <c r="I11" s="380">
        <v>2</v>
      </c>
      <c r="J11" s="127">
        <f>LOOKUP(I11,75:75,76:76)-LOOKUP(C11,75:75,76:76)+100</f>
        <v>106</v>
      </c>
      <c r="K11" s="621">
        <v>3</v>
      </c>
      <c r="L11" s="2719"/>
      <c r="M11" s="2714"/>
      <c r="N11" s="2714"/>
      <c r="O11" s="2772"/>
      <c r="P11" s="3705"/>
      <c r="Q11" s="1343" t="str">
        <f t="shared" si="6"/>
        <v>容积率</v>
      </c>
      <c r="R11" s="701" t="s">
        <v>14</v>
      </c>
      <c r="S11" s="702">
        <f t="shared" si="0"/>
        <v>106</v>
      </c>
      <c r="T11" s="701" t="s">
        <v>14</v>
      </c>
      <c r="U11" s="702">
        <f t="shared" si="1"/>
        <v>106</v>
      </c>
      <c r="V11" s="701" t="s">
        <v>14</v>
      </c>
      <c r="W11" s="702">
        <f t="shared" si="2"/>
        <v>106</v>
      </c>
      <c r="X11" s="703"/>
      <c r="Y11" s="3617"/>
      <c r="Z11" s="52" t="str">
        <f t="shared" si="7"/>
        <v>容积率</v>
      </c>
      <c r="AA11" s="704">
        <f t="shared" si="3"/>
        <v>0.94339622641509435</v>
      </c>
      <c r="AB11" s="704">
        <f t="shared" si="4"/>
        <v>0.94339622641509435</v>
      </c>
      <c r="AC11" s="704">
        <f t="shared" si="5"/>
        <v>0.94339622641509435</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0"/>
      <c r="M15" s="2714"/>
      <c r="N15" s="2714"/>
      <c r="O15" s="277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t="s">
        <v>3483</v>
      </c>
      <c r="D16" s="399"/>
      <c r="E16" s="398" t="s">
        <v>3483</v>
      </c>
      <c r="F16" s="399"/>
      <c r="G16" s="398" t="s">
        <v>3483</v>
      </c>
      <c r="H16" s="401"/>
      <c r="I16" s="398" t="s">
        <v>3483</v>
      </c>
      <c r="J16" s="399"/>
      <c r="K16" s="620"/>
      <c r="L16" s="2720"/>
      <c r="M16" s="2714"/>
      <c r="N16" s="2714"/>
      <c r="O16" s="2772"/>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0"/>
      <c r="M17" s="2714"/>
      <c r="N17" s="2714"/>
      <c r="O17" s="277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t="s">
        <v>3484</v>
      </c>
      <c r="D18" s="399"/>
      <c r="E18" s="398" t="s">
        <v>3484</v>
      </c>
      <c r="F18" s="399"/>
      <c r="G18" s="398" t="s">
        <v>3484</v>
      </c>
      <c r="H18" s="399"/>
      <c r="I18" s="398" t="s">
        <v>3484</v>
      </c>
      <c r="J18" s="399"/>
      <c r="K18" s="620"/>
      <c r="L18" s="2720"/>
      <c r="M18" s="2714"/>
      <c r="N18" s="2714"/>
      <c r="O18" s="2772"/>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0"/>
      <c r="M19" s="2714"/>
      <c r="N19" s="2714"/>
      <c r="O19" s="2772"/>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t="s">
        <v>3484</v>
      </c>
      <c r="D20" s="399"/>
      <c r="E20" s="398" t="s">
        <v>3484</v>
      </c>
      <c r="F20" s="399"/>
      <c r="G20" s="398" t="s">
        <v>3484</v>
      </c>
      <c r="H20" s="399"/>
      <c r="I20" s="398" t="s">
        <v>3484</v>
      </c>
      <c r="J20" s="399"/>
      <c r="K20" s="740"/>
      <c r="L20" s="2720"/>
      <c r="M20" s="2714"/>
      <c r="N20" s="2714"/>
      <c r="O20" s="2772"/>
      <c r="P20" s="3708"/>
      <c r="Q20" s="1352"/>
      <c r="R20" s="705"/>
      <c r="S20" s="706"/>
      <c r="T20" s="705"/>
      <c r="U20" s="706"/>
      <c r="V20" s="705"/>
      <c r="W20" s="706"/>
      <c r="X20" s="1355"/>
      <c r="Y20" s="370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0"/>
      <c r="M21" s="2714"/>
      <c r="N21" s="2714"/>
      <c r="O21" s="2772"/>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t="s">
        <v>3484</v>
      </c>
      <c r="D22" s="399"/>
      <c r="E22" s="398" t="s">
        <v>3484</v>
      </c>
      <c r="F22" s="399"/>
      <c r="G22" s="398" t="s">
        <v>3484</v>
      </c>
      <c r="H22" s="399"/>
      <c r="I22" s="398" t="s">
        <v>3484</v>
      </c>
      <c r="J22" s="399"/>
      <c r="K22" s="620"/>
      <c r="L22" s="2720"/>
      <c r="M22" s="2714"/>
      <c r="N22" s="2714"/>
      <c r="O22" s="2772"/>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5"/>
      <c r="M23" s="2716"/>
      <c r="N23" s="2716"/>
      <c r="O23" s="2770"/>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t="s">
        <v>3484</v>
      </c>
      <c r="D24" s="399"/>
      <c r="E24" s="1978" t="s">
        <v>3484</v>
      </c>
      <c r="F24" s="399"/>
      <c r="G24" s="1978" t="s">
        <v>3484</v>
      </c>
      <c r="H24" s="399"/>
      <c r="I24" s="1978" t="s">
        <v>3484</v>
      </c>
      <c r="J24" s="399"/>
      <c r="K24" s="620"/>
      <c r="L24" s="2715"/>
      <c r="M24" s="2716"/>
      <c r="N24" s="2716"/>
      <c r="O24" s="2770"/>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5"/>
      <c r="M25" s="2716"/>
      <c r="N25" s="2716"/>
      <c r="O25" s="2770"/>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75" thickBot="1">
      <c r="A26" s="597"/>
      <c r="B26" s="580"/>
      <c r="C26" s="1978" t="s">
        <v>3485</v>
      </c>
      <c r="D26" s="399"/>
      <c r="E26" s="1978" t="s">
        <v>3485</v>
      </c>
      <c r="F26" s="399"/>
      <c r="G26" s="1978" t="s">
        <v>3485</v>
      </c>
      <c r="H26" s="399"/>
      <c r="I26" s="1978" t="s">
        <v>3485</v>
      </c>
      <c r="J26" s="399"/>
      <c r="K26" s="620"/>
      <c r="L26" s="2715"/>
      <c r="M26" s="2716"/>
      <c r="N26" s="2716"/>
      <c r="O26" s="2770"/>
      <c r="P26" s="3708"/>
      <c r="Q26" s="1343"/>
      <c r="R26" s="701"/>
      <c r="S26" s="702"/>
      <c r="T26" s="701"/>
      <c r="U26" s="702"/>
      <c r="V26" s="701"/>
      <c r="W26" s="702"/>
      <c r="X26" s="703"/>
      <c r="Y26" s="3708"/>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hidden="1">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20"/>
      <c r="M29" s="2714"/>
      <c r="N29" s="2714"/>
      <c r="O29" s="2772"/>
      <c r="P29" s="3708"/>
      <c r="Q29" s="1352"/>
      <c r="R29" s="705"/>
      <c r="S29" s="706"/>
      <c r="T29" s="705"/>
      <c r="U29" s="706"/>
      <c r="V29" s="705"/>
      <c r="W29" s="706"/>
      <c r="X29" s="1355"/>
      <c r="Y29" s="3708"/>
      <c r="Z29" s="1356"/>
      <c r="AA29" s="1353">
        <v>1</v>
      </c>
      <c r="AB29" s="1353">
        <v>1</v>
      </c>
      <c r="AC29" s="1353">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1"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1874</v>
      </c>
      <c r="C34" s="627">
        <f>'数据-汇总表'!D3</f>
        <v>23060</v>
      </c>
      <c r="D34" s="418">
        <v>100</v>
      </c>
      <c r="E34" s="627">
        <f>土地案例!I2</f>
        <v>32390</v>
      </c>
      <c r="F34" s="418">
        <f>LOOKUP(E34,108:108,109:109)-LOOKUP(C34,108:108,109:109)+100</f>
        <v>101</v>
      </c>
      <c r="G34" s="627">
        <f>土地案例!I3</f>
        <v>37968</v>
      </c>
      <c r="H34" s="418">
        <f>LOOKUP(G34,108:108,109:109)-LOOKUP(C34,108:108,109:109)+100</f>
        <v>101</v>
      </c>
      <c r="I34" s="479">
        <f>土地案例!I4</f>
        <v>13895</v>
      </c>
      <c r="J34" s="418">
        <f>LOOKUP(I34,108:108,109:109)-LOOKUP(C34,108:108,109:109)+100</f>
        <v>99</v>
      </c>
      <c r="K34" s="562"/>
      <c r="L34" s="2720"/>
      <c r="M34" s="2714"/>
      <c r="N34" s="2714"/>
      <c r="O34" s="2772"/>
      <c r="P34" s="3712"/>
      <c r="Q34" s="1352" t="str">
        <f>B34</f>
        <v>宗地面积</v>
      </c>
      <c r="R34" s="705" t="s">
        <v>14</v>
      </c>
      <c r="S34" s="706">
        <f t="shared" si="10"/>
        <v>101</v>
      </c>
      <c r="T34" s="705" t="s">
        <v>14</v>
      </c>
      <c r="U34" s="706">
        <f t="shared" si="11"/>
        <v>101</v>
      </c>
      <c r="V34" s="705" t="s">
        <v>14</v>
      </c>
      <c r="W34" s="706">
        <f t="shared" si="12"/>
        <v>99</v>
      </c>
      <c r="X34" s="1355"/>
      <c r="Y34" s="3712"/>
      <c r="Z34" s="1356" t="str">
        <f t="shared" si="13"/>
        <v>宗地面积</v>
      </c>
      <c r="AA34" s="1353">
        <f t="shared" si="3"/>
        <v>0.99009900990099009</v>
      </c>
      <c r="AB34" s="1353">
        <f t="shared" si="4"/>
        <v>0.99009900990099009</v>
      </c>
      <c r="AC34" s="1353">
        <f t="shared" si="5"/>
        <v>1.0101010101010102</v>
      </c>
    </row>
    <row r="35" spans="1:31" ht="15">
      <c r="A35" s="423"/>
      <c r="B35" s="375" t="s">
        <v>1875</v>
      </c>
      <c r="C35" s="1906" t="s">
        <v>3486</v>
      </c>
      <c r="D35" s="386">
        <v>100</v>
      </c>
      <c r="E35" s="1906" t="s">
        <v>3486</v>
      </c>
      <c r="F35" s="386">
        <f>SUMIF(110:110,E35,111:111)-SUMIF(110:110,C35,111:111)+100</f>
        <v>100</v>
      </c>
      <c r="G35" s="1906" t="s">
        <v>3486</v>
      </c>
      <c r="H35" s="386">
        <f>SUMIF(110:110,G35,111:111)-SUMIF(110:110,C35,111:111)+100</f>
        <v>100</v>
      </c>
      <c r="I35" s="1906" t="s">
        <v>3486</v>
      </c>
      <c r="J35" s="386">
        <f>SUMIF(110:110,I35,111:111)-SUMIF(110:110,C35,111:111)+100</f>
        <v>100</v>
      </c>
      <c r="K35" s="561">
        <v>2</v>
      </c>
      <c r="L35" s="2720"/>
      <c r="M35" s="2714"/>
      <c r="N35" s="2714"/>
      <c r="O35" s="2772"/>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1877</v>
      </c>
      <c r="C36" s="1980" t="s">
        <v>3488</v>
      </c>
      <c r="D36" s="127">
        <v>100</v>
      </c>
      <c r="E36" s="1980" t="s">
        <v>3488</v>
      </c>
      <c r="F36" s="386">
        <f>SUMIF(112:112,E36,113:113)-SUMIF(112:112,C36,113:113)+100</f>
        <v>100</v>
      </c>
      <c r="G36" s="1980" t="s">
        <v>3488</v>
      </c>
      <c r="H36" s="386">
        <f>SUMIF(112:112,G36,113:113)-SUMIF(112:112,C36,113:113)+100</f>
        <v>100</v>
      </c>
      <c r="I36" s="1980" t="s">
        <v>3488</v>
      </c>
      <c r="J36" s="386">
        <f>SUMIF(112:112,I36,113:113)-SUMIF(112:112,C36,113:113)+100</f>
        <v>100</v>
      </c>
      <c r="K36" s="561">
        <v>1</v>
      </c>
      <c r="L36" s="2715"/>
      <c r="M36" s="2716"/>
      <c r="N36" s="2716"/>
      <c r="O36" s="2770"/>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75" thickBot="1">
      <c r="A37" s="423"/>
      <c r="B37" s="375" t="s">
        <v>1878</v>
      </c>
      <c r="C37" s="1906" t="s">
        <v>3483</v>
      </c>
      <c r="D37" s="386">
        <v>100</v>
      </c>
      <c r="E37" s="1906" t="s">
        <v>3483</v>
      </c>
      <c r="F37" s="386">
        <f>SUMIF(114:114,E37,115:115)-SUMIF(114:114,C37,115:115)+100</f>
        <v>100</v>
      </c>
      <c r="G37" s="1906" t="s">
        <v>3483</v>
      </c>
      <c r="H37" s="386">
        <f>SUMIF(114:114,G37,115:115)-SUMIF(114:114,C37,115:115)+100</f>
        <v>100</v>
      </c>
      <c r="I37" s="1906" t="s">
        <v>3483</v>
      </c>
      <c r="J37" s="386">
        <f>SUMIF(114:114,I37,115:115)-SUMIF(114:114,C37,115:115)+100</f>
        <v>100</v>
      </c>
      <c r="K37" s="561">
        <v>2</v>
      </c>
      <c r="L37" s="2720"/>
      <c r="M37" s="2714"/>
      <c r="N37" s="2714"/>
      <c r="O37" s="2772"/>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1844</v>
      </c>
      <c r="B41" s="1982" t="s">
        <v>3468</v>
      </c>
      <c r="C41" s="630" t="s">
        <v>0</v>
      </c>
      <c r="D41" s="432"/>
      <c r="E41" s="433">
        <f>土地案例!Q2</f>
        <v>888</v>
      </c>
      <c r="F41" s="434"/>
      <c r="G41" s="435">
        <f>土地案例!Q3</f>
        <v>888</v>
      </c>
      <c r="H41" s="436"/>
      <c r="I41" s="433">
        <f>土地案例!Q4</f>
        <v>813</v>
      </c>
      <c r="J41" s="436"/>
      <c r="K41" s="714"/>
      <c r="L41" s="2722"/>
      <c r="M41" s="2714"/>
      <c r="N41" s="2714"/>
      <c r="O41" s="2723"/>
      <c r="P41" s="3705" t="str">
        <f>A41</f>
        <v>成交单价</v>
      </c>
      <c r="Q41" s="3705"/>
      <c r="R41" s="3700">
        <f>E41</f>
        <v>888</v>
      </c>
      <c r="S41" s="3700"/>
      <c r="T41" s="3700">
        <f>G41</f>
        <v>888</v>
      </c>
      <c r="U41" s="3700"/>
      <c r="V41" s="3700">
        <f>I41</f>
        <v>813</v>
      </c>
      <c r="W41" s="3700"/>
      <c r="X41" s="690"/>
      <c r="Y41" s="712"/>
      <c r="Z41" s="690"/>
      <c r="AA41" s="690"/>
      <c r="AB41" s="690"/>
      <c r="AC41" s="690"/>
    </row>
    <row r="42" spans="1:31" ht="15.75" thickBot="1">
      <c r="A42" s="437" t="s">
        <v>1793</v>
      </c>
      <c r="B42" s="631"/>
      <c r="C42" s="440">
        <f>R43</f>
        <v>705</v>
      </c>
      <c r="D42" s="2317" t="s">
        <v>2137</v>
      </c>
      <c r="E42" s="440">
        <f>R42</f>
        <v>721</v>
      </c>
      <c r="F42" s="2318"/>
      <c r="G42" s="439">
        <f>T42</f>
        <v>721</v>
      </c>
      <c r="H42" s="2318"/>
      <c r="I42" s="440">
        <f>V42</f>
        <v>674</v>
      </c>
      <c r="J42" s="2318"/>
      <c r="K42" s="2320">
        <f>F42+H42+J42</f>
        <v>0</v>
      </c>
      <c r="L42" s="2722"/>
      <c r="M42" s="2714"/>
      <c r="N42" s="2714"/>
      <c r="O42" s="2723"/>
      <c r="P42" s="3705" t="str">
        <f>A42</f>
        <v>比较价值（元/平方米）</v>
      </c>
      <c r="Q42" s="3705"/>
      <c r="R42" s="3733">
        <f>ROUND(PRODUCT(R41,AA7:AA40),0)</f>
        <v>721</v>
      </c>
      <c r="S42" s="3733"/>
      <c r="T42" s="3733">
        <f>ROUND(PRODUCT(T41,AB7:AB40),0)</f>
        <v>721</v>
      </c>
      <c r="U42" s="3733"/>
      <c r="V42" s="3733">
        <f>ROUND(PRODUCT(V41,AC7:AC40),0)</f>
        <v>674</v>
      </c>
      <c r="W42" s="3733"/>
      <c r="X42" s="690"/>
      <c r="Y42" s="690"/>
      <c r="Z42" s="690"/>
      <c r="AA42" s="690"/>
      <c r="AB42" s="690"/>
      <c r="AC42" s="690"/>
    </row>
    <row r="43" spans="1:31" ht="15.75" thickBot="1">
      <c r="A43" s="441" t="s">
        <v>1794</v>
      </c>
      <c r="B43" s="442"/>
      <c r="C43" s="443">
        <f>R43</f>
        <v>705</v>
      </c>
      <c r="D43" s="443"/>
      <c r="E43" s="443"/>
      <c r="F43" s="443"/>
      <c r="G43" s="443"/>
      <c r="H43" s="443"/>
      <c r="I43" s="443"/>
      <c r="J43" s="443"/>
      <c r="K43" s="715"/>
      <c r="L43" s="2722"/>
      <c r="M43" s="2714"/>
      <c r="N43" s="2714"/>
      <c r="O43" s="2723"/>
      <c r="P43" s="3702" t="str">
        <f>A43</f>
        <v>估价对象XX用房的比较价值（楼面单价，元/平方米）</v>
      </c>
      <c r="Q43" s="3703"/>
      <c r="R43" s="3734">
        <f>ROUND(IF(D42="简单平均",AVERAGE(R42:W42),R42*F42+T42*H42+V42*J42),0)</f>
        <v>705</v>
      </c>
      <c r="S43" s="3734"/>
      <c r="T43" s="3734"/>
      <c r="U43" s="3734"/>
      <c r="V43" s="3734"/>
      <c r="W43" s="373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f>IF(E41&lt;E42,E42/E41-1,E41/E42-1)</f>
        <v>0.23162274618585288</v>
      </c>
      <c r="F46" s="449" t="str">
        <f>IF(OR(E46&gt;=0.3,E46&lt;=-0.3),"超过30%","")</f>
        <v/>
      </c>
      <c r="G46" s="448">
        <f>IF(G41&lt;G42,G42/G41-1,G41/G42-1)</f>
        <v>0.23162274618585288</v>
      </c>
      <c r="H46" s="449" t="str">
        <f>IF(OR(G46&gt;=0.3,G46&lt;=-0.3),"超过30%","")</f>
        <v/>
      </c>
      <c r="I46" s="448">
        <f>IF(I41&lt;I42,I42/I41-1,I41/I42-1)</f>
        <v>0.20623145400593468</v>
      </c>
      <c r="J46" s="449"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f>IF(E42&lt;G42,G42/E42-1,E42/G42-1)</f>
        <v>0</v>
      </c>
      <c r="F47" s="449" t="str">
        <f>IF(OR(E47&gt;=0.2,E47&lt;=-0.2),"超过20%","")</f>
        <v/>
      </c>
      <c r="G47" s="448">
        <f>IF(G42&lt;I42,I42/G42-1,G42/I42-1)</f>
        <v>6.973293768545985E-2</v>
      </c>
      <c r="H47" s="449" t="str">
        <f>IF(OR(G47&gt;=0.2,G47&lt;=-0.2),"超过20%","")</f>
        <v/>
      </c>
      <c r="I47" s="448">
        <f>IF(I42&lt;E42,E42/I42-1,I42/E42-1)</f>
        <v>6.973293768545985E-2</v>
      </c>
      <c r="J47" s="449"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f>IF(G41&lt;I41,I41/G41-1,G41/I41-1)</f>
        <v>9.2250922509225175E-2</v>
      </c>
      <c r="H48" s="449" t="str">
        <f>IF(OR(G48&gt;=0.3,G48&lt;=-0.3),"超过30%","")</f>
        <v/>
      </c>
      <c r="I48" s="448">
        <f>IF(I41&lt;E41,E41/I41-1,I41/E41-1)</f>
        <v>9.2250922509225175E-2</v>
      </c>
      <c r="J48" s="449"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8" t="s">
        <v>1887</v>
      </c>
      <c r="H50" s="3735"/>
      <c r="I50" s="1356" t="s">
        <v>1922</v>
      </c>
      <c r="J50" s="1356" t="str">
        <f>项目基本情况!F35</f>
        <v>河北省</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f>C43</f>
        <v>705</v>
      </c>
      <c r="C51" s="638">
        <v>1</v>
      </c>
      <c r="D51" s="944">
        <v>1</v>
      </c>
      <c r="E51" s="638">
        <f>'数据-汇总表'!E8+'数据-汇总表'!E9</f>
        <v>10674.210000000001</v>
      </c>
      <c r="F51" s="639">
        <f t="shared" ref="F51:F60" si="15">ROUND(B51*E51/10000,0)</f>
        <v>753</v>
      </c>
      <c r="G51" s="3687"/>
      <c r="H51" s="370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f>ROUND($C$43*C52*D52,0)</f>
        <v>0</v>
      </c>
      <c r="C52" s="171">
        <f t="shared" ref="C52:C60" si="16">IF($C$50="北京市系数",I52,J52)</f>
        <v>0</v>
      </c>
      <c r="D52" s="945">
        <v>0.25</v>
      </c>
      <c r="E52" s="642"/>
      <c r="F52" s="639">
        <f t="shared" si="15"/>
        <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f t="shared" ref="B53:B60" si="17">ROUND($C$43*C53*D53,0)</f>
        <v>0</v>
      </c>
      <c r="C53" s="171">
        <f t="shared" si="16"/>
        <v>0</v>
      </c>
      <c r="D53" s="945">
        <v>0.25</v>
      </c>
      <c r="E53" s="642"/>
      <c r="F53" s="639">
        <f t="shared" si="15"/>
        <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f t="shared" si="17"/>
        <v>0</v>
      </c>
      <c r="C54" s="171">
        <f t="shared" si="16"/>
        <v>0</v>
      </c>
      <c r="D54" s="945">
        <v>0.25</v>
      </c>
      <c r="E54" s="642"/>
      <c r="F54" s="639">
        <f t="shared" si="15"/>
        <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f t="shared" si="17"/>
        <v>0</v>
      </c>
      <c r="C56" s="171">
        <f t="shared" si="16"/>
        <v>0</v>
      </c>
      <c r="D56" s="945">
        <v>0.25</v>
      </c>
      <c r="E56" s="217">
        <f>'数据-汇总表'!E11</f>
        <v>0</v>
      </c>
      <c r="F56" s="639">
        <f t="shared" si="15"/>
        <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f t="shared" si="17"/>
        <v>0</v>
      </c>
      <c r="C59" s="171">
        <f t="shared" si="16"/>
        <v>0</v>
      </c>
      <c r="D59" s="945">
        <v>0.25</v>
      </c>
      <c r="E59" s="217">
        <f>'数据-汇总表'!E14</f>
        <v>0</v>
      </c>
      <c r="F59" s="639">
        <f t="shared" si="15"/>
        <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f t="shared" si="17"/>
        <v>0</v>
      </c>
      <c r="C60" s="171">
        <f t="shared" si="16"/>
        <v>0</v>
      </c>
      <c r="D60" s="945">
        <v>0.25</v>
      </c>
      <c r="E60" s="217">
        <f>'数据-汇总表'!E15</f>
        <v>0</v>
      </c>
      <c r="F60" s="639">
        <f t="shared" si="15"/>
        <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23060</v>
      </c>
      <c r="F61" s="645">
        <f>IF(B41="楼面地价",SUM(F51:F60),ROUND(C43*E61/10000,0))</f>
        <v>1626</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v>100</v>
      </c>
      <c r="E66" s="544">
        <v>100</v>
      </c>
      <c r="F66" s="544">
        <v>100</v>
      </c>
      <c r="G66" s="544">
        <v>100</v>
      </c>
      <c r="H66" s="544">
        <v>100</v>
      </c>
      <c r="I66" s="544">
        <v>100</v>
      </c>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3457" t="s">
        <v>3469</v>
      </c>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v>100</v>
      </c>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0（含）-1</v>
      </c>
      <c r="D74" s="496" t="str">
        <f t="shared" ref="D74:L74" si="20">D75&amp;"（含）"&amp;"-"&amp;E75</f>
        <v>1（含）-2</v>
      </c>
      <c r="E74" s="496" t="str">
        <f t="shared" si="20"/>
        <v>2（含）-3</v>
      </c>
      <c r="F74" s="496" t="str">
        <f t="shared" si="20"/>
        <v>3（含）-4</v>
      </c>
      <c r="G74" s="496" t="str">
        <f t="shared" si="20"/>
        <v>4（含）-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v>0</v>
      </c>
      <c r="D75" s="498">
        <v>1</v>
      </c>
      <c r="E75" s="498">
        <v>2</v>
      </c>
      <c r="F75" s="498">
        <v>3</v>
      </c>
      <c r="G75" s="498">
        <v>4</v>
      </c>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103</v>
      </c>
      <c r="E76" s="493">
        <f t="shared" ref="E76:M76" si="21">IF($B$41="单位面积地价",D76+$K11,D76-$K11)</f>
        <v>106</v>
      </c>
      <c r="F76" s="493">
        <f t="shared" si="21"/>
        <v>109</v>
      </c>
      <c r="G76" s="493">
        <f t="shared" si="21"/>
        <v>112</v>
      </c>
      <c r="H76" s="493">
        <f t="shared" si="21"/>
        <v>115</v>
      </c>
      <c r="I76" s="493">
        <f t="shared" si="21"/>
        <v>118</v>
      </c>
      <c r="J76" s="493">
        <f t="shared" si="21"/>
        <v>121</v>
      </c>
      <c r="K76" s="493">
        <f t="shared" si="21"/>
        <v>124</v>
      </c>
      <c r="L76" s="493">
        <f t="shared" si="21"/>
        <v>127</v>
      </c>
      <c r="M76" s="493">
        <f t="shared" si="21"/>
        <v>130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98</v>
      </c>
      <c r="E84" s="493">
        <f>D84-$K15</f>
        <v>96</v>
      </c>
      <c r="F84" s="493">
        <f>E84-$K15</f>
        <v>94</v>
      </c>
      <c r="G84" s="493">
        <f>F84-$K15</f>
        <v>92</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98</v>
      </c>
      <c r="E86" s="493">
        <f>D86-$K17</f>
        <v>96</v>
      </c>
      <c r="F86" s="493">
        <f>E86-$K17</f>
        <v>94</v>
      </c>
      <c r="G86" s="493">
        <f>F86-$K17</f>
        <v>92</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8.5">
      <c r="A107" s="476" t="s">
        <v>1694</v>
      </c>
      <c r="B107" s="477" t="s">
        <v>1913</v>
      </c>
      <c r="C107" s="478" t="str">
        <f t="shared" ref="C107:L107" si="25">C108&amp;"(含)"&amp;"-"&amp;D108</f>
        <v>0(含)-10000</v>
      </c>
      <c r="D107" s="478" t="str">
        <f t="shared" si="25"/>
        <v>10000(含)-20000</v>
      </c>
      <c r="E107" s="478" t="str">
        <f t="shared" si="25"/>
        <v>20000(含)-30000</v>
      </c>
      <c r="F107" s="478" t="str">
        <f t="shared" si="25"/>
        <v>30000(含)-40000</v>
      </c>
      <c r="G107" s="478" t="str">
        <f t="shared" si="25"/>
        <v>40000(含)-60000</v>
      </c>
      <c r="H107" s="478" t="str">
        <f t="shared" si="25"/>
        <v>60000(含)-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v>0</v>
      </c>
      <c r="D108" s="544">
        <v>10000</v>
      </c>
      <c r="E108" s="544">
        <v>20000</v>
      </c>
      <c r="F108" s="544">
        <v>30000</v>
      </c>
      <c r="G108" s="544">
        <v>40000</v>
      </c>
      <c r="H108" s="544">
        <v>60000</v>
      </c>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v>100</v>
      </c>
      <c r="D109" s="540">
        <v>101</v>
      </c>
      <c r="E109" s="540">
        <v>102</v>
      </c>
      <c r="F109" s="540">
        <v>103</v>
      </c>
      <c r="G109" s="540">
        <v>104</v>
      </c>
      <c r="H109" s="540">
        <v>105</v>
      </c>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3797" t="s">
        <v>3487</v>
      </c>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3798" t="s">
        <v>3489</v>
      </c>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3798" t="s">
        <v>3490</v>
      </c>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3" t="s">
        <v>2083</v>
      </c>
      <c r="D1" s="3744"/>
      <c r="E1" s="3744"/>
      <c r="F1" s="3744"/>
      <c r="G1" s="3744"/>
      <c r="H1" s="3744"/>
      <c r="I1" s="3744"/>
      <c r="J1" s="3744"/>
      <c r="K1" s="3744"/>
      <c r="L1" s="3744"/>
      <c r="M1" s="3744"/>
      <c r="N1" s="3744"/>
      <c r="O1" s="3744"/>
      <c r="P1" s="3744"/>
      <c r="Q1" s="3744"/>
      <c r="R1" s="3744"/>
      <c r="S1" s="374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t="e">
        <f ca="1">SUMIF(B6:B13,"&lt;&gt;#ref!",B6:B13)</f>
        <v>#DIV/0!</v>
      </c>
      <c r="C2" s="2145" t="s">
        <v>2073</v>
      </c>
      <c r="D2" s="2145" t="s">
        <v>2074</v>
      </c>
      <c r="E2" s="2611">
        <f ca="1">SUMIF(E6:E13,"&lt;&gt;#ref!",E6:E13)</f>
        <v>0</v>
      </c>
      <c r="F2" s="2791"/>
      <c r="G2" s="2791"/>
      <c r="H2" s="2791"/>
      <c r="I2" s="2791"/>
      <c r="J2" s="2791"/>
      <c r="K2" s="2791"/>
      <c r="L2" s="2791"/>
      <c r="M2" s="2791"/>
      <c r="N2" s="2791"/>
      <c r="O2" s="2791"/>
      <c r="P2" s="2791"/>
    </row>
    <row r="3" spans="1:16" ht="15.75">
      <c r="A3" s="2145" t="s">
        <v>2075</v>
      </c>
      <c r="B3" s="2601"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t="e">
        <f ca="1">SUMIF(INDIRECT("'"&amp;A6&amp;"'"&amp;"!A:A"),"总价",INDIRECT("'"&amp;A6&amp;"'"&amp;"!B:B"))</f>
        <v>#DIV/0!</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0"/>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8"/>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3242</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7"/>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0" t="s">
        <v>1959</v>
      </c>
      <c r="X8" s="3751"/>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2"/>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3248</v>
      </c>
      <c r="G14" s="3310" t="s">
        <v>3248</v>
      </c>
      <c r="H14" s="3310" t="s">
        <v>3248</v>
      </c>
      <c r="I14" s="3310" t="s">
        <v>3248</v>
      </c>
      <c r="J14" s="3310" t="s">
        <v>3248</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3249</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7" t="s">
        <v>3259</v>
      </c>
      <c r="B20" s="167" t="s">
        <v>1993</v>
      </c>
      <c r="C20" s="3323" t="e">
        <f>ROUND(IF(F21="与级别开发程度一致",0,(G21-E21)/C21),0)</f>
        <v>#DIV/0!</v>
      </c>
      <c r="D20" s="3339" t="s">
        <v>1997</v>
      </c>
      <c r="E20" s="3340"/>
      <c r="F20" s="3763" t="s">
        <v>1994</v>
      </c>
      <c r="G20" s="3764"/>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58"/>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45124</v>
      </c>
      <c r="H23" s="3341" t="s">
        <v>3261</v>
      </c>
      <c r="I23" s="3342" t="str">
        <f>IF(H23="季度增幅（自定义）",SUMIF(N25:N28,E2,O25:O28),"")</f>
        <v/>
      </c>
      <c r="J23" s="3444" t="s">
        <v>3260</v>
      </c>
      <c r="K23" s="1125"/>
      <c r="L23" s="2055" t="s">
        <v>2003</v>
      </c>
      <c r="M23" s="1328">
        <f>ROUND(SUMIF(地价!B2:G2,E2,地价!B16:G16),0)</f>
        <v>0</v>
      </c>
      <c r="N23" s="2056" t="s">
        <v>2004</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存贷款利率!E23/100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3340</v>
      </c>
      <c r="C25" s="771">
        <f>IF(B25="容积率修正",IF(G3&lt;10,D26,J26),C27)</f>
        <v>0</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9" t="s">
        <v>1935</v>
      </c>
      <c r="M30" s="3350" t="s">
        <v>1989</v>
      </c>
      <c r="N30" s="3350" t="s">
        <v>1990</v>
      </c>
      <c r="O30" s="3350" t="s">
        <v>1991</v>
      </c>
      <c r="P30" s="3350" t="s">
        <v>1992</v>
      </c>
      <c r="Q30" s="3353"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4" t="s">
        <v>3265</v>
      </c>
      <c r="G33" s="2099"/>
      <c r="H33" s="2099"/>
      <c r="I33" s="2099"/>
      <c r="J33" s="2100"/>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3266</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3270</v>
      </c>
      <c r="L36" s="3445">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3271</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2"/>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3272</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3274</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3274</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3274</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3275</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9" t="s">
        <v>3299</v>
      </c>
      <c r="B103" s="3759"/>
      <c r="C103" s="3759"/>
      <c r="D103" s="3759"/>
      <c r="E103" s="3759"/>
      <c r="F103" s="3759"/>
      <c r="G103" s="3759"/>
      <c r="H103" s="3759"/>
      <c r="I103" s="3759"/>
      <c r="J103" s="3759"/>
      <c r="K103" s="3388"/>
      <c r="L103" s="3388"/>
      <c r="M103" s="3388"/>
      <c r="N103" s="3388"/>
    </row>
    <row r="104" spans="1:14">
      <c r="A104" s="3760" t="s">
        <v>3300</v>
      </c>
      <c r="B104" s="3760" t="s">
        <v>3301</v>
      </c>
      <c r="C104" s="3389" t="s">
        <v>3302</v>
      </c>
      <c r="D104" s="3390"/>
      <c r="E104" s="3390"/>
      <c r="F104" s="3390"/>
      <c r="G104" s="3390"/>
      <c r="H104" s="3390"/>
      <c r="I104" s="3390"/>
      <c r="J104" s="3391"/>
      <c r="K104" s="3392"/>
      <c r="L104" s="3392"/>
      <c r="M104" s="3392"/>
      <c r="N104" s="3392"/>
    </row>
    <row r="105" spans="1:14">
      <c r="A105" s="3760"/>
      <c r="B105" s="3760"/>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46"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7"/>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9" t="s">
        <v>3316</v>
      </c>
      <c r="B113" s="3749"/>
      <c r="C113" s="3749"/>
      <c r="D113" s="3749"/>
      <c r="E113" s="3749"/>
      <c r="F113" s="3749"/>
      <c r="G113" s="3749"/>
      <c r="H113" s="3749"/>
      <c r="I113" s="3749"/>
      <c r="J113" s="374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v>
      </c>
      <c r="E116" s="2000" t="s">
        <v>3319</v>
      </c>
      <c r="F116" s="3400">
        <f>E2</f>
        <v>0</v>
      </c>
      <c r="G116" s="2000" t="s">
        <v>3320</v>
      </c>
      <c r="H116" s="3400">
        <f>G2</f>
        <v>0</v>
      </c>
      <c r="I116" s="2000"/>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2" t="s">
        <v>2610</v>
      </c>
      <c r="B20" s="3765" t="s">
        <v>2631</v>
      </c>
      <c r="C20" s="3101" t="s">
        <v>2442</v>
      </c>
      <c r="D20" s="3102"/>
      <c r="E20" s="3103">
        <v>1</v>
      </c>
      <c r="F20" s="3104" t="s">
        <v>2443</v>
      </c>
      <c r="G20" s="3104"/>
    </row>
    <row r="21" spans="1:13" ht="19.5" customHeight="1">
      <c r="A21" s="3773"/>
      <c r="B21" s="3766"/>
      <c r="C21" s="3105" t="s">
        <v>2444</v>
      </c>
      <c r="D21" s="3106"/>
      <c r="E21" s="3107">
        <v>1</v>
      </c>
      <c r="F21" s="3104" t="s">
        <v>2445</v>
      </c>
      <c r="G21" s="3104"/>
    </row>
    <row r="22" spans="1:13" ht="19.5" customHeight="1">
      <c r="A22" s="3773"/>
      <c r="B22" s="3766"/>
      <c r="C22" s="3105" t="s">
        <v>2446</v>
      </c>
      <c r="D22" s="3106"/>
      <c r="E22" s="3107">
        <v>0.9</v>
      </c>
      <c r="F22" s="3104" t="s">
        <v>2447</v>
      </c>
      <c r="G22" s="3104"/>
    </row>
    <row r="23" spans="1:13" ht="19.5" customHeight="1">
      <c r="A23" s="3773"/>
      <c r="B23" s="3766"/>
      <c r="C23" s="3105" t="s">
        <v>2448</v>
      </c>
      <c r="D23" s="3106"/>
      <c r="E23" s="3107">
        <v>0.9</v>
      </c>
      <c r="F23" s="3104" t="s">
        <v>2449</v>
      </c>
      <c r="G23" s="3104"/>
    </row>
    <row r="24" spans="1:13" ht="19.5" customHeight="1">
      <c r="A24" s="3773"/>
      <c r="B24" s="3766"/>
      <c r="C24" s="3105" t="s">
        <v>2450</v>
      </c>
      <c r="D24" s="3106"/>
      <c r="E24" s="3107">
        <v>0.8</v>
      </c>
      <c r="F24" s="3104" t="s">
        <v>2451</v>
      </c>
      <c r="G24" s="3104"/>
    </row>
    <row r="25" spans="1:13" ht="19.5" customHeight="1" thickBot="1">
      <c r="A25" s="3774"/>
      <c r="B25" s="376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8" t="s">
        <v>2634</v>
      </c>
      <c r="B27" s="3765" t="s">
        <v>2615</v>
      </c>
      <c r="C27" s="3101" t="s">
        <v>2455</v>
      </c>
      <c r="D27" s="3102"/>
      <c r="E27" s="3103">
        <v>1</v>
      </c>
      <c r="F27" s="3104" t="s">
        <v>2456</v>
      </c>
      <c r="G27" s="3104"/>
    </row>
    <row r="28" spans="1:13" ht="19.5" customHeight="1">
      <c r="A28" s="3769"/>
      <c r="B28" s="3766"/>
      <c r="C28" s="3105" t="s">
        <v>2457</v>
      </c>
      <c r="D28" s="3106"/>
      <c r="E28" s="3107">
        <v>1</v>
      </c>
      <c r="F28" s="3104" t="s">
        <v>2458</v>
      </c>
      <c r="G28" s="3104"/>
    </row>
    <row r="29" spans="1:13" ht="19.5" customHeight="1">
      <c r="A29" s="3769"/>
      <c r="B29" s="3766"/>
      <c r="C29" s="3105" t="s">
        <v>2459</v>
      </c>
      <c r="D29" s="3106"/>
      <c r="E29" s="3107">
        <v>0.8</v>
      </c>
      <c r="F29" s="3104" t="s">
        <v>2460</v>
      </c>
      <c r="G29" s="3104"/>
    </row>
    <row r="30" spans="1:13" ht="19.5" customHeight="1">
      <c r="A30" s="3769"/>
      <c r="B30" s="3766"/>
      <c r="C30" s="3105" t="s">
        <v>2461</v>
      </c>
      <c r="D30" s="3106"/>
      <c r="E30" s="3107">
        <v>0.8</v>
      </c>
      <c r="F30" s="3104" t="s">
        <v>2462</v>
      </c>
      <c r="G30" s="3104"/>
    </row>
    <row r="31" spans="1:13" ht="19.5" customHeight="1">
      <c r="A31" s="3769"/>
      <c r="B31" s="3766"/>
      <c r="C31" s="3105" t="s">
        <v>2463</v>
      </c>
      <c r="D31" s="3106"/>
      <c r="E31" s="3107">
        <v>0.8</v>
      </c>
      <c r="F31" s="3104" t="s">
        <v>2464</v>
      </c>
      <c r="G31" s="3104"/>
    </row>
    <row r="32" spans="1:13" ht="19.5" customHeight="1">
      <c r="A32" s="3769"/>
      <c r="B32" s="3766"/>
      <c r="C32" s="3105" t="s">
        <v>2465</v>
      </c>
      <c r="D32" s="3106"/>
      <c r="E32" s="3107">
        <v>0.7</v>
      </c>
      <c r="F32" s="3104" t="s">
        <v>2466</v>
      </c>
      <c r="G32" s="3104"/>
    </row>
    <row r="33" spans="1:7" ht="19.5" customHeight="1">
      <c r="A33" s="3769"/>
      <c r="B33" s="3766"/>
      <c r="C33" s="3105" t="s">
        <v>2467</v>
      </c>
      <c r="D33" s="3106"/>
      <c r="E33" s="3107">
        <v>0.8</v>
      </c>
      <c r="F33" s="3104" t="s">
        <v>2468</v>
      </c>
      <c r="G33" s="3104"/>
    </row>
    <row r="34" spans="1:7" ht="19.5" customHeight="1">
      <c r="A34" s="3769"/>
      <c r="B34" s="3766"/>
      <c r="C34" s="3105" t="s">
        <v>2469</v>
      </c>
      <c r="D34" s="3106"/>
      <c r="E34" s="3107">
        <v>0.6</v>
      </c>
      <c r="F34" s="3104" t="s">
        <v>2470</v>
      </c>
      <c r="G34" s="3104"/>
    </row>
    <row r="35" spans="1:7" ht="19.5" customHeight="1">
      <c r="A35" s="3769"/>
      <c r="B35" s="3766"/>
      <c r="C35" s="3105" t="s">
        <v>2471</v>
      </c>
      <c r="D35" s="3106"/>
      <c r="E35" s="3107">
        <v>0.2</v>
      </c>
      <c r="F35" s="3104" t="s">
        <v>2472</v>
      </c>
      <c r="G35" s="3104"/>
    </row>
    <row r="36" spans="1:7" ht="19.5" customHeight="1">
      <c r="A36" s="3769"/>
      <c r="B36" s="3766"/>
      <c r="C36" s="3105" t="s">
        <v>2473</v>
      </c>
      <c r="D36" s="3106"/>
      <c r="E36" s="3107">
        <v>0.2</v>
      </c>
      <c r="F36" s="3104" t="s">
        <v>2474</v>
      </c>
      <c r="G36" s="3104"/>
    </row>
    <row r="37" spans="1:7" ht="19.5" customHeight="1">
      <c r="A37" s="3769"/>
      <c r="B37" s="3771" t="s">
        <v>2635</v>
      </c>
      <c r="C37" s="3105" t="s">
        <v>2475</v>
      </c>
      <c r="D37" s="3106"/>
      <c r="E37" s="3107">
        <v>0.6</v>
      </c>
      <c r="F37" s="3104" t="s">
        <v>2476</v>
      </c>
      <c r="G37" s="3104"/>
    </row>
    <row r="38" spans="1:7" ht="19.5" customHeight="1">
      <c r="A38" s="3769"/>
      <c r="B38" s="3766"/>
      <c r="C38" s="3105" t="s">
        <v>2477</v>
      </c>
      <c r="D38" s="3106"/>
      <c r="E38" s="3107">
        <v>0.6</v>
      </c>
      <c r="F38" s="3104" t="s">
        <v>2478</v>
      </c>
      <c r="G38" s="3104"/>
    </row>
    <row r="39" spans="1:7" ht="19.5" customHeight="1" thickBot="1">
      <c r="A39" s="3770"/>
      <c r="B39" s="376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2" t="s">
        <v>2613</v>
      </c>
      <c r="B41" s="3765" t="s">
        <v>2637</v>
      </c>
      <c r="C41" s="3101" t="s">
        <v>2482</v>
      </c>
      <c r="D41" s="3102"/>
      <c r="E41" s="3103">
        <v>1</v>
      </c>
      <c r="F41" s="3104" t="s">
        <v>2483</v>
      </c>
      <c r="G41" s="3104"/>
    </row>
    <row r="42" spans="1:7" ht="19.5" customHeight="1">
      <c r="A42" s="3773"/>
      <c r="B42" s="3766"/>
      <c r="C42" s="3105" t="s">
        <v>2484</v>
      </c>
      <c r="D42" s="3106"/>
      <c r="E42" s="3107">
        <v>1</v>
      </c>
      <c r="F42" s="3104" t="s">
        <v>2485</v>
      </c>
      <c r="G42" s="3104"/>
    </row>
    <row r="43" spans="1:7" ht="19.5" customHeight="1">
      <c r="A43" s="3773"/>
      <c r="B43" s="3775"/>
      <c r="C43" s="3105" t="s">
        <v>2486</v>
      </c>
      <c r="D43" s="3106"/>
      <c r="E43" s="3107">
        <v>1.5</v>
      </c>
      <c r="F43" s="3104" t="s">
        <v>2487</v>
      </c>
      <c r="G43" s="3104"/>
    </row>
    <row r="44" spans="1:7" ht="19.5" customHeight="1">
      <c r="A44" s="3773"/>
      <c r="B44" s="3116" t="s">
        <v>2638</v>
      </c>
      <c r="C44" s="3105" t="s">
        <v>2639</v>
      </c>
      <c r="D44" s="3106"/>
      <c r="E44" s="3107">
        <v>2</v>
      </c>
      <c r="F44" s="3104" t="s">
        <v>2488</v>
      </c>
      <c r="G44" s="3104"/>
    </row>
    <row r="45" spans="1:7" ht="19.5" customHeight="1">
      <c r="A45" s="3773"/>
      <c r="B45" s="3771" t="s">
        <v>2640</v>
      </c>
      <c r="C45" s="3105" t="s">
        <v>2489</v>
      </c>
      <c r="D45" s="3106"/>
      <c r="E45" s="3107">
        <v>1</v>
      </c>
      <c r="F45" s="3104" t="s">
        <v>2490</v>
      </c>
      <c r="G45" s="3104"/>
    </row>
    <row r="46" spans="1:7" ht="19.5" customHeight="1">
      <c r="A46" s="3773"/>
      <c r="B46" s="3766"/>
      <c r="C46" s="3105" t="s">
        <v>2491</v>
      </c>
      <c r="D46" s="3106"/>
      <c r="E46" s="3107">
        <v>1</v>
      </c>
      <c r="F46" s="3104" t="s">
        <v>2492</v>
      </c>
      <c r="G46" s="3104"/>
    </row>
    <row r="47" spans="1:7" ht="19.5" customHeight="1">
      <c r="A47" s="3773"/>
      <c r="B47" s="3766"/>
      <c r="C47" s="3105" t="s">
        <v>2493</v>
      </c>
      <c r="D47" s="3106"/>
      <c r="E47" s="3107">
        <v>1</v>
      </c>
      <c r="F47" s="3104" t="s">
        <v>2494</v>
      </c>
      <c r="G47" s="3104"/>
    </row>
    <row r="48" spans="1:7" ht="19.5" customHeight="1">
      <c r="A48" s="3773"/>
      <c r="B48" s="3766"/>
      <c r="C48" s="3105" t="s">
        <v>2495</v>
      </c>
      <c r="D48" s="3106"/>
      <c r="E48" s="3107">
        <v>1</v>
      </c>
      <c r="F48" s="3104" t="s">
        <v>2496</v>
      </c>
      <c r="G48" s="3104"/>
    </row>
    <row r="49" spans="1:7" ht="19.5" customHeight="1">
      <c r="A49" s="3773"/>
      <c r="B49" s="3766"/>
      <c r="C49" s="3105" t="s">
        <v>2497</v>
      </c>
      <c r="D49" s="3106"/>
      <c r="E49" s="3107">
        <v>1</v>
      </c>
      <c r="F49" s="3104" t="s">
        <v>2498</v>
      </c>
      <c r="G49" s="3104"/>
    </row>
    <row r="50" spans="1:7" ht="19.5" customHeight="1">
      <c r="A50" s="3773"/>
      <c r="B50" s="3766"/>
      <c r="C50" s="3105" t="s">
        <v>2499</v>
      </c>
      <c r="D50" s="3106"/>
      <c r="E50" s="3107">
        <v>1</v>
      </c>
      <c r="F50" s="3104" t="s">
        <v>2500</v>
      </c>
      <c r="G50" s="3104"/>
    </row>
    <row r="51" spans="1:7" ht="19.5" customHeight="1" thickBot="1">
      <c r="A51" s="3774"/>
      <c r="B51" s="376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1" t="s">
        <v>2654</v>
      </c>
      <c r="C73" s="3090" t="s">
        <v>2655</v>
      </c>
      <c r="D73" s="3090" t="s">
        <v>2656</v>
      </c>
      <c r="E73" s="3116">
        <v>0.2</v>
      </c>
      <c r="F73" s="3116">
        <v>25</v>
      </c>
    </row>
    <row r="74" spans="1:7" ht="24">
      <c r="A74" s="3116">
        <v>2</v>
      </c>
      <c r="B74" s="3766"/>
      <c r="C74" s="3090" t="s">
        <v>2657</v>
      </c>
      <c r="D74" s="3090" t="s">
        <v>2658</v>
      </c>
      <c r="E74" s="3116">
        <v>0.2</v>
      </c>
      <c r="F74" s="3116">
        <v>25</v>
      </c>
    </row>
    <row r="75" spans="1:7" ht="24">
      <c r="A75" s="3116">
        <v>3</v>
      </c>
      <c r="B75" s="3766"/>
      <c r="C75" s="3090" t="s">
        <v>2659</v>
      </c>
      <c r="D75" s="3090" t="s">
        <v>2660</v>
      </c>
      <c r="E75" s="3116">
        <v>0.2</v>
      </c>
      <c r="F75" s="3116">
        <v>25</v>
      </c>
    </row>
    <row r="76" spans="1:7" ht="13.5">
      <c r="A76" s="3116">
        <v>4</v>
      </c>
      <c r="B76" s="3766"/>
      <c r="C76" s="3090" t="s">
        <v>2661</v>
      </c>
      <c r="D76" s="3090" t="s">
        <v>2662</v>
      </c>
      <c r="E76" s="3116">
        <v>0.15</v>
      </c>
      <c r="F76" s="3116">
        <v>20</v>
      </c>
    </row>
    <row r="77" spans="1:7" ht="24">
      <c r="A77" s="3116">
        <v>5</v>
      </c>
      <c r="B77" s="3766"/>
      <c r="C77" s="3090" t="s">
        <v>2663</v>
      </c>
      <c r="D77" s="3090" t="s">
        <v>2664</v>
      </c>
      <c r="E77" s="3116">
        <v>0.15</v>
      </c>
      <c r="F77" s="3116">
        <v>20</v>
      </c>
    </row>
    <row r="78" spans="1:7" ht="24">
      <c r="A78" s="3116">
        <v>6</v>
      </c>
      <c r="B78" s="3766"/>
      <c r="C78" s="3090" t="s">
        <v>2665</v>
      </c>
      <c r="D78" s="3090" t="s">
        <v>2666</v>
      </c>
      <c r="E78" s="3116">
        <v>0.15</v>
      </c>
      <c r="F78" s="3116">
        <v>20</v>
      </c>
    </row>
    <row r="79" spans="1:7" ht="24">
      <c r="A79" s="3116">
        <v>7</v>
      </c>
      <c r="B79" s="3766"/>
      <c r="C79" s="3090" t="s">
        <v>2667</v>
      </c>
      <c r="D79" s="3090" t="s">
        <v>2668</v>
      </c>
      <c r="E79" s="3116">
        <v>0.15</v>
      </c>
      <c r="F79" s="3116">
        <v>20</v>
      </c>
    </row>
    <row r="80" spans="1:7" ht="24">
      <c r="A80" s="3116">
        <v>8</v>
      </c>
      <c r="B80" s="3766"/>
      <c r="C80" s="3090" t="s">
        <v>2669</v>
      </c>
      <c r="D80" s="3090" t="s">
        <v>2670</v>
      </c>
      <c r="E80" s="3116">
        <v>0.1</v>
      </c>
      <c r="F80" s="3116">
        <v>15</v>
      </c>
    </row>
    <row r="81" spans="1:6" ht="24">
      <c r="A81" s="3116">
        <v>9</v>
      </c>
      <c r="B81" s="3766"/>
      <c r="C81" s="3090" t="s">
        <v>2671</v>
      </c>
      <c r="D81" s="3090" t="s">
        <v>2672</v>
      </c>
      <c r="E81" s="3116">
        <v>0.1</v>
      </c>
      <c r="F81" s="3116">
        <v>15</v>
      </c>
    </row>
    <row r="82" spans="1:6" ht="24">
      <c r="A82" s="3116">
        <v>10</v>
      </c>
      <c r="B82" s="3766"/>
      <c r="C82" s="3090" t="s">
        <v>2673</v>
      </c>
      <c r="D82" s="3090" t="s">
        <v>2674</v>
      </c>
      <c r="E82" s="3116">
        <v>0.1</v>
      </c>
      <c r="F82" s="3116">
        <v>15</v>
      </c>
    </row>
    <row r="83" spans="1:6" ht="24">
      <c r="A83" s="3116">
        <v>11</v>
      </c>
      <c r="B83" s="3766"/>
      <c r="C83" s="3090" t="s">
        <v>2675</v>
      </c>
      <c r="D83" s="3090" t="s">
        <v>2676</v>
      </c>
      <c r="E83" s="3116">
        <v>0.1</v>
      </c>
      <c r="F83" s="3116">
        <v>15</v>
      </c>
    </row>
    <row r="84" spans="1:6" ht="24">
      <c r="A84" s="3116">
        <v>12</v>
      </c>
      <c r="B84" s="3766"/>
      <c r="C84" s="3090" t="s">
        <v>2677</v>
      </c>
      <c r="D84" s="3090" t="s">
        <v>2678</v>
      </c>
      <c r="E84" s="3116">
        <v>0.1</v>
      </c>
      <c r="F84" s="3116">
        <v>15</v>
      </c>
    </row>
    <row r="85" spans="1:6" ht="13.5">
      <c r="A85" s="3116">
        <v>13</v>
      </c>
      <c r="B85" s="3766"/>
      <c r="C85" s="3090" t="s">
        <v>2679</v>
      </c>
      <c r="D85" s="3090" t="s">
        <v>2680</v>
      </c>
      <c r="E85" s="3116">
        <v>0.1</v>
      </c>
      <c r="F85" s="3116">
        <v>15</v>
      </c>
    </row>
    <row r="86" spans="1:6" ht="13.5">
      <c r="A86" s="3116">
        <v>14</v>
      </c>
      <c r="B86" s="3766"/>
      <c r="C86" s="3090" t="s">
        <v>2681</v>
      </c>
      <c r="D86" s="3090" t="s">
        <v>2682</v>
      </c>
      <c r="E86" s="3116">
        <v>0.1</v>
      </c>
      <c r="F86" s="3116">
        <v>15</v>
      </c>
    </row>
    <row r="87" spans="1:6" ht="13.5">
      <c r="A87" s="3116">
        <v>15</v>
      </c>
      <c r="B87" s="3766"/>
      <c r="C87" s="3090" t="s">
        <v>2683</v>
      </c>
      <c r="D87" s="3090" t="s">
        <v>2684</v>
      </c>
      <c r="E87" s="3116">
        <v>0.1</v>
      </c>
      <c r="F87" s="3116">
        <v>15</v>
      </c>
    </row>
    <row r="88" spans="1:6" ht="24">
      <c r="A88" s="3116">
        <v>16</v>
      </c>
      <c r="B88" s="3766"/>
      <c r="C88" s="3090" t="s">
        <v>2685</v>
      </c>
      <c r="D88" s="3090" t="s">
        <v>2686</v>
      </c>
      <c r="E88" s="3116">
        <v>0.1</v>
      </c>
      <c r="F88" s="3116">
        <v>15</v>
      </c>
    </row>
    <row r="89" spans="1:6" ht="24">
      <c r="A89" s="3116">
        <v>17</v>
      </c>
      <c r="B89" s="3775"/>
      <c r="C89" s="3090" t="s">
        <v>2687</v>
      </c>
      <c r="D89" s="3090" t="s">
        <v>2688</v>
      </c>
      <c r="E89" s="3116">
        <v>0.1</v>
      </c>
      <c r="F89" s="3116">
        <v>15</v>
      </c>
    </row>
    <row r="90" spans="1:6" ht="13.5">
      <c r="A90" s="3116">
        <v>18</v>
      </c>
      <c r="B90" s="3771" t="s">
        <v>2689</v>
      </c>
      <c r="C90" s="3090" t="s">
        <v>2690</v>
      </c>
      <c r="D90" s="3090" t="s">
        <v>2691</v>
      </c>
      <c r="E90" s="3116">
        <v>0.2</v>
      </c>
      <c r="F90" s="3116">
        <v>25</v>
      </c>
    </row>
    <row r="91" spans="1:6" ht="24">
      <c r="A91" s="3116">
        <v>19</v>
      </c>
      <c r="B91" s="3766"/>
      <c r="C91" s="3090" t="s">
        <v>2692</v>
      </c>
      <c r="D91" s="3090" t="s">
        <v>2693</v>
      </c>
      <c r="E91" s="3116">
        <v>0.2</v>
      </c>
      <c r="F91" s="3116">
        <v>25</v>
      </c>
    </row>
    <row r="92" spans="1:6" ht="13.5">
      <c r="A92" s="3116">
        <v>20</v>
      </c>
      <c r="B92" s="3766"/>
      <c r="C92" s="3090" t="s">
        <v>2694</v>
      </c>
      <c r="D92" s="3090" t="s">
        <v>2695</v>
      </c>
      <c r="E92" s="3116">
        <v>0.15</v>
      </c>
      <c r="F92" s="3116">
        <v>20</v>
      </c>
    </row>
    <row r="93" spans="1:6" ht="13.5">
      <c r="A93" s="3116">
        <v>21</v>
      </c>
      <c r="B93" s="3766"/>
      <c r="C93" s="3090" t="s">
        <v>2696</v>
      </c>
      <c r="D93" s="3090" t="s">
        <v>2697</v>
      </c>
      <c r="E93" s="3116">
        <v>0.15</v>
      </c>
      <c r="F93" s="3116">
        <v>20</v>
      </c>
    </row>
    <row r="94" spans="1:6" ht="13.5">
      <c r="A94" s="3116">
        <v>22</v>
      </c>
      <c r="B94" s="3766"/>
      <c r="C94" s="3090" t="s">
        <v>2698</v>
      </c>
      <c r="D94" s="3090" t="s">
        <v>2699</v>
      </c>
      <c r="E94" s="3116">
        <v>0.15</v>
      </c>
      <c r="F94" s="3116">
        <v>20</v>
      </c>
    </row>
    <row r="95" spans="1:6" ht="36">
      <c r="A95" s="3116">
        <v>23</v>
      </c>
      <c r="B95" s="3766"/>
      <c r="C95" s="3090" t="s">
        <v>2700</v>
      </c>
      <c r="D95" s="3090" t="s">
        <v>2701</v>
      </c>
      <c r="E95" s="3116">
        <v>0.15</v>
      </c>
      <c r="F95" s="3116">
        <v>20</v>
      </c>
    </row>
    <row r="96" spans="1:6" ht="13.5">
      <c r="A96" s="3116">
        <v>24</v>
      </c>
      <c r="B96" s="3766"/>
      <c r="C96" s="3090" t="s">
        <v>2702</v>
      </c>
      <c r="D96" s="3090" t="s">
        <v>2703</v>
      </c>
      <c r="E96" s="3116">
        <v>0.1</v>
      </c>
      <c r="F96" s="3116">
        <v>15</v>
      </c>
    </row>
    <row r="97" spans="1:6" ht="13.5">
      <c r="A97" s="3116">
        <v>25</v>
      </c>
      <c r="B97" s="3766"/>
      <c r="C97" s="3090" t="s">
        <v>2704</v>
      </c>
      <c r="D97" s="3090" t="s">
        <v>2705</v>
      </c>
      <c r="E97" s="3116">
        <v>0.1</v>
      </c>
      <c r="F97" s="3116">
        <v>15</v>
      </c>
    </row>
    <row r="98" spans="1:6" ht="24">
      <c r="A98" s="3116">
        <v>26</v>
      </c>
      <c r="B98" s="3766"/>
      <c r="C98" s="3090" t="s">
        <v>2706</v>
      </c>
      <c r="D98" s="3090" t="s">
        <v>2707</v>
      </c>
      <c r="E98" s="3116">
        <v>0.1</v>
      </c>
      <c r="F98" s="3116">
        <v>15</v>
      </c>
    </row>
    <row r="99" spans="1:6" ht="24">
      <c r="A99" s="3116">
        <v>27</v>
      </c>
      <c r="B99" s="3766"/>
      <c r="C99" s="3090" t="s">
        <v>2708</v>
      </c>
      <c r="D99" s="3090" t="s">
        <v>2709</v>
      </c>
      <c r="E99" s="3116">
        <v>0.1</v>
      </c>
      <c r="F99" s="3116">
        <v>15</v>
      </c>
    </row>
    <row r="100" spans="1:6" ht="13.5">
      <c r="A100" s="3116">
        <v>28</v>
      </c>
      <c r="B100" s="3766"/>
      <c r="C100" s="3090" t="s">
        <v>2710</v>
      </c>
      <c r="D100" s="3090" t="s">
        <v>2711</v>
      </c>
      <c r="E100" s="3116">
        <v>0.1</v>
      </c>
      <c r="F100" s="3116">
        <v>15</v>
      </c>
    </row>
    <row r="101" spans="1:6" ht="13.5">
      <c r="A101" s="3116">
        <v>29</v>
      </c>
      <c r="B101" s="3766"/>
      <c r="C101" s="3090" t="s">
        <v>2712</v>
      </c>
      <c r="D101" s="3090" t="s">
        <v>2713</v>
      </c>
      <c r="E101" s="3116">
        <v>0.1</v>
      </c>
      <c r="F101" s="3116">
        <v>15</v>
      </c>
    </row>
    <row r="102" spans="1:6" ht="13.5">
      <c r="A102" s="3116">
        <v>30</v>
      </c>
      <c r="B102" s="3766"/>
      <c r="C102" s="3090" t="s">
        <v>2714</v>
      </c>
      <c r="D102" s="3090" t="s">
        <v>2715</v>
      </c>
      <c r="E102" s="3116">
        <v>0.1</v>
      </c>
      <c r="F102" s="3116">
        <v>15</v>
      </c>
    </row>
    <row r="103" spans="1:6" ht="24">
      <c r="A103" s="3116">
        <v>31</v>
      </c>
      <c r="B103" s="3766"/>
      <c r="C103" s="3090" t="s">
        <v>2716</v>
      </c>
      <c r="D103" s="3090" t="s">
        <v>2717</v>
      </c>
      <c r="E103" s="3116">
        <v>0.1</v>
      </c>
      <c r="F103" s="3116">
        <v>15</v>
      </c>
    </row>
    <row r="104" spans="1:6" ht="24">
      <c r="A104" s="3116">
        <v>32</v>
      </c>
      <c r="B104" s="3766"/>
      <c r="C104" s="3090" t="s">
        <v>2718</v>
      </c>
      <c r="D104" s="3090" t="s">
        <v>2719</v>
      </c>
      <c r="E104" s="3116">
        <v>0.1</v>
      </c>
      <c r="F104" s="3116">
        <v>15</v>
      </c>
    </row>
    <row r="105" spans="1:6" ht="24">
      <c r="A105" s="3116">
        <v>33</v>
      </c>
      <c r="B105" s="3766"/>
      <c r="C105" s="3090" t="s">
        <v>2720</v>
      </c>
      <c r="D105" s="3090" t="s">
        <v>2721</v>
      </c>
      <c r="E105" s="3116">
        <v>0.1</v>
      </c>
      <c r="F105" s="3116">
        <v>15</v>
      </c>
    </row>
    <row r="106" spans="1:6" ht="24">
      <c r="A106" s="3116">
        <v>34</v>
      </c>
      <c r="B106" s="3775"/>
      <c r="C106" s="3090" t="s">
        <v>2722</v>
      </c>
      <c r="D106" s="3090" t="s">
        <v>2723</v>
      </c>
      <c r="E106" s="3116">
        <v>0.1</v>
      </c>
      <c r="F106" s="3116">
        <v>15</v>
      </c>
    </row>
    <row r="107" spans="1:6" ht="24">
      <c r="A107" s="3116">
        <v>35</v>
      </c>
      <c r="B107" s="3771" t="s">
        <v>2724</v>
      </c>
      <c r="C107" s="3116" t="s">
        <v>2725</v>
      </c>
      <c r="D107" s="3090" t="s">
        <v>2726</v>
      </c>
      <c r="E107" s="3116">
        <v>0.15</v>
      </c>
      <c r="F107" s="3116">
        <v>20</v>
      </c>
    </row>
    <row r="108" spans="1:6" ht="13.5">
      <c r="A108" s="3116">
        <v>36</v>
      </c>
      <c r="B108" s="3766"/>
      <c r="C108" s="3116" t="s">
        <v>2727</v>
      </c>
      <c r="D108" s="3090" t="s">
        <v>2728</v>
      </c>
      <c r="E108" s="3116">
        <v>0.15</v>
      </c>
      <c r="F108" s="3116">
        <v>20</v>
      </c>
    </row>
    <row r="109" spans="1:6" ht="13.5">
      <c r="A109" s="3116">
        <v>37</v>
      </c>
      <c r="B109" s="3766"/>
      <c r="C109" s="3116" t="s">
        <v>2729</v>
      </c>
      <c r="D109" s="3090" t="s">
        <v>2730</v>
      </c>
      <c r="E109" s="3116">
        <v>0.15</v>
      </c>
      <c r="F109" s="3116">
        <v>20</v>
      </c>
    </row>
    <row r="110" spans="1:6" ht="13.5">
      <c r="A110" s="3116">
        <v>38</v>
      </c>
      <c r="B110" s="3766"/>
      <c r="C110" s="3116" t="s">
        <v>2731</v>
      </c>
      <c r="D110" s="3090" t="s">
        <v>2732</v>
      </c>
      <c r="E110" s="3116">
        <v>0.1</v>
      </c>
      <c r="F110" s="3116">
        <v>15</v>
      </c>
    </row>
    <row r="111" spans="1:6" ht="24">
      <c r="A111" s="3116">
        <v>39</v>
      </c>
      <c r="B111" s="3766"/>
      <c r="C111" s="3116" t="s">
        <v>2733</v>
      </c>
      <c r="D111" s="3090" t="s">
        <v>2734</v>
      </c>
      <c r="E111" s="3116">
        <v>0.1</v>
      </c>
      <c r="F111" s="3116">
        <v>15</v>
      </c>
    </row>
    <row r="112" spans="1:6" ht="24">
      <c r="A112" s="3116">
        <v>40</v>
      </c>
      <c r="B112" s="3775"/>
      <c r="C112" s="3116" t="s">
        <v>2735</v>
      </c>
      <c r="D112" s="3090" t="s">
        <v>2736</v>
      </c>
      <c r="E112" s="3116">
        <v>0.1</v>
      </c>
      <c r="F112" s="3116">
        <v>15</v>
      </c>
    </row>
    <row r="113" spans="1:6" ht="13.5">
      <c r="A113" s="3116">
        <v>41</v>
      </c>
      <c r="B113" s="3776" t="s">
        <v>2737</v>
      </c>
      <c r="C113" s="3116" t="s">
        <v>2738</v>
      </c>
      <c r="D113" s="3090" t="s">
        <v>2739</v>
      </c>
      <c r="E113" s="3116">
        <v>0.1</v>
      </c>
      <c r="F113" s="3116">
        <v>15</v>
      </c>
    </row>
    <row r="114" spans="1:6" ht="13.5">
      <c r="A114" s="3116">
        <v>42</v>
      </c>
      <c r="B114" s="3776"/>
      <c r="C114" s="3116" t="s">
        <v>2740</v>
      </c>
      <c r="D114" s="3090" t="s">
        <v>2741</v>
      </c>
      <c r="E114" s="3116">
        <v>0.1</v>
      </c>
      <c r="F114" s="3116">
        <v>15</v>
      </c>
    </row>
    <row r="115" spans="1:6" ht="24">
      <c r="A115" s="3116">
        <v>43</v>
      </c>
      <c r="B115" s="3776"/>
      <c r="C115" s="3116" t="s">
        <v>2742</v>
      </c>
      <c r="D115" s="3090" t="s">
        <v>2743</v>
      </c>
      <c r="E115" s="3116">
        <v>0.1</v>
      </c>
      <c r="F115" s="3116">
        <v>15</v>
      </c>
    </row>
    <row r="116" spans="1:6" ht="13.5">
      <c r="A116" s="3116">
        <v>44</v>
      </c>
      <c r="B116" s="3771" t="s">
        <v>2744</v>
      </c>
      <c r="C116" s="3116" t="s">
        <v>2745</v>
      </c>
      <c r="D116" s="3090" t="s">
        <v>2746</v>
      </c>
      <c r="E116" s="3116">
        <v>0.1</v>
      </c>
      <c r="F116" s="3116">
        <v>15</v>
      </c>
    </row>
    <row r="117" spans="1:6" ht="24">
      <c r="A117" s="3116">
        <v>45</v>
      </c>
      <c r="B117" s="3775"/>
      <c r="C117" s="3090" t="s">
        <v>2747</v>
      </c>
      <c r="D117" s="3090" t="s">
        <v>2748</v>
      </c>
      <c r="E117" s="3116">
        <v>0.1</v>
      </c>
      <c r="F117" s="3116">
        <v>15</v>
      </c>
    </row>
    <row r="118" spans="1:6" ht="24">
      <c r="A118" s="3116">
        <v>46</v>
      </c>
      <c r="B118" s="3771" t="s">
        <v>2749</v>
      </c>
      <c r="C118" s="3116" t="s">
        <v>2750</v>
      </c>
      <c r="D118" s="3090" t="s">
        <v>2751</v>
      </c>
      <c r="E118" s="3116">
        <v>0.1</v>
      </c>
      <c r="F118" s="3116">
        <v>15</v>
      </c>
    </row>
    <row r="119" spans="1:6" ht="24">
      <c r="A119" s="3116">
        <v>47</v>
      </c>
      <c r="B119" s="3775"/>
      <c r="C119" s="3116" t="s">
        <v>2752</v>
      </c>
      <c r="D119" s="3090" t="s">
        <v>2753</v>
      </c>
      <c r="E119" s="3116">
        <v>0.1</v>
      </c>
      <c r="F119" s="3116">
        <v>15</v>
      </c>
    </row>
    <row r="120" spans="1:6" ht="13.5">
      <c r="A120" s="3116">
        <v>48</v>
      </c>
      <c r="B120" s="3771" t="s">
        <v>2754</v>
      </c>
      <c r="C120" s="3116" t="s">
        <v>2755</v>
      </c>
      <c r="D120" s="3090" t="s">
        <v>2756</v>
      </c>
      <c r="E120" s="3116">
        <v>0.1</v>
      </c>
      <c r="F120" s="3116">
        <v>15</v>
      </c>
    </row>
    <row r="121" spans="1:6" ht="13.5">
      <c r="A121" s="3116">
        <v>49</v>
      </c>
      <c r="B121" s="3775"/>
      <c r="C121" s="3116" t="s">
        <v>2757</v>
      </c>
      <c r="D121" s="3090" t="s">
        <v>2758</v>
      </c>
      <c r="E121" s="3116">
        <v>0.1</v>
      </c>
      <c r="F121" s="3116">
        <v>15</v>
      </c>
    </row>
    <row r="122" spans="1:6" ht="24">
      <c r="A122" s="3116">
        <v>50</v>
      </c>
      <c r="B122" s="3776" t="s">
        <v>2759</v>
      </c>
      <c r="C122" s="3116" t="s">
        <v>2760</v>
      </c>
      <c r="D122" s="3090" t="s">
        <v>2761</v>
      </c>
      <c r="E122" s="3116">
        <v>0.1</v>
      </c>
      <c r="F122" s="3116">
        <v>15</v>
      </c>
    </row>
    <row r="123" spans="1:6" ht="24">
      <c r="A123" s="3116">
        <v>51</v>
      </c>
      <c r="B123" s="3776"/>
      <c r="C123" s="3116" t="s">
        <v>2762</v>
      </c>
      <c r="D123" s="3090" t="s">
        <v>2763</v>
      </c>
      <c r="E123" s="3116">
        <v>0.1</v>
      </c>
      <c r="F123" s="3116">
        <v>15</v>
      </c>
    </row>
    <row r="124" spans="1:6" ht="24">
      <c r="A124" s="3116">
        <v>52</v>
      </c>
      <c r="B124" s="3776" t="s">
        <v>2764</v>
      </c>
      <c r="C124" s="3116" t="s">
        <v>2765</v>
      </c>
      <c r="D124" s="3090" t="s">
        <v>2766</v>
      </c>
      <c r="E124" s="3116">
        <v>0.1</v>
      </c>
      <c r="F124" s="3116">
        <v>15</v>
      </c>
    </row>
    <row r="125" spans="1:6" ht="24">
      <c r="A125" s="3116">
        <v>53</v>
      </c>
      <c r="B125" s="377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6" t="s">
        <v>2772</v>
      </c>
      <c r="C127" s="3116" t="s">
        <v>2773</v>
      </c>
      <c r="D127" s="3090" t="s">
        <v>2774</v>
      </c>
      <c r="E127" s="3116">
        <v>0.1</v>
      </c>
      <c r="F127" s="3116">
        <v>15</v>
      </c>
    </row>
    <row r="128" spans="1:6" ht="13.5">
      <c r="A128" s="3116">
        <v>56</v>
      </c>
      <c r="B128" s="3776"/>
      <c r="C128" s="3116" t="s">
        <v>2775</v>
      </c>
      <c r="D128" s="3090" t="s">
        <v>2776</v>
      </c>
      <c r="E128" s="3116">
        <v>0.1</v>
      </c>
      <c r="F128" s="3116">
        <v>15</v>
      </c>
    </row>
    <row r="129" spans="1:6" ht="24">
      <c r="A129" s="3116">
        <v>57</v>
      </c>
      <c r="B129" s="3776"/>
      <c r="C129" s="3116" t="s">
        <v>2777</v>
      </c>
      <c r="D129" s="3090" t="s">
        <v>2778</v>
      </c>
      <c r="E129" s="3116">
        <v>0.1</v>
      </c>
      <c r="F129" s="3116">
        <v>15</v>
      </c>
    </row>
    <row r="130" spans="1:6" ht="24">
      <c r="A130" s="3116">
        <v>58</v>
      </c>
      <c r="B130" s="3776" t="s">
        <v>2779</v>
      </c>
      <c r="C130" s="3116" t="s">
        <v>2780</v>
      </c>
      <c r="D130" s="3090" t="s">
        <v>2781</v>
      </c>
      <c r="E130" s="3116">
        <v>0.1</v>
      </c>
      <c r="F130" s="3116">
        <v>15</v>
      </c>
    </row>
    <row r="131" spans="1:6" ht="13.5">
      <c r="A131" s="3116">
        <v>59</v>
      </c>
      <c r="B131" s="3776"/>
      <c r="C131" s="3116" t="s">
        <v>2782</v>
      </c>
      <c r="D131" s="3090" t="s">
        <v>2783</v>
      </c>
      <c r="E131" s="3116">
        <v>0.1</v>
      </c>
      <c r="F131" s="3116">
        <v>15</v>
      </c>
    </row>
    <row r="132" spans="1:6" ht="13.5">
      <c r="A132" s="3116">
        <v>60</v>
      </c>
      <c r="B132" s="3771" t="s">
        <v>2784</v>
      </c>
      <c r="C132" s="3116" t="s">
        <v>2785</v>
      </c>
      <c r="D132" s="3090" t="s">
        <v>2786</v>
      </c>
      <c r="E132" s="3116">
        <v>0.1</v>
      </c>
      <c r="F132" s="3116">
        <v>15</v>
      </c>
    </row>
    <row r="133" spans="1:6" ht="13.5">
      <c r="A133" s="3116">
        <v>61</v>
      </c>
      <c r="B133" s="3775"/>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6" t="s">
        <v>2792</v>
      </c>
      <c r="C135" s="3116" t="s">
        <v>2793</v>
      </c>
      <c r="D135" s="3090" t="s">
        <v>2794</v>
      </c>
      <c r="E135" s="3116">
        <v>0.1</v>
      </c>
      <c r="F135" s="3116">
        <v>15</v>
      </c>
    </row>
    <row r="136" spans="1:6" ht="13.5">
      <c r="A136" s="3116">
        <v>64</v>
      </c>
      <c r="B136" s="377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27592</v>
      </c>
      <c r="C2" s="2" t="s">
        <v>106</v>
      </c>
      <c r="D2" s="199"/>
      <c r="E2" s="199"/>
      <c r="F2" s="199"/>
      <c r="G2" s="199"/>
    </row>
    <row r="3" spans="1:7" s="200" customFormat="1" ht="18" customHeight="1" thickBot="1">
      <c r="A3" s="203" t="s">
        <v>58</v>
      </c>
      <c r="B3" s="204">
        <f ca="1">ROUND(B2*10000/'数据-汇总表'!E3,0)</f>
        <v>25849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117</v>
      </c>
      <c r="D10" s="845">
        <f>'数据-汇总表'!E6</f>
        <v>10674.210000000001</v>
      </c>
      <c r="E10" s="225">
        <f>'数据-取费表'!B28</f>
        <v>110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213</v>
      </c>
      <c r="D19" s="849">
        <f>'数据-汇总表'!E3</f>
        <v>10674.210000000001</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747</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1062</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1062</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24884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2775</v>
      </c>
      <c r="D34" s="217"/>
      <c r="E34" s="220"/>
      <c r="F34" s="257">
        <f>IF('数据-取费表'!B24=0,1,'数据-取费表'!N16)</f>
        <v>1</v>
      </c>
      <c r="G34" s="219" t="s">
        <v>89</v>
      </c>
    </row>
    <row r="35" spans="1:7" ht="13.5" customHeight="1">
      <c r="A35" s="780" t="s">
        <v>351</v>
      </c>
      <c r="B35" s="215" t="s">
        <v>33</v>
      </c>
      <c r="C35" s="220">
        <f>ROUND(C34*F35,0)</f>
        <v>83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213</v>
      </c>
      <c r="D37" s="217">
        <f>'数据-汇总表'!E3</f>
        <v>10674.210000000001</v>
      </c>
      <c r="E37" s="249">
        <f>'数据-取费表'!B35</f>
        <v>200</v>
      </c>
      <c r="F37" s="259"/>
      <c r="G37" s="261" t="s">
        <v>92</v>
      </c>
    </row>
    <row r="38" spans="1:7" ht="13.5" customHeight="1">
      <c r="A38" s="780" t="s">
        <v>354</v>
      </c>
      <c r="B38" s="215" t="s">
        <v>36</v>
      </c>
      <c r="C38" s="220">
        <f>ROUND(C34*F38,0)</f>
        <v>42</v>
      </c>
      <c r="D38" s="220"/>
      <c r="E38" s="220"/>
      <c r="F38" s="259">
        <f>'数据-取费表'!B36</f>
        <v>1.4999999999999999E-2</v>
      </c>
      <c r="G38" s="219" t="s">
        <v>90</v>
      </c>
    </row>
    <row r="39" spans="1:7" s="214" customFormat="1" ht="13.5" customHeight="1">
      <c r="A39" s="777" t="s">
        <v>338</v>
      </c>
      <c r="B39" s="210" t="s">
        <v>77</v>
      </c>
      <c r="C39" s="232">
        <f>ROUND(C33*F20,0)</f>
        <v>62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56</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55</v>
      </c>
      <c r="D42" s="238"/>
      <c r="E42" s="238"/>
      <c r="F42" s="239"/>
      <c r="G42" s="3641" t="s">
        <v>94</v>
      </c>
    </row>
    <row r="43" spans="1:7" ht="13.5" customHeight="1">
      <c r="A43" s="780" t="s">
        <v>347</v>
      </c>
      <c r="B43" s="215" t="s">
        <v>426</v>
      </c>
      <c r="C43" s="238">
        <f ca="1">ROUND(IF('数据-取费表'!B22&lt;=1,C39*F22*'数据-取费表'!B21/2,C39*(POWER((1+F22),'数据-取费表'!B21/2)-1)),0)</f>
        <v>1</v>
      </c>
      <c r="D43" s="238"/>
      <c r="E43" s="238"/>
      <c r="F43" s="239"/>
      <c r="G43" s="3642"/>
    </row>
    <row r="44" spans="1:7" ht="13.5" customHeight="1">
      <c r="A44" s="780" t="s">
        <v>348</v>
      </c>
      <c r="B44" s="215" t="s">
        <v>428</v>
      </c>
      <c r="C44" s="238">
        <f ca="1">ROUND(IF('数据-取费表'!B22&lt;=1,C40*F22*'数据-取费表'!B21/2,C40*(POWER((1+F22),'数据-取费表'!B21/2)-1)),4)</f>
        <v>4.0000000000000002E-4</v>
      </c>
      <c r="D44" s="238"/>
      <c r="E44" s="238"/>
      <c r="F44" s="239"/>
      <c r="G44" s="3643"/>
    </row>
    <row r="45" spans="1:7" s="214" customFormat="1" ht="13.5" customHeight="1">
      <c r="A45" s="777" t="s">
        <v>341</v>
      </c>
      <c r="B45" s="244" t="s">
        <v>85</v>
      </c>
      <c r="C45" s="245">
        <f>C46</f>
        <v>159</v>
      </c>
      <c r="D45" s="235">
        <f>C47</f>
        <v>1E-3</v>
      </c>
      <c r="E45" s="236" t="s">
        <v>102</v>
      </c>
      <c r="F45" s="246"/>
      <c r="G45" s="247" t="s">
        <v>434</v>
      </c>
    </row>
    <row r="46" spans="1:7" s="214" customFormat="1" ht="13.5" customHeight="1">
      <c r="A46" s="780" t="s">
        <v>349</v>
      </c>
      <c r="B46" s="248" t="s">
        <v>427</v>
      </c>
      <c r="C46" s="249">
        <f>ROUND((C33+C39)*F27,0)</f>
        <v>159</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3660</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2708</v>
      </c>
      <c r="D51" s="232"/>
      <c r="E51" s="232"/>
      <c r="F51" s="264"/>
      <c r="G51" s="234" t="s">
        <v>37</v>
      </c>
    </row>
    <row r="52" spans="1:7" s="208" customFormat="1" ht="16.5" thickBot="1">
      <c r="A52" s="265" t="s">
        <v>38</v>
      </c>
      <c r="B52" s="266"/>
      <c r="C52" s="267">
        <f ca="1">C31+C51</f>
        <v>27592</v>
      </c>
      <c r="D52" s="266"/>
      <c r="E52" s="266"/>
      <c r="F52" s="266"/>
      <c r="G52" s="268"/>
    </row>
    <row r="55" spans="1:7" ht="15">
      <c r="B55" s="270" t="s">
        <v>39</v>
      </c>
      <c r="C55" s="271"/>
    </row>
    <row r="56" spans="1:7">
      <c r="B56" s="273" t="s">
        <v>40</v>
      </c>
      <c r="C56" s="274">
        <f ca="1">ROUND(C51/C52,3)</f>
        <v>9.8000000000000004E-2</v>
      </c>
    </row>
    <row r="57" spans="1:7">
      <c r="B57" s="273" t="s">
        <v>41</v>
      </c>
      <c r="C57" s="275">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4919</v>
      </c>
      <c r="E5" s="1491"/>
    </row>
    <row r="6" spans="1:5" ht="15.75">
      <c r="A6" s="1491"/>
      <c r="B6" s="3460"/>
      <c r="C6" s="1494" t="s">
        <v>911</v>
      </c>
      <c r="D6" s="850" t="str">
        <f ca="1">NUMBERSTRING(INT(D5*10000),2)&amp;"元整"</f>
        <v>肆仟玖佰壹拾玖万元整</v>
      </c>
      <c r="E6" s="1491"/>
    </row>
    <row r="7" spans="1:5" ht="15.75">
      <c r="A7" s="1491"/>
      <c r="B7" s="3465"/>
      <c r="C7" s="1495" t="s">
        <v>912</v>
      </c>
      <c r="D7" s="851">
        <f ca="1">结果表!H102</f>
        <v>4608</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4919</v>
      </c>
      <c r="E13" s="1491"/>
    </row>
    <row r="14" spans="1:5" ht="15.75">
      <c r="A14" s="1491"/>
      <c r="B14" s="3460"/>
      <c r="C14" s="1494" t="s">
        <v>911</v>
      </c>
      <c r="D14" s="850" t="str">
        <f ca="1">NUMBERSTRING(INT(D13*10000),2)&amp;"元整"</f>
        <v>肆仟玖佰壹拾玖万元整</v>
      </c>
      <c r="E14" s="1491"/>
    </row>
    <row r="15" spans="1:5" ht="15">
      <c r="A15" s="1491"/>
      <c r="B15" s="3465"/>
      <c r="C15" s="1495" t="s">
        <v>921</v>
      </c>
      <c r="D15" s="859">
        <f ca="1">结果表!H108</f>
        <v>4608</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2081</v>
      </c>
      <c r="E19" s="1491"/>
    </row>
    <row r="20" spans="1:5" ht="15.75">
      <c r="A20" s="1491"/>
      <c r="B20" s="3460"/>
      <c r="C20" s="1494" t="s">
        <v>923</v>
      </c>
      <c r="D20" s="850" t="str">
        <f ca="1">NUMBERSTRING(INT(D19*10000),2)&amp;"元整"</f>
        <v>贰仟零捌拾壹万元整</v>
      </c>
      <c r="E20" s="1491"/>
    </row>
    <row r="21" spans="1:5" ht="15.75" thickBot="1">
      <c r="A21" s="1491"/>
      <c r="B21" s="3461"/>
      <c r="C21" s="1501" t="s">
        <v>921</v>
      </c>
      <c r="D21" s="860">
        <f ca="1">结果表!H112</f>
        <v>1950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9" t="s">
        <v>2844</v>
      </c>
      <c r="B1" s="3779"/>
      <c r="C1" s="3779"/>
      <c r="D1" s="3779"/>
      <c r="E1" s="3779"/>
      <c r="F1" s="3779"/>
      <c r="G1" s="3780"/>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7"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8"/>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1" t="s">
        <v>3186</v>
      </c>
      <c r="B1" s="3781"/>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2" t="s">
        <v>3237</v>
      </c>
      <c r="B1" s="3782"/>
      <c r="C1" s="3782"/>
      <c r="D1" s="3782"/>
      <c r="E1" s="3782"/>
      <c r="F1" s="3783"/>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45124</v>
      </c>
      <c r="B1" s="3208" t="s">
        <v>2843</v>
      </c>
      <c r="C1" s="3209"/>
      <c r="D1" s="3209"/>
      <c r="E1" s="3209"/>
      <c r="F1" s="3209"/>
      <c r="G1" s="3209"/>
      <c r="H1" s="3209"/>
      <c r="I1" s="3209"/>
      <c r="J1" s="3163"/>
      <c r="K1" s="3209" t="s">
        <v>454</v>
      </c>
      <c r="L1" s="3209"/>
      <c r="M1" s="3209"/>
      <c r="N1" s="3209"/>
      <c r="O1" s="3209"/>
      <c r="P1" s="3209"/>
      <c r="Q1" s="3163"/>
      <c r="R1" s="3784" t="s">
        <v>456</v>
      </c>
      <c r="S1" s="3785"/>
      <c r="T1" s="3785"/>
      <c r="U1" s="3785"/>
      <c r="V1" s="3785"/>
      <c r="W1" s="3785"/>
      <c r="X1" s="3163"/>
      <c r="Y1" s="3784" t="s">
        <v>457</v>
      </c>
      <c r="Z1" s="3785"/>
      <c r="AA1" s="3785"/>
      <c r="AB1" s="3785"/>
      <c r="AC1" s="3785"/>
      <c r="AD1" s="378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4" t="s">
        <v>2831</v>
      </c>
      <c r="S21" s="3785"/>
      <c r="T21" s="3785"/>
      <c r="U21" s="3785"/>
      <c r="V21" s="3785"/>
      <c r="W21" s="3785"/>
      <c r="X21" s="3163"/>
      <c r="Y21" s="3784" t="s">
        <v>2832</v>
      </c>
      <c r="Z21" s="3785"/>
      <c r="AA21" s="3785"/>
      <c r="AB21" s="3785"/>
      <c r="AC21" s="3785"/>
      <c r="AD21" s="3785"/>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45124</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45097</v>
      </c>
      <c r="D13" s="2820">
        <v>3.55</v>
      </c>
      <c r="E13" s="2820">
        <f>D13</f>
        <v>3.55</v>
      </c>
      <c r="F13" s="2820">
        <f>D13</f>
        <v>3.55</v>
      </c>
      <c r="G13" s="2820">
        <f>D13</f>
        <v>3.55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44795</v>
      </c>
      <c r="D14" s="2815">
        <v>3.65</v>
      </c>
      <c r="E14" s="2815">
        <v>3.65</v>
      </c>
      <c r="F14" s="2815">
        <v>3.65</v>
      </c>
      <c r="G14" s="2815">
        <v>3.65</v>
      </c>
      <c r="H14" s="2815">
        <v>4.3</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44701</v>
      </c>
      <c r="D15" s="2815">
        <v>3.7</v>
      </c>
      <c r="E15" s="2815">
        <f>D15</f>
        <v>3.7</v>
      </c>
      <c r="F15" s="2815">
        <f>D15</f>
        <v>3.7</v>
      </c>
      <c r="G15" s="2815">
        <f>D15</f>
        <v>3.7</v>
      </c>
      <c r="H15" s="2815">
        <v>4.45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44581</v>
      </c>
      <c r="D16" s="2815">
        <v>3.7</v>
      </c>
      <c r="E16" s="2815">
        <f>D16</f>
        <v>3.7</v>
      </c>
      <c r="F16" s="2815">
        <f>D16</f>
        <v>3.7</v>
      </c>
      <c r="G16" s="2815">
        <f>D16</f>
        <v>3.7</v>
      </c>
      <c r="H16" s="2815">
        <v>4.5999999999999996</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44550</v>
      </c>
      <c r="D17" s="2815">
        <v>3.8</v>
      </c>
      <c r="E17" s="2815">
        <f>D17</f>
        <v>3.8</v>
      </c>
      <c r="F17" s="2815">
        <f>D17</f>
        <v>3.8</v>
      </c>
      <c r="G17" s="2815">
        <f>D17</f>
        <v>3.8</v>
      </c>
      <c r="H17" s="2815">
        <v>4.6500000000000004</v>
      </c>
      <c r="I17" s="2815"/>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43881</v>
      </c>
      <c r="D19" s="2815">
        <v>4.05</v>
      </c>
      <c r="E19" s="2815">
        <v>4.05</v>
      </c>
      <c r="F19" s="2815">
        <v>4.05</v>
      </c>
      <c r="G19" s="2815">
        <v>4.05</v>
      </c>
      <c r="H19" s="2815">
        <v>4.75</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43789</v>
      </c>
      <c r="D20" s="2815">
        <v>4.1500000000000004</v>
      </c>
      <c r="E20" s="2815">
        <v>4.1500000000000004</v>
      </c>
      <c r="F20" s="2815">
        <v>4.1500000000000004</v>
      </c>
      <c r="G20" s="2815">
        <v>4.1500000000000004</v>
      </c>
      <c r="H20" s="2815">
        <v>4.8</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43728</v>
      </c>
      <c r="D21" s="2815">
        <v>4.2</v>
      </c>
      <c r="E21" s="2815">
        <v>4.2</v>
      </c>
      <c r="F21" s="2815">
        <v>4.2</v>
      </c>
      <c r="G21" s="2815">
        <v>4.2</v>
      </c>
      <c r="H21" s="2815">
        <v>4.8499999999999996</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t="s">
        <v>2312</v>
      </c>
      <c r="C22" s="2817">
        <v>43697</v>
      </c>
      <c r="D22" s="2818">
        <v>4.25</v>
      </c>
      <c r="E22" s="2818">
        <v>4.25</v>
      </c>
      <c r="F22" s="2818">
        <v>4.25</v>
      </c>
      <c r="G22" s="2818">
        <v>4.25</v>
      </c>
      <c r="H22" s="2818">
        <v>4.8499999999999996</v>
      </c>
      <c r="I22" s="2818"/>
      <c r="J22" s="2818"/>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22"/>
      <c r="C23" s="2823">
        <v>42301</v>
      </c>
      <c r="D23" s="2824">
        <v>4.3499999999999996</v>
      </c>
      <c r="E23" s="2824">
        <v>4.3499999999999996</v>
      </c>
      <c r="F23" s="2824">
        <v>4.75</v>
      </c>
      <c r="G23" s="2824">
        <v>4.75</v>
      </c>
      <c r="H23" s="2824">
        <v>4.9000000000000004</v>
      </c>
      <c r="I23" s="2824"/>
      <c r="J23" s="282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C1" workbookViewId="0">
      <selection activeCell="G36" sqref="G36"/>
    </sheetView>
  </sheetViews>
  <sheetFormatPr defaultRowHeight="13.5"/>
  <cols>
    <col min="1" max="1" width="20" style="3453" customWidth="1"/>
    <col min="2" max="2" width="10.5" style="3453" customWidth="1"/>
    <col min="3" max="3" width="7.875" style="3453" customWidth="1"/>
    <col min="4" max="4" width="8.375" style="3453" customWidth="1"/>
    <col min="5" max="5" width="7.5" style="3453" customWidth="1"/>
    <col min="6" max="6" width="20" style="3453" customWidth="1"/>
    <col min="7" max="7" width="9.625" style="3453" customWidth="1"/>
    <col min="8" max="8" width="10.25" style="3453" customWidth="1"/>
    <col min="9" max="9" width="10.125" style="3453" customWidth="1"/>
    <col min="10" max="10" width="10.75" style="3453" customWidth="1"/>
    <col min="11" max="11" width="9.625" style="3453" customWidth="1"/>
    <col min="12" max="12" width="11.875" style="3453" customWidth="1"/>
    <col min="13" max="13" width="10.375" style="3453" customWidth="1"/>
    <col min="14" max="14" width="8.25" style="3453" customWidth="1"/>
    <col min="15" max="15" width="8.125" style="3453" customWidth="1"/>
    <col min="16" max="16" width="10.875" style="3453" customWidth="1"/>
    <col min="17" max="17" width="8.25" style="3453" customWidth="1"/>
    <col min="18" max="16384" width="9" style="3453"/>
  </cols>
  <sheetData>
    <row r="1" spans="1:17">
      <c r="A1" s="3453" t="s">
        <v>3396</v>
      </c>
      <c r="B1" s="3453" t="s">
        <v>3397</v>
      </c>
      <c r="C1" s="3453" t="s">
        <v>3398</v>
      </c>
      <c r="D1" s="3453" t="s">
        <v>3399</v>
      </c>
      <c r="E1" s="3453" t="s">
        <v>3400</v>
      </c>
      <c r="F1" s="3453" t="s">
        <v>3401</v>
      </c>
      <c r="G1" s="3453" t="s">
        <v>3402</v>
      </c>
      <c r="H1" s="3453" t="s">
        <v>3403</v>
      </c>
      <c r="I1" s="3453" t="s">
        <v>3404</v>
      </c>
      <c r="J1" s="3453" t="s">
        <v>3405</v>
      </c>
      <c r="K1" s="3453" t="s">
        <v>3406</v>
      </c>
      <c r="L1" s="3453" t="s">
        <v>3407</v>
      </c>
      <c r="M1" s="3453" t="s">
        <v>3408</v>
      </c>
      <c r="N1" s="3453" t="s">
        <v>3409</v>
      </c>
      <c r="O1" s="3453" t="s">
        <v>3410</v>
      </c>
      <c r="P1" s="3453" t="s">
        <v>3411</v>
      </c>
    </row>
    <row r="2" spans="1:17" s="3454" customFormat="1">
      <c r="A2" s="3454" t="s">
        <v>3412</v>
      </c>
      <c r="B2" s="3454" t="s">
        <v>3413</v>
      </c>
      <c r="C2" s="3454" t="s">
        <v>3414</v>
      </c>
      <c r="D2" s="3454" t="s">
        <v>2482</v>
      </c>
      <c r="E2" s="3454" t="s">
        <v>3415</v>
      </c>
      <c r="F2" s="3454" t="s">
        <v>3416</v>
      </c>
      <c r="G2" s="3454" t="s">
        <v>3417</v>
      </c>
      <c r="H2" s="3454">
        <v>64780</v>
      </c>
      <c r="I2" s="3454">
        <v>32390</v>
      </c>
      <c r="J2" s="3454" t="s">
        <v>3418</v>
      </c>
      <c r="K2" s="3454">
        <v>2850</v>
      </c>
      <c r="L2" s="3455">
        <v>44977.000497685185</v>
      </c>
      <c r="M2" s="3454">
        <v>2875</v>
      </c>
      <c r="N2" s="3454">
        <v>444</v>
      </c>
      <c r="O2" s="3454">
        <v>8.8000000000000005E-3</v>
      </c>
      <c r="P2" s="3454" t="s">
        <v>3419</v>
      </c>
      <c r="Q2" s="3454">
        <f>ROUND(M2/I2*10000,0)</f>
        <v>888</v>
      </c>
    </row>
    <row r="3" spans="1:17" s="3454" customFormat="1">
      <c r="A3" s="3454" t="s">
        <v>3420</v>
      </c>
      <c r="B3" s="3454" t="s">
        <v>3421</v>
      </c>
      <c r="C3" s="3454" t="s">
        <v>3414</v>
      </c>
      <c r="D3" s="3454" t="s">
        <v>2482</v>
      </c>
      <c r="E3" s="3454" t="s">
        <v>3415</v>
      </c>
      <c r="F3" s="3454" t="s">
        <v>3416</v>
      </c>
      <c r="G3" s="3454" t="s">
        <v>3417</v>
      </c>
      <c r="H3" s="3454">
        <v>75936</v>
      </c>
      <c r="I3" s="3454">
        <v>37968</v>
      </c>
      <c r="J3" s="3454" t="s">
        <v>3418</v>
      </c>
      <c r="K3" s="3454">
        <v>3340</v>
      </c>
      <c r="L3" s="3455">
        <v>44977.000497685185</v>
      </c>
      <c r="M3" s="3454">
        <v>3370</v>
      </c>
      <c r="N3" s="3454">
        <v>444</v>
      </c>
      <c r="O3" s="3454">
        <v>9.0000000000000011E-3</v>
      </c>
      <c r="P3" s="3454" t="s">
        <v>3422</v>
      </c>
      <c r="Q3" s="3454">
        <f t="shared" ref="Q3:Q16" si="0">ROUND(M3/I3*10000,0)</f>
        <v>888</v>
      </c>
    </row>
    <row r="4" spans="1:17" s="3454" customFormat="1">
      <c r="A4" s="3454" t="s">
        <v>3423</v>
      </c>
      <c r="B4" s="3454" t="s">
        <v>3424</v>
      </c>
      <c r="C4" s="3454" t="s">
        <v>3414</v>
      </c>
      <c r="D4" s="3454" t="s">
        <v>2482</v>
      </c>
      <c r="E4" s="3454" t="s">
        <v>3415</v>
      </c>
      <c r="F4" s="3454" t="s">
        <v>3425</v>
      </c>
      <c r="G4" s="3454" t="s">
        <v>3417</v>
      </c>
      <c r="H4" s="3454">
        <v>27790</v>
      </c>
      <c r="I4" s="3454">
        <v>13895</v>
      </c>
      <c r="J4" s="3454" t="s">
        <v>3426</v>
      </c>
      <c r="K4" s="3454">
        <v>1120</v>
      </c>
      <c r="L4" s="3455">
        <v>44916.000497685185</v>
      </c>
      <c r="M4" s="3454">
        <v>1130</v>
      </c>
      <c r="N4" s="3454">
        <v>407</v>
      </c>
      <c r="O4" s="3454">
        <v>8.8999999999999999E-3</v>
      </c>
      <c r="P4" s="3454" t="s">
        <v>3427</v>
      </c>
      <c r="Q4" s="3454">
        <f t="shared" si="0"/>
        <v>813</v>
      </c>
    </row>
    <row r="5" spans="1:17">
      <c r="A5" s="3453" t="s">
        <v>3428</v>
      </c>
      <c r="B5" s="3453" t="s">
        <v>3429</v>
      </c>
      <c r="C5" s="3453" t="s">
        <v>3414</v>
      </c>
      <c r="D5" s="3453" t="s">
        <v>2482</v>
      </c>
      <c r="E5" s="3453" t="s">
        <v>3415</v>
      </c>
      <c r="F5" s="3453" t="s">
        <v>3416</v>
      </c>
      <c r="G5" s="3453" t="s">
        <v>3417</v>
      </c>
      <c r="H5" s="3453">
        <v>112392</v>
      </c>
      <c r="I5" s="3453">
        <v>56196</v>
      </c>
      <c r="J5" s="3453" t="s">
        <v>3426</v>
      </c>
      <c r="K5" s="3453">
        <v>4560</v>
      </c>
      <c r="L5" s="3456">
        <v>44916.000497685185</v>
      </c>
      <c r="M5" s="3453">
        <v>4605</v>
      </c>
      <c r="N5" s="3453">
        <v>410</v>
      </c>
      <c r="O5" s="3453">
        <v>9.8999999999999991E-3</v>
      </c>
      <c r="P5" s="3453" t="s">
        <v>3430</v>
      </c>
      <c r="Q5" s="3453">
        <f t="shared" si="0"/>
        <v>819</v>
      </c>
    </row>
    <row r="6" spans="1:17">
      <c r="A6" s="3453" t="s">
        <v>3431</v>
      </c>
      <c r="B6" s="3453" t="s">
        <v>3432</v>
      </c>
      <c r="C6" s="3453" t="s">
        <v>3414</v>
      </c>
      <c r="D6" s="3453" t="s">
        <v>2482</v>
      </c>
      <c r="E6" s="3453" t="s">
        <v>3415</v>
      </c>
      <c r="F6" s="3453" t="s">
        <v>3416</v>
      </c>
      <c r="G6" s="3453" t="s">
        <v>3417</v>
      </c>
      <c r="H6" s="3453">
        <v>114664</v>
      </c>
      <c r="I6" s="3453">
        <v>57332</v>
      </c>
      <c r="J6" s="3453" t="s">
        <v>3426</v>
      </c>
      <c r="K6" s="3453">
        <v>4335</v>
      </c>
      <c r="L6" s="3456">
        <v>44916.000497685185</v>
      </c>
      <c r="M6" s="3453">
        <v>4380</v>
      </c>
      <c r="N6" s="3453">
        <v>382</v>
      </c>
      <c r="O6" s="3453">
        <v>1.04E-2</v>
      </c>
      <c r="P6" s="3453" t="s">
        <v>3433</v>
      </c>
      <c r="Q6" s="3453">
        <f t="shared" si="0"/>
        <v>764</v>
      </c>
    </row>
    <row r="7" spans="1:17">
      <c r="A7" s="3453" t="s">
        <v>3434</v>
      </c>
      <c r="B7" s="3453" t="s">
        <v>3435</v>
      </c>
      <c r="C7" s="3453" t="s">
        <v>3414</v>
      </c>
      <c r="D7" s="3453" t="s">
        <v>2482</v>
      </c>
      <c r="E7" s="3453" t="s">
        <v>3415</v>
      </c>
      <c r="F7" s="3453" t="s">
        <v>3416</v>
      </c>
      <c r="G7" s="3453" t="s">
        <v>3417</v>
      </c>
      <c r="H7" s="3453">
        <v>114132</v>
      </c>
      <c r="I7" s="3453">
        <v>57066</v>
      </c>
      <c r="J7" s="3453" t="s">
        <v>3426</v>
      </c>
      <c r="K7" s="3453">
        <v>4630</v>
      </c>
      <c r="L7" s="3456">
        <v>44916.000497685185</v>
      </c>
      <c r="M7" s="3453">
        <v>4675</v>
      </c>
      <c r="N7" s="3453">
        <v>410</v>
      </c>
      <c r="O7" s="3453">
        <v>9.7000000000000003E-3</v>
      </c>
      <c r="P7" s="3453" t="s">
        <v>3436</v>
      </c>
      <c r="Q7" s="3453">
        <f t="shared" si="0"/>
        <v>819</v>
      </c>
    </row>
    <row r="8" spans="1:17">
      <c r="A8" s="3453" t="s">
        <v>3437</v>
      </c>
      <c r="B8" s="3453" t="s">
        <v>3438</v>
      </c>
      <c r="C8" s="3453" t="s">
        <v>3414</v>
      </c>
      <c r="D8" s="3453" t="s">
        <v>2482</v>
      </c>
      <c r="E8" s="3453" t="s">
        <v>3415</v>
      </c>
      <c r="F8" s="3453" t="s">
        <v>3416</v>
      </c>
      <c r="G8" s="3453" t="s">
        <v>3417</v>
      </c>
      <c r="H8" s="3453">
        <v>36170</v>
      </c>
      <c r="I8" s="3453">
        <v>18085</v>
      </c>
      <c r="J8" s="3453" t="s">
        <v>3426</v>
      </c>
      <c r="K8" s="3453">
        <v>1470</v>
      </c>
      <c r="L8" s="3456">
        <v>44916.000497685185</v>
      </c>
      <c r="M8" s="3453">
        <v>1485</v>
      </c>
      <c r="N8" s="3453">
        <v>411</v>
      </c>
      <c r="O8" s="3453">
        <v>1.0200000000000001E-2</v>
      </c>
      <c r="P8" s="3453" t="s">
        <v>3439</v>
      </c>
      <c r="Q8" s="3453">
        <f t="shared" si="0"/>
        <v>821</v>
      </c>
    </row>
    <row r="9" spans="1:17">
      <c r="A9" s="3453" t="s">
        <v>3440</v>
      </c>
      <c r="B9" s="3453" t="s">
        <v>3441</v>
      </c>
      <c r="C9" s="3453" t="s">
        <v>3414</v>
      </c>
      <c r="D9" s="3453" t="s">
        <v>2482</v>
      </c>
      <c r="E9" s="3453" t="s">
        <v>3415</v>
      </c>
      <c r="F9" s="3453" t="s">
        <v>3416</v>
      </c>
      <c r="G9" s="3453" t="s">
        <v>3417</v>
      </c>
      <c r="H9" s="3453">
        <v>73600</v>
      </c>
      <c r="I9" s="3453">
        <v>36800</v>
      </c>
      <c r="J9" s="3453" t="s">
        <v>3426</v>
      </c>
      <c r="K9" s="3453">
        <v>2985</v>
      </c>
      <c r="L9" s="3456">
        <v>44916.000497685185</v>
      </c>
      <c r="M9" s="3453">
        <v>3015</v>
      </c>
      <c r="N9" s="3453">
        <v>410</v>
      </c>
      <c r="O9" s="3453">
        <v>1.01E-2</v>
      </c>
      <c r="P9" s="3453" t="s">
        <v>3442</v>
      </c>
      <c r="Q9" s="3453">
        <f t="shared" si="0"/>
        <v>819</v>
      </c>
    </row>
    <row r="10" spans="1:17">
      <c r="A10" s="3453" t="s">
        <v>3443</v>
      </c>
      <c r="B10" s="3453" t="s">
        <v>3444</v>
      </c>
      <c r="C10" s="3453" t="s">
        <v>3414</v>
      </c>
      <c r="D10" s="3453" t="s">
        <v>2482</v>
      </c>
      <c r="E10" s="3453" t="s">
        <v>3415</v>
      </c>
      <c r="F10" s="3453" t="s">
        <v>3416</v>
      </c>
      <c r="G10" s="3453" t="s">
        <v>3417</v>
      </c>
      <c r="H10" s="3453">
        <v>63982</v>
      </c>
      <c r="I10" s="3453">
        <v>31991</v>
      </c>
      <c r="J10" s="3453" t="s">
        <v>3445</v>
      </c>
      <c r="K10" s="3453">
        <v>2595</v>
      </c>
      <c r="L10" s="3456">
        <v>44900.000497685185</v>
      </c>
      <c r="M10" s="3453">
        <v>2620</v>
      </c>
      <c r="N10" s="3453">
        <v>409</v>
      </c>
      <c r="O10" s="3453">
        <v>9.5999999999999992E-3</v>
      </c>
      <c r="P10" s="3453" t="s">
        <v>3446</v>
      </c>
      <c r="Q10" s="3453">
        <f t="shared" si="0"/>
        <v>819</v>
      </c>
    </row>
    <row r="11" spans="1:17">
      <c r="A11" s="3453" t="s">
        <v>3447</v>
      </c>
      <c r="B11" s="3453" t="s">
        <v>3448</v>
      </c>
      <c r="C11" s="3453" t="s">
        <v>3414</v>
      </c>
      <c r="D11" s="3453" t="s">
        <v>2482</v>
      </c>
      <c r="E11" s="3453" t="s">
        <v>3415</v>
      </c>
      <c r="F11" s="3453" t="s">
        <v>3449</v>
      </c>
      <c r="G11" s="3453" t="s">
        <v>3450</v>
      </c>
      <c r="H11" s="3453">
        <v>299031</v>
      </c>
      <c r="I11" s="3453">
        <v>99677</v>
      </c>
      <c r="J11" s="3453" t="s">
        <v>3451</v>
      </c>
      <c r="K11" s="3453">
        <v>9680</v>
      </c>
      <c r="L11" s="3456">
        <v>44827.000497685185</v>
      </c>
      <c r="M11" s="3453">
        <v>9760</v>
      </c>
      <c r="N11" s="3453">
        <v>326</v>
      </c>
      <c r="O11" s="3453">
        <v>8.3000000000000001E-3</v>
      </c>
      <c r="P11" s="3453" t="s">
        <v>3452</v>
      </c>
      <c r="Q11" s="3453">
        <f t="shared" si="0"/>
        <v>979</v>
      </c>
    </row>
    <row r="12" spans="1:17">
      <c r="A12" s="3453" t="s">
        <v>3453</v>
      </c>
      <c r="B12" s="3453" t="s">
        <v>3454</v>
      </c>
      <c r="C12" s="3453" t="s">
        <v>3414</v>
      </c>
      <c r="D12" s="3453" t="s">
        <v>2482</v>
      </c>
      <c r="E12" s="3453" t="s">
        <v>3415</v>
      </c>
      <c r="F12" s="3453" t="s">
        <v>3449</v>
      </c>
      <c r="G12" s="3453" t="s">
        <v>3450</v>
      </c>
      <c r="H12" s="3453">
        <v>146454</v>
      </c>
      <c r="I12" s="3453">
        <v>48818</v>
      </c>
      <c r="J12" s="3453" t="s">
        <v>3451</v>
      </c>
      <c r="K12" s="3453">
        <v>4740</v>
      </c>
      <c r="L12" s="3456">
        <v>44827.000497685185</v>
      </c>
      <c r="M12" s="3453">
        <v>4780</v>
      </c>
      <c r="N12" s="3453">
        <v>326</v>
      </c>
      <c r="O12" s="3453">
        <v>8.3999999999999995E-3</v>
      </c>
      <c r="P12" s="3453" t="s">
        <v>3452</v>
      </c>
      <c r="Q12" s="3453">
        <f t="shared" si="0"/>
        <v>979</v>
      </c>
    </row>
    <row r="13" spans="1:17">
      <c r="A13" s="3453" t="s">
        <v>3455</v>
      </c>
      <c r="B13" s="3453" t="s">
        <v>3456</v>
      </c>
      <c r="C13" s="3453" t="s">
        <v>3414</v>
      </c>
      <c r="D13" s="3453" t="s">
        <v>2482</v>
      </c>
      <c r="E13" s="3453" t="s">
        <v>3415</v>
      </c>
      <c r="F13" s="3453" t="s">
        <v>3416</v>
      </c>
      <c r="G13" s="3453" t="s">
        <v>3417</v>
      </c>
      <c r="H13" s="3453">
        <v>166782</v>
      </c>
      <c r="I13" s="3453">
        <v>83391</v>
      </c>
      <c r="J13" s="3453" t="s">
        <v>3457</v>
      </c>
      <c r="K13" s="3453">
        <v>6755</v>
      </c>
      <c r="L13" s="3456">
        <v>44736.000497685185</v>
      </c>
      <c r="M13" s="3453">
        <v>6820</v>
      </c>
      <c r="N13" s="3453">
        <v>409</v>
      </c>
      <c r="O13" s="3453">
        <v>9.5999999999999992E-3</v>
      </c>
      <c r="P13" s="3453" t="s">
        <v>3458</v>
      </c>
      <c r="Q13" s="3453">
        <f t="shared" si="0"/>
        <v>818</v>
      </c>
    </row>
    <row r="14" spans="1:17">
      <c r="A14" s="3453" t="s">
        <v>3459</v>
      </c>
      <c r="B14" s="3453" t="s">
        <v>3460</v>
      </c>
      <c r="C14" s="3453" t="s">
        <v>3414</v>
      </c>
      <c r="D14" s="3453" t="s">
        <v>2482</v>
      </c>
      <c r="E14" s="3453" t="s">
        <v>3415</v>
      </c>
      <c r="F14" s="3453" t="s">
        <v>3416</v>
      </c>
      <c r="G14" s="3453" t="s">
        <v>3417</v>
      </c>
      <c r="H14" s="3453">
        <v>40108</v>
      </c>
      <c r="I14" s="3453">
        <v>20054</v>
      </c>
      <c r="J14" s="3453" t="s">
        <v>3457</v>
      </c>
      <c r="K14" s="3453">
        <v>1625</v>
      </c>
      <c r="L14" s="3456">
        <v>44736.000497685185</v>
      </c>
      <c r="M14" s="3453">
        <v>1640</v>
      </c>
      <c r="N14" s="3453">
        <v>409</v>
      </c>
      <c r="O14" s="3453">
        <v>9.1999999999999998E-3</v>
      </c>
      <c r="P14" s="3453" t="s">
        <v>3461</v>
      </c>
      <c r="Q14" s="3453">
        <f t="shared" si="0"/>
        <v>818</v>
      </c>
    </row>
    <row r="15" spans="1:17">
      <c r="A15" s="3453" t="s">
        <v>3462</v>
      </c>
      <c r="B15" s="3453" t="s">
        <v>3463</v>
      </c>
      <c r="C15" s="3453" t="s">
        <v>3414</v>
      </c>
      <c r="D15" s="3453" t="s">
        <v>2482</v>
      </c>
      <c r="E15" s="3453" t="s">
        <v>3415</v>
      </c>
      <c r="F15" s="3453" t="s">
        <v>3416</v>
      </c>
      <c r="G15" s="3453" t="s">
        <v>3417</v>
      </c>
      <c r="H15" s="3453">
        <v>51918</v>
      </c>
      <c r="I15" s="3453">
        <v>25959</v>
      </c>
      <c r="J15" s="3453" t="s">
        <v>3457</v>
      </c>
      <c r="K15" s="3453">
        <v>1905</v>
      </c>
      <c r="L15" s="3456">
        <v>44736.000497685185</v>
      </c>
      <c r="M15" s="3453">
        <v>1925</v>
      </c>
      <c r="N15" s="3453">
        <v>371</v>
      </c>
      <c r="O15" s="3453">
        <v>1.0500000000000001E-2</v>
      </c>
      <c r="P15" s="3453" t="s">
        <v>3464</v>
      </c>
      <c r="Q15" s="3453">
        <f t="shared" si="0"/>
        <v>742</v>
      </c>
    </row>
    <row r="16" spans="1:17">
      <c r="A16" s="3453" t="s">
        <v>3465</v>
      </c>
      <c r="B16" s="3453" t="s">
        <v>3466</v>
      </c>
      <c r="C16" s="3453" t="s">
        <v>3414</v>
      </c>
      <c r="D16" s="3453" t="s">
        <v>2482</v>
      </c>
      <c r="E16" s="3453" t="s">
        <v>3415</v>
      </c>
      <c r="F16" s="3453" t="s">
        <v>3416</v>
      </c>
      <c r="G16" s="3453" t="s">
        <v>3417</v>
      </c>
      <c r="H16" s="3453">
        <v>56506</v>
      </c>
      <c r="I16" s="3453">
        <v>28253</v>
      </c>
      <c r="J16" s="3453" t="s">
        <v>3457</v>
      </c>
      <c r="K16" s="3453">
        <v>2290</v>
      </c>
      <c r="L16" s="3456">
        <v>44736.000497685185</v>
      </c>
      <c r="M16" s="3453">
        <v>2315</v>
      </c>
      <c r="N16" s="3453">
        <v>410</v>
      </c>
      <c r="O16" s="3453">
        <v>1.09E-2</v>
      </c>
      <c r="P16" s="3453" t="s">
        <v>3467</v>
      </c>
      <c r="Q16" s="3453">
        <f t="shared" si="0"/>
        <v>819</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45">
      <c r="A4" s="1505" t="str">
        <f>项目基本情况!S2</f>
        <v>河北省三河市燕郊开发区北外环南侧、韩国工业园小区路西侧工业项目房地产</v>
      </c>
      <c r="B4" s="854">
        <f>项目基本情况!C17</f>
        <v>10674.210000000001</v>
      </c>
      <c r="C4" s="854">
        <f>项目基本情况!C18</f>
        <v>23060</v>
      </c>
      <c r="D4" s="854">
        <f ca="1">结果表!D118</f>
        <v>2174</v>
      </c>
      <c r="E4" s="854">
        <f ca="1">结果表!E118</f>
        <v>2036</v>
      </c>
      <c r="F4" s="854">
        <f ca="1">结果表!F118</f>
        <v>2745</v>
      </c>
      <c r="G4" s="854">
        <f ca="1">结果表!G118</f>
        <v>2572</v>
      </c>
      <c r="H4" s="854">
        <f ca="1">结果表!H118</f>
        <v>4919</v>
      </c>
      <c r="I4" s="854">
        <f ca="1">结果表!I118</f>
        <v>4608</v>
      </c>
    </row>
    <row r="5" spans="1:9" ht="30" customHeight="1">
      <c r="A5" s="3471" t="s">
        <v>927</v>
      </c>
      <c r="B5" s="3471"/>
      <c r="C5" s="3471"/>
      <c r="D5" s="3471" t="str">
        <f ca="1">结果表!D119</f>
        <v>贰仟壹佰柒拾肆万元整</v>
      </c>
      <c r="E5" s="3471"/>
      <c r="F5" s="3471" t="str">
        <f ca="1">结果表!F119</f>
        <v>贰仟柒佰肆拾伍万元整</v>
      </c>
      <c r="G5" s="3471"/>
      <c r="H5" s="3471" t="str">
        <f ca="1">结果表!H119</f>
        <v>肆仟玖佰壹拾玖万元整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4919</v>
      </c>
      <c r="E8" s="3472"/>
      <c r="F8" s="3472"/>
      <c r="G8" s="3472"/>
      <c r="H8" s="3472"/>
      <c r="I8" s="3472"/>
    </row>
    <row r="9" spans="1:9" ht="15">
      <c r="A9" s="3471" t="s">
        <v>927</v>
      </c>
      <c r="B9" s="3471"/>
      <c r="C9" s="3471"/>
      <c r="D9" s="3471" t="str">
        <f ca="1">结果表!D123</f>
        <v>肆仟玖佰壹拾玖万元整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抵押净值</v>
      </c>
      <c r="B12" s="3472"/>
      <c r="C12" s="3472"/>
      <c r="D12" s="3472">
        <f ca="1">结果表!D126</f>
        <v>2081</v>
      </c>
      <c r="E12" s="3472"/>
      <c r="F12" s="3472"/>
      <c r="G12" s="3472"/>
      <c r="H12" s="3472"/>
      <c r="I12" s="3472"/>
    </row>
    <row r="13" spans="1:9" ht="15.75" thickBot="1">
      <c r="A13" s="3476" t="s">
        <v>927</v>
      </c>
      <c r="B13" s="3476"/>
      <c r="C13" s="3476"/>
      <c r="D13" s="3476" t="str">
        <f ca="1">结果表!D127</f>
        <v>贰仟零捌拾壹万元整</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45124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3"/>
      <c r="E18" s="3497" t="s">
        <v>2161</v>
      </c>
      <c r="F18" s="3496"/>
      <c r="G18" s="349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2023-07-17T02:45:05Z</dcterms:modified>
</cp:coreProperties>
</file>